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G:\高鹏\项目\军队-龙乡东区\测算\"/>
    </mc:Choice>
  </mc:AlternateContent>
  <xr:revisionPtr revIDLastSave="0" documentId="13_ncr:1_{905FFF10-69B3-452D-A3F5-16BFDDEA1F36}" xr6:coauthVersionLast="47" xr6:coauthVersionMax="47" xr10:uidLastSave="{00000000-0000-0000-0000-000000000000}"/>
  <bookViews>
    <workbookView xWindow="-120" yWindow="-120" windowWidth="38640" windowHeight="21240" tabRatio="899" firstSheet="15"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指标" sheetId="78" state="hidden" r:id="rId14"/>
    <sheet name="面积指标 (2)" sheetId="80" state="hidden"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state="hidden" r:id="rId22"/>
    <sheet name="成本法 (元)" sheetId="69" r:id="rId23"/>
    <sheet name="假设开发法" sheetId="12" state="hidden" r:id="rId24"/>
    <sheet name="比较法-办公" sheetId="34" state="hidden" r:id="rId25"/>
    <sheet name="收益法" sheetId="15" state="hidden" r:id="rId26"/>
    <sheet name="【2021年】1号楼&amp;5号楼租赁台账" sheetId="81" state="hidden"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区片价（范围）" sheetId="75" state="hidden" r:id="rId46"/>
    <sheet name="Sheet2" sheetId="79" state="hidden" r:id="rId47"/>
    <sheet name="案例" sheetId="82" r:id="rId48"/>
    <sheet name="存贷款利率" sheetId="73" r:id="rId49"/>
  </sheets>
  <externalReferences>
    <externalReference r:id="rId50"/>
    <externalReference r:id="rId51"/>
    <externalReference r:id="rId52"/>
    <externalReference r:id="rId53"/>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9">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3">'[1]比较法-办公'!$B$119:$M$119</definedName>
    <definedName name="办公层高" localSheetId="14">'[2]比较法-办公'!$B$119:$M$119</definedName>
    <definedName name="办公层高">'比较法-办公'!$B$119:$M$119</definedName>
    <definedName name="办公朝向" localSheetId="13">'[1]比较法-办公'!$B$91:$M$91</definedName>
    <definedName name="办公朝向" localSheetId="14">'[2]比较法-办公'!$B$91:$M$91</definedName>
    <definedName name="办公朝向">'比较法-办公'!$B$91:$M$91</definedName>
    <definedName name="办公道路级别" localSheetId="13">'[1]比较法-办公'!$B$87:$M$87</definedName>
    <definedName name="办公道路级别" localSheetId="14">'[2]比较法-办公'!$B$87:$M$87</definedName>
    <definedName name="办公道路级别">'比较法-办公'!$B$87:$M$87</definedName>
    <definedName name="办公公共部分装修" localSheetId="13">'[1]比较法-办公'!$B$108:$M$108</definedName>
    <definedName name="办公公共部分装修" localSheetId="14">'[2]比较法-办公'!$B$108:$M$108</definedName>
    <definedName name="办公公共部分装修">'比较法-办公'!$B$108:$M$108</definedName>
    <definedName name="办公基础设施水平" localSheetId="13">'[1]比较法-办公'!$B$117:$M$117</definedName>
    <definedName name="办公基础设施水平" localSheetId="14">'[2]比较法-办公'!$B$117:$M$117</definedName>
    <definedName name="办公基础设施水平">'比较法-办公'!$B$117:$M$117</definedName>
    <definedName name="办公集聚程度" localSheetId="13">[1]定义!$M$1:$M$6</definedName>
    <definedName name="办公集聚程度" localSheetId="14">[2]定义!$M$1:$M$6</definedName>
    <definedName name="办公集聚程度">定义!$M$1:$M$6</definedName>
    <definedName name="办公建筑结构" localSheetId="13">'[1]比较法-办公'!$B$106:$M$106</definedName>
    <definedName name="办公建筑结构" localSheetId="14">'[2]比较法-办公'!$B$106:$M$106</definedName>
    <definedName name="办公建筑结构">'比较法-办公'!$B$106:$M$106</definedName>
    <definedName name="办公建筑类型" localSheetId="13">'[1]比较法-办公'!$B$101:$M$101</definedName>
    <definedName name="办公建筑类型" localSheetId="14">'[2]比较法-办公'!$B$101:$M$101</definedName>
    <definedName name="办公建筑类型">'比较法-办公'!$B$101:$M$101</definedName>
    <definedName name="办公交易情况" localSheetId="13">'[1]比较法-办公'!$A$62:$M$62</definedName>
    <definedName name="办公交易情况" localSheetId="14">'[2]比较法-办公'!$A$62:$M$62</definedName>
    <definedName name="办公交易情况">'比较法-办公'!$A$62:$M$62</definedName>
    <definedName name="办公楼层" localSheetId="13">'[1]比较法-办公'!$B$89:$M$89</definedName>
    <definedName name="办公楼层" localSheetId="14">'[2]比较法-办公'!$B$89:$M$89</definedName>
    <definedName name="办公楼层">'比较法-办公'!$B$89:$M$89</definedName>
    <definedName name="办公内部装修" localSheetId="13">'[1]比较法-办公'!$B$123:$M$123</definedName>
    <definedName name="办公内部装修" localSheetId="14">'[2]比较法-办公'!$B$123:$M$123</definedName>
    <definedName name="办公内部装修">'比较法-办公'!$B$123:$M$123</definedName>
    <definedName name="办公物业管理" localSheetId="13">'[1]比较法-办公'!$B$115:$M$115</definedName>
    <definedName name="办公物业管理" localSheetId="14">'[2]比较法-办公'!$B$115:$M$115</definedName>
    <definedName name="办公物业管理">'比较法-办公'!$B$115:$M$115</definedName>
    <definedName name="办公用途" localSheetId="13">'[1]比较法-办公'!$B$64:$M$64</definedName>
    <definedName name="办公用途" localSheetId="14">'[2]比较法-办公'!$B$64:$M$64</definedName>
    <definedName name="办公用途">'比较法-办公'!$B$64:$M$64</definedName>
    <definedName name="仓储公共部分装修" localSheetId="13">'[1]比较法-仓储'!$B$77:$M$77</definedName>
    <definedName name="仓储公共部分装修" localSheetId="14">'[2]比较法-仓储'!$B$77:$M$77</definedName>
    <definedName name="仓储公共部分装修">'比较法-仓储'!$B$77:$M$77</definedName>
    <definedName name="仓储交易情况" localSheetId="13">'[1]比较法-仓储'!$A$49:$M$49</definedName>
    <definedName name="仓储交易情况" localSheetId="14">'[2]比较法-仓储'!$A$49:$M$49</definedName>
    <definedName name="仓储交易情况">'比较法-仓储'!$A$49:$M$49</definedName>
    <definedName name="仓储楼层" localSheetId="13">'[1]比较法-仓储'!$B$69:$M$69</definedName>
    <definedName name="仓储楼层" localSheetId="14">'[2]比较法-仓储'!$B$69:$M$69</definedName>
    <definedName name="仓储楼层">'比较法-仓储'!$B$69:$M$69</definedName>
    <definedName name="仓储物业等级" localSheetId="13">'[1]比较法-仓储'!$B$82:$M$82</definedName>
    <definedName name="仓储物业等级" localSheetId="14">'[2]比较法-仓储'!$B$82:$M$82</definedName>
    <definedName name="仓储物业等级">'比较法-仓储'!$B$82:$M$82</definedName>
    <definedName name="仓储用途" localSheetId="13">'[1]比较法-仓储'!$B$51:$M$51</definedName>
    <definedName name="仓储用途" localSheetId="14">'[2]比较法-仓储'!$B$51:$M$51</definedName>
    <definedName name="仓储用途">'比较法-仓储'!$B$51:$M$51</definedName>
    <definedName name="产业集聚程度" localSheetId="13">[1]定义!$N$1:$N$6</definedName>
    <definedName name="产业集聚程度" localSheetId="14">[2]定义!$N$1:$N$6</definedName>
    <definedName name="产业集聚程度">定义!$N$1:$N$6</definedName>
    <definedName name="车位公共部分装修" localSheetId="13">'[1]比较法-车位'!$B$83:$M$83</definedName>
    <definedName name="车位公共部分装修" localSheetId="14">'[2]比较法-车位'!$B$83:$M$83</definedName>
    <definedName name="车位公共部分装修">'比较法-车位'!$B$83:$M$83</definedName>
    <definedName name="车位交易情况" localSheetId="13">'[1]比较法-车位'!$A$51:$M$51</definedName>
    <definedName name="车位交易情况" localSheetId="14">'[2]比较法-车位'!$A$51:$M$51</definedName>
    <definedName name="车位交易情况">'比较法-车位'!$A$51:$M$51</definedName>
    <definedName name="车位类型" localSheetId="13">'[1]比较法-车位'!$B$93:$M$93</definedName>
    <definedName name="车位类型" localSheetId="14">'[2]比较法-车位'!$B$93:$M$93</definedName>
    <definedName name="车位类型">'比较法-车位'!$B$93:$M$93</definedName>
    <definedName name="车位楼层" localSheetId="13">'[1]比较法-车位'!$B$71:$M$71</definedName>
    <definedName name="车位楼层" localSheetId="14">'[2]比较法-车位'!$B$71:$M$71</definedName>
    <definedName name="车位楼层">'比较法-车位'!$B$71:$M$71</definedName>
    <definedName name="车位配套类型" localSheetId="13">'[1]比较法-车位'!$B$79:$M$79</definedName>
    <definedName name="车位配套类型" localSheetId="14">'[2]比较法-车位'!$B$79:$M$79</definedName>
    <definedName name="车位配套类型">'比较法-车位'!$B$79:$M$79</definedName>
    <definedName name="车位物业等级" localSheetId="13">'[1]比较法-车位'!$B$88:$M$88</definedName>
    <definedName name="车位物业等级" localSheetId="14">'[2]比较法-车位'!$B$88:$M$88</definedName>
    <definedName name="车位物业等级">'比较法-车位'!$B$88:$M$88</definedName>
    <definedName name="车位用途" localSheetId="13">'[1]比较法-车位'!$B$53:$M$53</definedName>
    <definedName name="车位用途" localSheetId="14">'[2]比较法-车位'!$B$53:$M$53</definedName>
    <definedName name="车位用途">'比较法-车位'!$B$53:$M$53</definedName>
    <definedName name="城镇土地纳税等级分级范围" localSheetId="13">'[1]数据-取费表'!$A$53:$A$63</definedName>
    <definedName name="城镇土地纳税等级分级范围" localSheetId="14">'[2]数据-取费表'!$A$53:$A$63</definedName>
    <definedName name="城镇土地纳税等级分级范围">'数据-取费表'!$A$53:$A$63</definedName>
    <definedName name="单价内涵" localSheetId="13">[1]定义!$V$1:$V$3</definedName>
    <definedName name="单价内涵" localSheetId="14">[2]定义!$V$1:$V$3</definedName>
    <definedName name="单价内涵">定义!$V$1:$V$3</definedName>
    <definedName name="地类判定" localSheetId="13">[1]定义!$H$1:$H$9</definedName>
    <definedName name="地类判定" localSheetId="14">[2]定义!$H$1:$H$9</definedName>
    <definedName name="地类判定">定义!$H$1:$H$9</definedName>
    <definedName name="二级">区片价!$I$1:$I$20</definedName>
    <definedName name="二级分类" localSheetId="13">[1]修正!$C$17:$C$39</definedName>
    <definedName name="二级分类" localSheetId="14">[2]修正!$C$17:$C$39</definedName>
    <definedName name="二级分类">修正!$C$17:$C$39</definedName>
    <definedName name="法定最高年限" localSheetId="13">[1]定义!$G$1:$G$4</definedName>
    <definedName name="法定最高年限" localSheetId="14">[2]定义!$G$1:$G$4</definedName>
    <definedName name="法定最高年限">定义!$G$1:$G$4</definedName>
    <definedName name="工业公共部分装修" localSheetId="13">'[1]比较法-工业'!$B$95:$M$95</definedName>
    <definedName name="工业公共部分装修" localSheetId="14">'[2]比较法-工业'!$B$95:$M$95</definedName>
    <definedName name="工业公共部分装修">'比较法-工业'!$B$95:$M$95</definedName>
    <definedName name="工业基础设施水平" localSheetId="13">'[1]比较法-工业'!$B$102:$M$102</definedName>
    <definedName name="工业基础设施水平" localSheetId="14">'[2]比较法-工业'!$B$102:$M$102</definedName>
    <definedName name="工业基础设施水平">'比较法-工业'!$B$102:$M$102</definedName>
    <definedName name="工业建筑结构" localSheetId="13">'[1]比较法-工业'!$B$93:$M$93</definedName>
    <definedName name="工业建筑结构" localSheetId="14">'[2]比较法-工业'!$B$93:$M$93</definedName>
    <definedName name="工业建筑结构">'比较法-工业'!$B$93:$M$93</definedName>
    <definedName name="工业建筑类型" localSheetId="13">'[1]比较法-工业'!$B$88:$M$88</definedName>
    <definedName name="工业建筑类型" localSheetId="14">'[2]比较法-工业'!$B$88:$M$88</definedName>
    <definedName name="工业建筑类型">'比较法-工业'!$B$88:$M$88</definedName>
    <definedName name="工业交易情况" localSheetId="13">'[1]比较法-工业'!$A$55:$M$55</definedName>
    <definedName name="工业交易情况" localSheetId="14">'[2]比较法-工业'!$A$55:$M$55</definedName>
    <definedName name="工业交易情况">'比较法-工业'!$A$55:$M$55</definedName>
    <definedName name="工业内部装修" localSheetId="13">'[1]比较法-工业'!$B$104:$M$104</definedName>
    <definedName name="工业内部装修" localSheetId="14">'[2]比较法-工业'!$B$104:$M$104</definedName>
    <definedName name="工业内部装修">'比较法-工业'!$B$104:$M$104</definedName>
    <definedName name="工业物业管理" localSheetId="13">'[1]比较法-工业'!$B$100:$M$100</definedName>
    <definedName name="工业物业管理" localSheetId="14">'[2]比较法-工业'!$B$100:$M$100</definedName>
    <definedName name="工业物业管理">'比较法-工业'!$B$100:$M$100</definedName>
    <definedName name="工业用途" localSheetId="13">'[1]比较法-工业'!$B$57:$M$57</definedName>
    <definedName name="工业用途" localSheetId="14">'[2]比较法-工业'!$B$57:$M$57</definedName>
    <definedName name="工业用途">'比较法-工业'!$B$57:$M$57</definedName>
    <definedName name="公共配套设施" localSheetId="13">[1]定义!$Q$1:$Q$6</definedName>
    <definedName name="公共配套设施" localSheetId="14">[2]定义!$Q$1:$Q$6</definedName>
    <definedName name="公共配套设施">定义!$Q$1:$Q$6</definedName>
    <definedName name="估价方法" localSheetId="13">[1]定义!$B$1:$B$50</definedName>
    <definedName name="估价方法" localSheetId="14">[2]定义!$B$1:$B$50</definedName>
    <definedName name="估价方法">定义!$B$1:$B$50</definedName>
    <definedName name="环境" localSheetId="13">[1]定义!$S$1:$S$6</definedName>
    <definedName name="环境" localSheetId="14">[2]定义!$S$1:$S$6</definedName>
    <definedName name="环境">定义!$S$1:$S$6</definedName>
    <definedName name="基础设施水平" localSheetId="13">[1]定义!$R$1:$R$6</definedName>
    <definedName name="基础设施水平" localSheetId="14">[2]定义!$R$1:$R$6</definedName>
    <definedName name="基础设施水平">定义!$R$1:$R$6</definedName>
    <definedName name="季度">基准地价修正!$Q$19:$AD$19</definedName>
    <definedName name="价值类型2" localSheetId="13">[1]定义!$B$54:$B$56</definedName>
    <definedName name="价值类型2" localSheetId="14">[2]定义!$B$54:$B$56</definedName>
    <definedName name="价值类型2">定义!$B$54:$B$56</definedName>
    <definedName name="交通便捷度" localSheetId="13">[1]定义!$O$1:$O$6</definedName>
    <definedName name="交通便捷度" localSheetId="14">[2]定义!$O$1:$O$6</definedName>
    <definedName name="交通便捷度">定义!$O$1:$O$6</definedName>
    <definedName name="九级">区片价!$P$1:$P$46</definedName>
    <definedName name="居住社区成熟度" localSheetId="13">[1]定义!$K$1:$K$6</definedName>
    <definedName name="居住社区成熟度" localSheetId="14">[2]定义!$K$1:$K$6</definedName>
    <definedName name="居住社区成熟度">定义!$K$1:$K$6</definedName>
    <definedName name="类别" localSheetId="13">[1]定义!$J$1:$J$3</definedName>
    <definedName name="类别" localSheetId="14">[2]定义!$J$1:$J$3</definedName>
    <definedName name="类别">定义!$J$1:$J$3</definedName>
    <definedName name="临街状况" localSheetId="13">[1]定义!$T$1:$T$5</definedName>
    <definedName name="临街状况" localSheetId="14">[2]定义!$T$1:$T$5</definedName>
    <definedName name="临街状况">定义!$T$1:$T$5</definedName>
    <definedName name="六级">区片价!$M$1:$M$49</definedName>
    <definedName name="内部装修维护情况" localSheetId="13">[1]定义!$U$1:$U$6</definedName>
    <definedName name="内部装修维护情况" localSheetId="14">[2]定义!$U$1:$U$6</definedName>
    <definedName name="内部装修维护情况">定义!$U$1:$U$6</definedName>
    <definedName name="判定" localSheetId="13">[1]定义!$D$1:$D$4</definedName>
    <definedName name="判定" localSheetId="14">[2]定义!$D$1:$D$4</definedName>
    <definedName name="判定" localSheetId="28">[3]定义!$D$1:$D$4</definedName>
    <definedName name="判定">定义!$D$1:$D$4</definedName>
    <definedName name="七级">区片价!$N$1:$N$49</definedName>
    <definedName name="七通一平" localSheetId="13">[1]修正!$A$6:$A$14</definedName>
    <definedName name="七通一平" localSheetId="14">[2]修正!$A$6:$A$14</definedName>
    <definedName name="七通一平">修正!$A$6:$A$14</definedName>
    <definedName name="区域土地利用方向" localSheetId="13">[1]定义!$P$1:$P$6</definedName>
    <definedName name="区域土地利用方向" localSheetId="14">[2]定义!$P$1:$P$6</definedName>
    <definedName name="区域土地利用方向">定义!$P$1:$P$6</definedName>
    <definedName name="三级">区片价!$J$1:$J$21</definedName>
    <definedName name="商业层高" localSheetId="1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3">[1]定义!$L$1:$L$6</definedName>
    <definedName name="商业繁华度" localSheetId="14">[2]定义!$L$1:$L$6</definedName>
    <definedName name="商业繁华度">定义!$L$1:$L$6</definedName>
    <definedName name="商业公共部分装修" localSheetId="13">'[1]比较法-商业'!$B$107:$M$107</definedName>
    <definedName name="商业公共部分装修" localSheetId="14">'[2]比较法-商业'!$B$107:$M$107</definedName>
    <definedName name="商业公共部分装修">'比较法-商业'!$B$107:$M$107</definedName>
    <definedName name="商业基础设施水平" localSheetId="13">'[1]比较法-商业'!$B$112:$M$112</definedName>
    <definedName name="商业基础设施水平" localSheetId="14">'[2]比较法-商业'!$B$112:$M$112</definedName>
    <definedName name="商业基础设施水平">'比较法-商业'!$B$112:$M$112</definedName>
    <definedName name="商业建筑结构" localSheetId="13">'[1]比较法-商业'!$B$105:$M$105</definedName>
    <definedName name="商业建筑结构" localSheetId="14">'[2]比较法-商业'!$B$105:$M$105</definedName>
    <definedName name="商业建筑结构">'比较法-商业'!$B$105:$M$105</definedName>
    <definedName name="商业交易情况" localSheetId="13">'[1]比较法-商业'!$A$61:$M$61</definedName>
    <definedName name="商业交易情况" localSheetId="14">'[2]比较法-商业'!$A$61:$M$61</definedName>
    <definedName name="商业交易情况">'比较法-商业'!$A$61:$M$61</definedName>
    <definedName name="商业街名称" localSheetId="13">[1]修正!$C$59:$C$119</definedName>
    <definedName name="商业街名称" localSheetId="14">[2]修正!$C$59:$C$119</definedName>
    <definedName name="商业街名称">修正!$C$59:$C$119</definedName>
    <definedName name="商业进深比" localSheetId="13">'[1]比较法-商业'!$B$120:$M$120</definedName>
    <definedName name="商业进深比" localSheetId="14">'[2]比较法-商业'!$B$120:$M$120</definedName>
    <definedName name="商业进深比">'比较法-商业'!$B$120:$M$120</definedName>
    <definedName name="商业类型" localSheetId="13">'[1]比较法-商业'!$B$100:$M$100</definedName>
    <definedName name="商业类型" localSheetId="14">'[2]比较法-商业'!$B$100:$M$100</definedName>
    <definedName name="商业类型">'比较法-商业'!$B$100:$M$100</definedName>
    <definedName name="商业临街状况" localSheetId="13">'[1]比较法-商业'!$B$86:$M$86</definedName>
    <definedName name="商业临街状况" localSheetId="14">'[2]比较法-商业'!$B$86:$M$86</definedName>
    <definedName name="商业临街状况">'比较法-商业'!$B$86:$M$86</definedName>
    <definedName name="商业楼层" localSheetId="13">'[1]比较法-商业'!$B$92:$M$92</definedName>
    <definedName name="商业楼层" localSheetId="14">'[2]比较法-商业'!$B$92:$M$92</definedName>
    <definedName name="商业楼层">'比较法-商业'!$B$92:$M$92</definedName>
    <definedName name="商业内部装修" localSheetId="13">'[1]比较法-商业'!$B$122:$M$122</definedName>
    <definedName name="商业内部装修" localSheetId="14">'[2]比较法-商业'!$B$122:$M$122</definedName>
    <definedName name="商业内部装修">'比较法-商业'!$B$122:$M$122</definedName>
    <definedName name="商业人流量" localSheetId="13">'[1]比较法-商业'!$B$90:$M$90</definedName>
    <definedName name="商业人流量" localSheetId="14">'[2]比较法-商业'!$B$90:$M$90</definedName>
    <definedName name="商业人流量">'比较法-商业'!$B$90:$M$90</definedName>
    <definedName name="商业业态" localSheetId="13">'[1]比较法-商业'!$B$114:$M$114</definedName>
    <definedName name="商业业态" localSheetId="14">'[2]比较法-商业'!$B$114:$M$114</definedName>
    <definedName name="商业业态">'比较法-商业'!$B$114:$M$114</definedName>
    <definedName name="商业用途" localSheetId="13">'[1]比较法-商业'!$B$63:$M$63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14">'[2]比较法-仓储'!$B$89:$M$89</definedName>
    <definedName name="是否封闭">'比较法-仓储'!$B$89:$M$89</definedName>
    <definedName name="是否直接入户" localSheetId="13">'[1]比较法-车位'!$B$95:$M$95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14">'[2]土地比较法-工业'!$B$97:$M$97</definedName>
    <definedName name="套工道路等级">'土地比较法-工业'!$B$97:$M$97</definedName>
    <definedName name="套工地质条件" localSheetId="13">'[1]土地比较法-工业'!$B$114:$M$114</definedName>
    <definedName name="套工地质条件" localSheetId="14">'[2]土地比较法-工业'!$B$114:$M$114</definedName>
    <definedName name="套工地质条件">'土地比较法-工业'!$B$114:$M$114</definedName>
    <definedName name="套工交易情况" localSheetId="13">'[1]土地比较法-住宅、综合'!$A$73:$M$73</definedName>
    <definedName name="套工交易情况" localSheetId="14">'[2]土地比较法-住宅、综合'!$A$73:$M$73</definedName>
    <definedName name="套工交易情况">'土地比较法-住宅、综合'!$A$73:$M$73</definedName>
    <definedName name="套工土地级别" localSheetId="13">'[1]土地比较法-工业'!$B$99:$M$99</definedName>
    <definedName name="套工土地级别" localSheetId="14">'[2]土地比较法-工业'!$B$99:$M$99</definedName>
    <definedName name="套工土地级别">'土地比较法-工业'!$B$99:$M$99</definedName>
    <definedName name="套工用途" localSheetId="13">'[1]土地比较法-工业'!$B$70:$M$70</definedName>
    <definedName name="套工用途" localSheetId="14">'[2]土地比较法-工业'!$B$70:$M$70</definedName>
    <definedName name="套工用途">'土地比较法-工业'!$B$70:$M$70</definedName>
    <definedName name="套工宗地开发程度" localSheetId="13">'[1]土地比较法-工业'!$B$112:$M$112</definedName>
    <definedName name="套工宗地开发程度" localSheetId="14">'[2]土地比较法-工业'!$B$112:$M$112</definedName>
    <definedName name="套工宗地开发程度">'土地比较法-工业'!$B$112:$M$112</definedName>
    <definedName name="套工宗地形状" localSheetId="13">'[1]土地比较法-工业'!$B$110:$M$110</definedName>
    <definedName name="套工宗地形状" localSheetId="14">'[2]土地比较法-工业'!$B$110:$M$110</definedName>
    <definedName name="套工宗地形状">'土地比较法-工业'!$B$110:$M$110</definedName>
    <definedName name="套综道路等级" localSheetId="13">'[1]土地比较法-住宅、综合'!$B$106:$M$106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3">'[1]土地比较法-住宅、综合'!$A$73:$M$73</definedName>
    <definedName name="套综交易情况" localSheetId="14">'[2]土地比较法-住宅、综合'!$A$73:$M$73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14">'[2]土地比较法-住宅、综合'!$B$108:$M$108</definedName>
    <definedName name="套综土地级别">'土地比较法-住宅、综合'!$B$108:$M$108</definedName>
    <definedName name="套综用途" localSheetId="13">'[1]土地比较法-住宅、综合'!$B$75:$M$75</definedName>
    <definedName name="套综用途" localSheetId="14">'[2]土地比较法-住宅、综合'!$B$75:$M$75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14">[2]定义!$C$1:$C$14</definedName>
    <definedName name="土地级别">定义!$C$1:$C$14</definedName>
    <definedName name="土地利用方向">定义!$P$1:$P$6</definedName>
    <definedName name="土地年限区间" localSheetId="13">[1]定义!$I$1:$I$8</definedName>
    <definedName name="土地年限区间" localSheetId="14">[2]定义!$I$1:$I$8</definedName>
    <definedName name="土地年限区间">定义!$I$1:$I$8</definedName>
    <definedName name="位置" localSheetId="13">[1]定义!$E$2:$E$4</definedName>
    <definedName name="位置" localSheetId="14">[2]定义!$E$2:$E$4</definedName>
    <definedName name="位置">定义!$E$2:$E$4</definedName>
    <definedName name="五等判定" localSheetId="13">[1]定义!$W$1:$W$6</definedName>
    <definedName name="五等判定" localSheetId="14">[2]定义!$W$1:$W$6</definedName>
    <definedName name="五等判定">定义!$W$1:$W$6</definedName>
    <definedName name="五级">区片价!$L$1:$L$35</definedName>
    <definedName name="项目类型" localSheetId="13">'[1]数据-汇总表'!$C$17:$C$26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13">'[1]比较法-办公'!$B$113:$M$113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3">[1]典型户型修正!$5:$5</definedName>
    <definedName name="一修多修正项2" localSheetId="14">[2]典型户型修正!$5:$5</definedName>
    <definedName name="一修多修正项2">典型户型修正!$5:$5</definedName>
    <definedName name="一修多修正项3" localSheetId="13">[1]典型户型修正!$7:$7</definedName>
    <definedName name="一修多修正项3" localSheetId="14">[2]典型户型修正!$7:$7</definedName>
    <definedName name="一修多修正项3">典型户型修正!$7:$7</definedName>
    <definedName name="一修多修正项4" localSheetId="13">[1]典型户型修正!$9:$9</definedName>
    <definedName name="一修多修正项4" localSheetId="14">[2]典型户型修正!$9:$9</definedName>
    <definedName name="一修多修正项4">典型户型修正!$9:$9</definedName>
    <definedName name="一修多修正项5" localSheetId="13">[1]典型户型修正!$11:$11</definedName>
    <definedName name="一修多修正项5" localSheetId="14">[2]典型户型修正!$11:$11</definedName>
    <definedName name="一修多修正项5">典型户型修正!$11:$11</definedName>
    <definedName name="一修多修正项6" localSheetId="13">[1]典型户型修正!$13:$13</definedName>
    <definedName name="一修多修正项6" localSheetId="14">[2]典型户型修正!$13:$13</definedName>
    <definedName name="一修多修正项6">典型户型修正!$13:$13</definedName>
    <definedName name="一修多修正项7" localSheetId="13">[1]典型户型修正!$15:$15</definedName>
    <definedName name="一修多修正项7" localSheetId="14">[2]典型户型修正!$15:$15</definedName>
    <definedName name="一修多修正项7">典型户型修正!$15:$15</definedName>
    <definedName name="一修多修正项8" localSheetId="13">[1]典型户型修正!$17:$17</definedName>
    <definedName name="一修多修正项8" localSheetId="14">[2]典型户型修正!$17:$17</definedName>
    <definedName name="一修多修正项8">典型户型修正!$17:$17</definedName>
    <definedName name="用途明细" localSheetId="13">[1]定义!$A$1:$A$50</definedName>
    <definedName name="用途明细" localSheetId="14">[2]定义!$A$1:$A$50</definedName>
    <definedName name="用途明细">定义!$A$1:$A$50</definedName>
    <definedName name="有无电梯" localSheetId="13">'[1]比较法-仓储'!$B$84:$M$84</definedName>
    <definedName name="有无电梯" localSheetId="14">'[2]比较法-仓储'!$B$84:$M$84</definedName>
    <definedName name="有无电梯">'比较法-仓储'!$B$84:$M$84</definedName>
    <definedName name="主用途" localSheetId="13">[1]定义!$F$1:$F$10</definedName>
    <definedName name="主用途" localSheetId="14">[2]定义!$F$1:$F$10</definedName>
    <definedName name="主用途">定义!$F$1:$F$10</definedName>
    <definedName name="住宅朝向" localSheetId="13">'[1]比较法-住宅'!$B$88:$M$88</definedName>
    <definedName name="住宅朝向" localSheetId="14">'[2]比较法-住宅'!$B$88:$M$88</definedName>
    <definedName name="住宅朝向">'比较法-住宅'!$B$88:$M$88</definedName>
    <definedName name="住宅房型" localSheetId="13">'[1]比较法-住宅'!$B$118:$M$118</definedName>
    <definedName name="住宅房型" localSheetId="14">'[2]比较法-住宅'!$B$118:$M$118</definedName>
    <definedName name="住宅房型">'比较法-住宅'!$B$118:$M$118</definedName>
    <definedName name="住宅公共部分装修" localSheetId="13">'[1]比较法-住宅'!$B$109:$M$109</definedName>
    <definedName name="住宅公共部分装修" localSheetId="14">'[2]比较法-住宅'!$B$109:$M$109</definedName>
    <definedName name="住宅公共部分装修">'比较法-住宅'!$B$109:$M$109</definedName>
    <definedName name="住宅基础设施水平" localSheetId="13">'[1]比较法-住宅'!$B$116:$M$116</definedName>
    <definedName name="住宅基础设施水平" localSheetId="14">'[2]比较法-住宅'!$B$116:$M$116</definedName>
    <definedName name="住宅基础设施水平">'比较法-住宅'!$B$116:$M$116</definedName>
    <definedName name="住宅建筑结构" localSheetId="13">'[1]比较法-住宅'!$B$105:$M$105</definedName>
    <definedName name="住宅建筑结构" localSheetId="14">'[2]比较法-住宅'!$B$105:$M$105</definedName>
    <definedName name="住宅建筑结构">'比较法-住宅'!$B$105:$M$105</definedName>
    <definedName name="住宅建筑类型" localSheetId="13">'[1]比较法-住宅'!$B$100:$M$100</definedName>
    <definedName name="住宅建筑类型" localSheetId="14">'[2]比较法-住宅'!$B$100:$M$100</definedName>
    <definedName name="住宅建筑类型">'比较法-住宅'!$B$100:$M$100</definedName>
    <definedName name="住宅建筑品质" localSheetId="13">'[1]比较法-住宅'!$B$107:$M$107</definedName>
    <definedName name="住宅建筑品质" localSheetId="14">'[2]比较法-住宅'!$B$107:$M$107</definedName>
    <definedName name="住宅建筑品质">'比较法-住宅'!$B$107:$M$107</definedName>
    <definedName name="住宅交易情况" localSheetId="13">'[1]比较法-住宅'!$A$61:$M$61</definedName>
    <definedName name="住宅交易情况" localSheetId="14">'[2]比较法-住宅'!$A$61:$M$61</definedName>
    <definedName name="住宅交易情况">'比较法-住宅'!$A$61:$M$61</definedName>
    <definedName name="住宅楼层" localSheetId="13">'[1]比较法-住宅'!$B$86:$M$86</definedName>
    <definedName name="住宅楼层" localSheetId="14">'[2]比较法-住宅'!$B$86:$M$86</definedName>
    <definedName name="住宅楼层">'比较法-住宅'!$B$86:$M$86</definedName>
    <definedName name="住宅内部装修" localSheetId="13">'[1]比较法-住宅'!$B$122:$M$122</definedName>
    <definedName name="住宅内部装修" localSheetId="14">'[2]比较法-住宅'!$B$122:$M$122</definedName>
    <definedName name="住宅内部装修">'比较法-住宅'!$B$122:$M$122</definedName>
    <definedName name="住宅物业管理" localSheetId="13">'[1]比较法-住宅'!$B$114:$M$114</definedName>
    <definedName name="住宅物业管理" localSheetId="14">'[2]比较法-住宅'!$B$114:$M$114</definedName>
    <definedName name="住宅物业管理">'比较法-住宅'!$B$114:$M$114</definedName>
    <definedName name="住宅用途" localSheetId="1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4">[2]估价师及机构信息!$A$3:$A$16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14" i="9" l="1"/>
  <c r="D59" i="21"/>
  <c r="E59" i="21" s="1"/>
  <c r="F59" i="21" s="1"/>
  <c r="G59" i="21" s="1"/>
  <c r="H59" i="21" s="1"/>
  <c r="D83" i="82"/>
  <c r="C83" i="82"/>
  <c r="B83" i="82"/>
  <c r="E83" i="82"/>
  <c r="D82" i="82"/>
  <c r="E82" i="82"/>
  <c r="F82" i="82"/>
  <c r="C82" i="82"/>
  <c r="B82" i="82"/>
  <c r="J37" i="21"/>
  <c r="H37" i="21"/>
  <c r="C113" i="21"/>
  <c r="D113" i="21"/>
  <c r="I33" i="21"/>
  <c r="G33" i="21"/>
  <c r="E33" i="21"/>
  <c r="I47" i="21"/>
  <c r="G47" i="21"/>
  <c r="E47" i="21"/>
  <c r="E104" i="21"/>
  <c r="D104" i="21" s="1"/>
  <c r="C104" i="21" s="1"/>
  <c r="G104" i="21"/>
  <c r="H104" i="21" s="1"/>
  <c r="C33" i="21"/>
  <c r="E87" i="21"/>
  <c r="D87" i="21"/>
  <c r="C87" i="21" s="1"/>
  <c r="F87" i="21"/>
  <c r="H87" i="21"/>
  <c r="I104" i="21" l="1"/>
  <c r="J33" i="21"/>
  <c r="I7" i="21" l="1"/>
  <c r="G7" i="21"/>
  <c r="E7" i="21"/>
  <c r="D30" i="43" l="1"/>
  <c r="I20" i="43" l="1"/>
  <c r="D29" i="43"/>
  <c r="B21" i="1" l="1"/>
  <c r="N20" i="1"/>
  <c r="E30" i="80"/>
  <c r="D30" i="80"/>
  <c r="C30" i="80"/>
  <c r="B30" i="80"/>
  <c r="N38" i="9" l="1"/>
  <c r="N39" i="9" s="1"/>
  <c r="N37" i="9"/>
  <c r="N36" i="9"/>
  <c r="N35" i="9"/>
  <c r="N34" i="9"/>
  <c r="C11" i="15" l="1"/>
  <c r="N26" i="81"/>
  <c r="N27" i="81"/>
  <c r="N24" i="81"/>
  <c r="N23" i="81"/>
  <c r="N22" i="81"/>
  <c r="B15" i="74" l="1"/>
  <c r="H15" i="74"/>
  <c r="C15" i="74"/>
  <c r="H28" i="81"/>
  <c r="N28" i="81" s="1"/>
  <c r="H33" i="81"/>
  <c r="H32" i="81"/>
  <c r="I27" i="81"/>
  <c r="J27" i="81" s="1"/>
  <c r="L26" i="81"/>
  <c r="J26" i="81"/>
  <c r="L25" i="81"/>
  <c r="J25" i="81"/>
  <c r="I24" i="81"/>
  <c r="L24" i="81" s="1"/>
  <c r="I23" i="81"/>
  <c r="J23" i="81" s="1"/>
  <c r="I22" i="81"/>
  <c r="L22" i="81" s="1"/>
  <c r="I17" i="81"/>
  <c r="L17" i="81" s="1"/>
  <c r="I16" i="81"/>
  <c r="L16" i="81" s="1"/>
  <c r="I15" i="81"/>
  <c r="L15" i="81" s="1"/>
  <c r="I14" i="81"/>
  <c r="L14" i="81" s="1"/>
  <c r="I13" i="81"/>
  <c r="L13" i="81" s="1"/>
  <c r="I12" i="81"/>
  <c r="L12" i="81" s="1"/>
  <c r="H11" i="81"/>
  <c r="H18" i="81" s="1"/>
  <c r="I10" i="81"/>
  <c r="L10" i="81" s="1"/>
  <c r="L9" i="81"/>
  <c r="J9" i="81"/>
  <c r="L8" i="81"/>
  <c r="J8" i="81"/>
  <c r="J7" i="81"/>
  <c r="I7" i="81"/>
  <c r="L7" i="81" s="1"/>
  <c r="L6" i="81"/>
  <c r="J6" i="81"/>
  <c r="L5" i="81"/>
  <c r="I5" i="81"/>
  <c r="I4" i="81"/>
  <c r="L4" i="81" s="1"/>
  <c r="F70" i="15"/>
  <c r="F52" i="15"/>
  <c r="U5" i="43"/>
  <c r="U4" i="43"/>
  <c r="U3" i="43"/>
  <c r="U2" i="43"/>
  <c r="AD18" i="1"/>
  <c r="AD20" i="1" s="1"/>
  <c r="AD6" i="1" s="1"/>
  <c r="J14" i="81" l="1"/>
  <c r="I11" i="81"/>
  <c r="L11" i="81" s="1"/>
  <c r="J16" i="81"/>
  <c r="O26" i="81"/>
  <c r="O22" i="81"/>
  <c r="O23" i="81"/>
  <c r="O24" i="81"/>
  <c r="O27" i="81"/>
  <c r="J12" i="81"/>
  <c r="I18" i="81"/>
  <c r="I28" i="81"/>
  <c r="J4" i="81"/>
  <c r="J10" i="81"/>
  <c r="J11" i="81"/>
  <c r="J13" i="81"/>
  <c r="J15" i="81"/>
  <c r="J17" i="81"/>
  <c r="J22" i="81"/>
  <c r="L23" i="81"/>
  <c r="J24" i="81"/>
  <c r="L27" i="81"/>
  <c r="J28" i="81" l="1"/>
  <c r="O28" i="81"/>
  <c r="J18" i="81"/>
  <c r="F30" i="80" l="1"/>
  <c r="G30" i="80"/>
  <c r="C75" i="9" s="1"/>
  <c r="C66" i="9" s="1"/>
  <c r="D7" i="80"/>
  <c r="D11" i="79" l="1"/>
  <c r="D12" i="79"/>
  <c r="D13" i="79"/>
  <c r="D14" i="79"/>
  <c r="D15" i="79"/>
  <c r="D16" i="79"/>
  <c r="D17" i="79"/>
  <c r="D18" i="79"/>
  <c r="D19" i="79"/>
  <c r="D20" i="79"/>
  <c r="D21" i="79"/>
  <c r="D22" i="79"/>
  <c r="D23" i="79"/>
  <c r="D24" i="79"/>
  <c r="D25" i="79"/>
  <c r="D26" i="79"/>
  <c r="D27" i="79"/>
  <c r="D28" i="79"/>
  <c r="D29" i="79"/>
  <c r="D30" i="79"/>
  <c r="D31" i="79"/>
  <c r="D32" i="79"/>
  <c r="D33" i="79"/>
  <c r="D34" i="79"/>
  <c r="D35" i="79"/>
  <c r="D36" i="79"/>
  <c r="D37" i="79"/>
  <c r="D38" i="79"/>
  <c r="D39" i="79"/>
  <c r="D40" i="79"/>
  <c r="D41" i="79"/>
  <c r="D42" i="79"/>
  <c r="D43" i="79"/>
  <c r="D44" i="79"/>
  <c r="D45" i="79"/>
  <c r="D46" i="79"/>
  <c r="D47" i="79"/>
  <c r="D48" i="79"/>
  <c r="D49" i="79"/>
  <c r="D50" i="79"/>
  <c r="D51" i="79"/>
  <c r="D52" i="79"/>
  <c r="D53" i="79"/>
  <c r="D54" i="79"/>
  <c r="D55" i="79"/>
  <c r="D56" i="79"/>
  <c r="D57" i="79"/>
  <c r="D58" i="79"/>
  <c r="D59" i="79"/>
  <c r="D60" i="79"/>
  <c r="D61" i="79"/>
  <c r="D62" i="79"/>
  <c r="D63" i="79"/>
  <c r="D64" i="79"/>
  <c r="D65" i="79"/>
  <c r="D66" i="79"/>
  <c r="D67" i="79"/>
  <c r="D68" i="79"/>
  <c r="D69" i="79"/>
  <c r="D70" i="79"/>
  <c r="D71" i="79"/>
  <c r="D72" i="79"/>
  <c r="D73" i="79"/>
  <c r="D74" i="79"/>
  <c r="D75" i="79"/>
  <c r="D76" i="79"/>
  <c r="D77" i="79"/>
  <c r="D78" i="79"/>
  <c r="D79" i="79"/>
  <c r="D80" i="79"/>
  <c r="D10" i="79"/>
  <c r="T7" i="31"/>
  <c r="T5" i="31"/>
  <c r="F105" i="34"/>
  <c r="F4" i="31" s="1"/>
  <c r="E4" i="31"/>
  <c r="D3" i="31"/>
  <c r="E3" i="31"/>
  <c r="F3" i="31"/>
  <c r="G3" i="31"/>
  <c r="H3" i="31"/>
  <c r="I3" i="31"/>
  <c r="J3" i="31"/>
  <c r="K3" i="31"/>
  <c r="C3" i="31"/>
  <c r="D105" i="34"/>
  <c r="D4" i="31" s="1"/>
  <c r="D122" i="34"/>
  <c r="E122" i="34" s="1"/>
  <c r="F122" i="34" s="1"/>
  <c r="G122" i="34" s="1"/>
  <c r="H122" i="34" s="1"/>
  <c r="I122" i="34" s="1"/>
  <c r="G117" i="34"/>
  <c r="F117" i="34"/>
  <c r="E117" i="34"/>
  <c r="D117" i="34"/>
  <c r="C117" i="34"/>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37" i="31"/>
  <c r="B26" i="31"/>
  <c r="B27" i="31"/>
  <c r="B28" i="31"/>
  <c r="B29" i="31"/>
  <c r="B30" i="31"/>
  <c r="B31" i="31"/>
  <c r="B32" i="31"/>
  <c r="B33" i="31"/>
  <c r="B34" i="31"/>
  <c r="B35" i="31"/>
  <c r="B36" i="31"/>
  <c r="B25" i="31"/>
  <c r="B24" i="31"/>
  <c r="A67" i="31"/>
  <c r="A68" i="31"/>
  <c r="A69" i="31"/>
  <c r="A70"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37" i="31"/>
  <c r="A26" i="31"/>
  <c r="A27" i="31"/>
  <c r="A28" i="31"/>
  <c r="A29" i="31"/>
  <c r="A30" i="31"/>
  <c r="A31" i="31"/>
  <c r="A32" i="31"/>
  <c r="A33" i="31"/>
  <c r="A34" i="31"/>
  <c r="A35" i="31"/>
  <c r="A36" i="31"/>
  <c r="A25" i="31"/>
  <c r="A24" i="31"/>
  <c r="V25" i="1"/>
  <c r="X24" i="1"/>
  <c r="X23" i="1"/>
  <c r="X22" i="1"/>
  <c r="X21" i="1"/>
  <c r="N22" i="1"/>
  <c r="N6" i="1" s="1"/>
  <c r="Y6" i="1" s="1"/>
  <c r="F19" i="6"/>
  <c r="F49" i="78"/>
  <c r="G50" i="78" s="1"/>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14" i="78"/>
  <c r="H13" i="78"/>
  <c r="H12" i="78"/>
  <c r="H11" i="78"/>
  <c r="H10" i="78"/>
  <c r="H9" i="78"/>
  <c r="H8" i="78"/>
  <c r="H7" i="78"/>
  <c r="H6" i="78"/>
  <c r="H5" i="78"/>
  <c r="H4" i="78"/>
  <c r="H3" i="78"/>
  <c r="H2" i="78"/>
  <c r="D3" i="4"/>
  <c r="C105" i="34" l="1"/>
  <c r="C4" i="31" s="1"/>
  <c r="G105" i="34"/>
  <c r="H105" i="34" s="1"/>
  <c r="I105" i="34" s="1"/>
  <c r="J105" i="34" s="1"/>
  <c r="X25" i="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F49" i="15"/>
  <c r="G4" i="31"/>
  <c r="R14" i="77"/>
  <c r="R24" i="77" s="1"/>
  <c r="D29" i="77"/>
  <c r="E23" i="77"/>
  <c r="D26" i="77"/>
  <c r="D32" i="77" s="1"/>
  <c r="C29" i="77"/>
  <c r="C32" i="77" s="1"/>
  <c r="C38" i="77" s="1"/>
  <c r="C39" i="77" s="1"/>
  <c r="R35" i="77"/>
  <c r="U34" i="77" s="1"/>
  <c r="AH5" i="71"/>
  <c r="AG5" i="71"/>
  <c r="AE5" i="71"/>
  <c r="AF5" i="71" s="1"/>
  <c r="AD5" i="71"/>
  <c r="Q5" i="71"/>
  <c r="P5" i="71"/>
  <c r="O5" i="71"/>
  <c r="N5" i="71"/>
  <c r="R25" i="77" l="1"/>
  <c r="H4" i="31"/>
  <c r="R19" i="77"/>
  <c r="E26" i="77"/>
  <c r="E38" i="77"/>
  <c r="E39" i="77" s="1"/>
  <c r="C40" i="77" s="1"/>
  <c r="E29" i="77"/>
  <c r="AH6" i="71"/>
  <c r="AG6" i="71"/>
  <c r="AE6" i="71"/>
  <c r="AF6" i="71" s="1"/>
  <c r="AD6" i="71"/>
  <c r="Q6" i="71"/>
  <c r="P6" i="71"/>
  <c r="O6" i="71"/>
  <c r="N6" i="71"/>
  <c r="E32" i="77" l="1"/>
  <c r="R5" i="77"/>
  <c r="U5" i="77" s="1"/>
  <c r="I4" i="31"/>
  <c r="J4" i="31"/>
  <c r="B2" i="77"/>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c r="AD18" i="71"/>
  <c r="Q19" i="71"/>
  <c r="P19" i="71"/>
  <c r="O19" i="71"/>
  <c r="D21" i="71"/>
  <c r="AH19" i="71"/>
  <c r="AG19" i="71"/>
  <c r="AE19" i="71"/>
  <c r="AF19" i="71" s="1"/>
  <c r="AD19" i="71"/>
  <c r="AD20" i="71"/>
  <c r="AG20" i="71"/>
  <c r="AH20" i="71"/>
  <c r="AE20" i="71"/>
  <c r="AF20" i="71" s="1"/>
  <c r="N20" i="71"/>
  <c r="B20" i="71" s="1"/>
  <c r="Q20" i="71"/>
  <c r="F20" i="71" s="1"/>
  <c r="F19" i="71" s="1"/>
  <c r="P20" i="71"/>
  <c r="O20" i="71"/>
  <c r="C20" i="71" s="1"/>
  <c r="C19" i="71" s="1"/>
  <c r="Q21" i="71"/>
  <c r="P21" i="71"/>
  <c r="O21" i="71"/>
  <c r="N21" i="71"/>
  <c r="A2" i="53"/>
  <c r="B19" i="72" s="1"/>
  <c r="K59" i="67"/>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B65" i="72" s="1"/>
  <c r="A12" i="62"/>
  <c r="B58" i="72"/>
  <c r="A120" i="9"/>
  <c r="H2" i="52"/>
  <c r="A1" i="52"/>
  <c r="A3" i="53"/>
  <c r="Q22" i="71"/>
  <c r="P22" i="71"/>
  <c r="O22" i="71"/>
  <c r="N2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I9" i="43"/>
  <c r="AH9" i="43"/>
  <c r="AH10" i="43" s="1"/>
  <c r="AG9" i="43"/>
  <c r="AG10" i="43" s="1"/>
  <c r="AG12" i="43"/>
  <c r="AF9" i="43"/>
  <c r="AF10" i="43" s="1"/>
  <c r="AE9" i="43"/>
  <c r="AE12" i="43"/>
  <c r="AD9" i="43"/>
  <c r="AD12" i="43" s="1"/>
  <c r="AC9" i="43"/>
  <c r="AC12" i="43"/>
  <c r="AB9" i="43"/>
  <c r="AB12" i="43" s="1"/>
  <c r="AA9" i="43"/>
  <c r="Z9" i="43"/>
  <c r="Z12" i="43" s="1"/>
  <c r="AC10" i="43"/>
  <c r="AE10" i="43"/>
  <c r="Z10" i="43"/>
  <c r="K49" i="9"/>
  <c r="E107" i="9"/>
  <c r="A122" i="9"/>
  <c r="A8" i="52" s="1"/>
  <c r="B54" i="72" s="1"/>
  <c r="E111" i="9"/>
  <c r="A126" i="9" s="1"/>
  <c r="A12" i="52" s="1"/>
  <c r="B56" i="72" s="1"/>
  <c r="E109" i="9"/>
  <c r="A124" i="9" s="1"/>
  <c r="B44" i="72"/>
  <c r="B42" i="72"/>
  <c r="B69" i="72"/>
  <c r="B68" i="72"/>
  <c r="B63" i="72"/>
  <c r="B62" i="72"/>
  <c r="B67" i="72"/>
  <c r="B10" i="72"/>
  <c r="C53" i="10"/>
  <c r="B51" i="10"/>
  <c r="A18" i="51"/>
  <c r="B13" i="72" s="1"/>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B80" i="71"/>
  <c r="B79" i="71" s="1"/>
  <c r="B78" i="71" s="1"/>
  <c r="D77" i="71"/>
  <c r="Q76" i="71"/>
  <c r="P76" i="71"/>
  <c r="O76" i="71"/>
  <c r="N76" i="71"/>
  <c r="F76" i="71"/>
  <c r="V76" i="71" s="1"/>
  <c r="E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F71" i="71" s="1"/>
  <c r="F70" i="71" s="1"/>
  <c r="V72" i="71"/>
  <c r="E72" i="71"/>
  <c r="C72" i="71"/>
  <c r="T72" i="71"/>
  <c r="B72" i="71"/>
  <c r="B71" i="71" s="1"/>
  <c r="B70" i="71" s="1"/>
  <c r="S72" i="71"/>
  <c r="Q71" i="71"/>
  <c r="P71" i="71"/>
  <c r="O71" i="71"/>
  <c r="N71" i="71"/>
  <c r="Q70" i="71"/>
  <c r="P70" i="71"/>
  <c r="O70" i="71"/>
  <c r="N70" i="71"/>
  <c r="Q69" i="71"/>
  <c r="P69" i="71"/>
  <c r="O69" i="71"/>
  <c r="N69" i="71"/>
  <c r="D69" i="71"/>
  <c r="Q68" i="71"/>
  <c r="P68" i="71"/>
  <c r="O68" i="71"/>
  <c r="N68" i="71"/>
  <c r="F68" i="71"/>
  <c r="E68" i="71"/>
  <c r="U68" i="71" s="1"/>
  <c r="C68" i="71"/>
  <c r="B68" i="71"/>
  <c r="Q67" i="71"/>
  <c r="P67" i="71"/>
  <c r="O67" i="71"/>
  <c r="N67" i="71"/>
  <c r="Q66" i="71"/>
  <c r="P66" i="71"/>
  <c r="O66" i="71"/>
  <c r="N66" i="71"/>
  <c r="Q65" i="71"/>
  <c r="P65" i="71"/>
  <c r="O65" i="71"/>
  <c r="N65" i="71"/>
  <c r="D65" i="71"/>
  <c r="F64" i="71"/>
  <c r="E64" i="71"/>
  <c r="P64" i="71"/>
  <c r="C64" i="71"/>
  <c r="B64" i="7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c r="N53" i="71"/>
  <c r="B54" i="71" s="1"/>
  <c r="B55" i="71" s="1"/>
  <c r="B56" i="71" s="1"/>
  <c r="S56" i="71" s="1"/>
  <c r="D53" i="71"/>
  <c r="Q52" i="71"/>
  <c r="P52" i="71"/>
  <c r="O52" i="71"/>
  <c r="N52" i="71"/>
  <c r="Q51" i="71"/>
  <c r="P51" i="71"/>
  <c r="O51" i="71"/>
  <c r="N51" i="71"/>
  <c r="Q50" i="71"/>
  <c r="P50" i="71"/>
  <c r="E51" i="71" s="1"/>
  <c r="E52" i="71" s="1"/>
  <c r="U52" i="71" s="1"/>
  <c r="O50" i="71"/>
  <c r="N50" i="71"/>
  <c r="Q49" i="71"/>
  <c r="F50" i="71"/>
  <c r="F51" i="71"/>
  <c r="F52" i="71" s="1"/>
  <c r="V52" i="71" s="1"/>
  <c r="P49" i="71"/>
  <c r="E50" i="71" s="1"/>
  <c r="O49" i="71"/>
  <c r="C50" i="71" s="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s="1"/>
  <c r="B43" i="71" s="1"/>
  <c r="B44" i="71" s="1"/>
  <c r="S44" i="71" s="1"/>
  <c r="D41" i="71"/>
  <c r="Q40" i="71"/>
  <c r="P40" i="71"/>
  <c r="O40" i="71"/>
  <c r="N40" i="71"/>
  <c r="Q39" i="71"/>
  <c r="P39" i="71"/>
  <c r="O39" i="71"/>
  <c r="N39" i="71"/>
  <c r="Q38" i="71"/>
  <c r="P38" i="71"/>
  <c r="E39" i="71" s="1"/>
  <c r="E40" i="71" s="1"/>
  <c r="U40" i="71" s="1"/>
  <c r="O38" i="71"/>
  <c r="N38" i="71"/>
  <c r="F38" i="71"/>
  <c r="F39" i="71" s="1"/>
  <c r="F40" i="71" s="1"/>
  <c r="V40" i="71" s="1"/>
  <c r="Q37" i="71"/>
  <c r="P37" i="71"/>
  <c r="E38" i="71" s="1"/>
  <c r="O37" i="71"/>
  <c r="C38" i="71" s="1"/>
  <c r="N37" i="71"/>
  <c r="B38" i="71"/>
  <c r="B39" i="71" s="1"/>
  <c r="B40" i="71" s="1"/>
  <c r="S40" i="71" s="1"/>
  <c r="D37" i="71"/>
  <c r="Q36" i="71"/>
  <c r="P36" i="71"/>
  <c r="O36" i="71"/>
  <c r="N36" i="71"/>
  <c r="Q35" i="71"/>
  <c r="P35" i="71"/>
  <c r="AA35" i="71" s="1"/>
  <c r="O35" i="71"/>
  <c r="Y35" i="71"/>
  <c r="Z35" i="71" s="1"/>
  <c r="N35" i="71"/>
  <c r="X35" i="71" s="1"/>
  <c r="Q34" i="71"/>
  <c r="P34" i="71"/>
  <c r="AA34" i="71" s="1"/>
  <c r="O34" i="71"/>
  <c r="Y34" i="71" s="1"/>
  <c r="Z34" i="71" s="1"/>
  <c r="N34" i="71"/>
  <c r="Q33" i="71"/>
  <c r="F34" i="71" s="1"/>
  <c r="F35" i="71" s="1"/>
  <c r="P33" i="71"/>
  <c r="E34" i="71" s="1"/>
  <c r="E35" i="71" s="1"/>
  <c r="E36" i="71" s="1"/>
  <c r="U36" i="71" s="1"/>
  <c r="O33" i="71"/>
  <c r="Y33" i="71" s="1"/>
  <c r="Z33" i="71" s="1"/>
  <c r="N33" i="71"/>
  <c r="B34" i="71" s="1"/>
  <c r="B35" i="71" s="1"/>
  <c r="B36" i="71" s="1"/>
  <c r="D33" i="71"/>
  <c r="Q32" i="71"/>
  <c r="AB32" i="71" s="1"/>
  <c r="P32" i="71"/>
  <c r="O32" i="71"/>
  <c r="N32" i="71"/>
  <c r="Q31" i="71"/>
  <c r="P31" i="71"/>
  <c r="O31" i="71"/>
  <c r="N31" i="71"/>
  <c r="Q30" i="71"/>
  <c r="AB30" i="71" s="1"/>
  <c r="P30" i="71"/>
  <c r="O30" i="71"/>
  <c r="N30" i="71"/>
  <c r="Q29" i="71"/>
  <c r="P29" i="71"/>
  <c r="O29" i="71"/>
  <c r="N29" i="71"/>
  <c r="B30" i="71" s="1"/>
  <c r="B31" i="71" s="1"/>
  <c r="B32" i="71" s="1"/>
  <c r="S32" i="71" s="1"/>
  <c r="D29" i="71"/>
  <c r="Q28" i="71"/>
  <c r="P28" i="71"/>
  <c r="O28" i="71"/>
  <c r="N28" i="71"/>
  <c r="Q27" i="71"/>
  <c r="P27" i="71"/>
  <c r="O27" i="71"/>
  <c r="N27" i="71"/>
  <c r="Q26" i="71"/>
  <c r="P26" i="71"/>
  <c r="O26" i="71"/>
  <c r="N26" i="71"/>
  <c r="X26" i="71" s="1"/>
  <c r="Q25" i="71"/>
  <c r="F26" i="71" s="1"/>
  <c r="F27" i="71" s="1"/>
  <c r="F28" i="71" s="1"/>
  <c r="V28" i="71" s="1"/>
  <c r="P25" i="71"/>
  <c r="O25" i="71"/>
  <c r="N25" i="71"/>
  <c r="D25" i="71"/>
  <c r="O24" i="71"/>
  <c r="N24" i="71"/>
  <c r="B24" i="71" s="1"/>
  <c r="B26" i="71"/>
  <c r="B27" i="71" s="1"/>
  <c r="B28" i="71" s="1"/>
  <c r="S28" i="71" s="1"/>
  <c r="S36" i="71"/>
  <c r="X33" i="71"/>
  <c r="N64" i="71"/>
  <c r="C30" i="71"/>
  <c r="C31" i="71"/>
  <c r="C32" i="71" s="1"/>
  <c r="X31" i="71"/>
  <c r="C34" i="71"/>
  <c r="X34" i="71"/>
  <c r="C24" i="71"/>
  <c r="Y23" i="71"/>
  <c r="Z23" i="71" s="1"/>
  <c r="X23" i="71"/>
  <c r="D30" i="71"/>
  <c r="C47" i="71"/>
  <c r="D46" i="71"/>
  <c r="P24" i="71"/>
  <c r="E24" i="71" s="1"/>
  <c r="U64" i="71"/>
  <c r="E63" i="71"/>
  <c r="Q24" i="71"/>
  <c r="Q64" i="71"/>
  <c r="E67" i="71"/>
  <c r="E66" i="71" s="1"/>
  <c r="C71" i="71"/>
  <c r="D71" i="71" s="1"/>
  <c r="D72" i="71"/>
  <c r="D76" i="71"/>
  <c r="C83" i="71"/>
  <c r="T24" i="71"/>
  <c r="C23" i="71"/>
  <c r="C22" i="71" s="1"/>
  <c r="D22" i="71" s="1"/>
  <c r="F24" i="71"/>
  <c r="D24" i="71"/>
  <c r="U24" i="71" s="1"/>
  <c r="C70" i="71"/>
  <c r="D70" i="71" s="1"/>
  <c r="D47"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s="1"/>
  <c r="A13" i="70"/>
  <c r="E13" i="70" s="1"/>
  <c r="A6" i="70"/>
  <c r="Q25" i="40"/>
  <c r="Z25" i="40" s="1"/>
  <c r="D94" i="40"/>
  <c r="E94" i="40" s="1"/>
  <c r="F25" i="40"/>
  <c r="AA25" i="40" s="1"/>
  <c r="Q29" i="39"/>
  <c r="Z29" i="39" s="1"/>
  <c r="D103" i="39"/>
  <c r="E103" i="39" s="1"/>
  <c r="F103" i="39" s="1"/>
  <c r="G103" i="39" s="1"/>
  <c r="F29" i="39"/>
  <c r="AA29" i="39" s="1"/>
  <c r="Q18" i="36"/>
  <c r="Z18" i="36" s="1"/>
  <c r="D66" i="36"/>
  <c r="E66" i="36"/>
  <c r="F66" i="36" s="1"/>
  <c r="G66" i="36" s="1"/>
  <c r="H18" i="36"/>
  <c r="AB18" i="36" s="1"/>
  <c r="F18" i="36"/>
  <c r="S18" i="36" s="1"/>
  <c r="AA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c r="C21" i="34"/>
  <c r="Q21" i="33"/>
  <c r="Z21" i="33" s="1"/>
  <c r="D83" i="33"/>
  <c r="E83" i="33"/>
  <c r="C21" i="33"/>
  <c r="C21" i="21"/>
  <c r="Q21" i="21"/>
  <c r="Z21" i="21" s="1"/>
  <c r="H19" i="21"/>
  <c r="D83" i="21"/>
  <c r="F21" i="21"/>
  <c r="AA21" i="21" s="1"/>
  <c r="D81" i="21"/>
  <c r="G20" i="20"/>
  <c r="B86" i="43"/>
  <c r="C22" i="20"/>
  <c r="C25" i="40"/>
  <c r="S25" i="40"/>
  <c r="S29" i="39"/>
  <c r="U18" i="36"/>
  <c r="S21" i="34"/>
  <c r="F94" i="40"/>
  <c r="G94" i="40" s="1"/>
  <c r="H25" i="40"/>
  <c r="AB25" i="40" s="1"/>
  <c r="J25" i="40"/>
  <c r="AC25" i="40" s="1"/>
  <c r="H29" i="39"/>
  <c r="AB29" i="39" s="1"/>
  <c r="J29" i="39"/>
  <c r="AC29" i="39" s="1"/>
  <c r="J18" i="36"/>
  <c r="AC18" i="36" s="1"/>
  <c r="H18" i="35"/>
  <c r="J18" i="35"/>
  <c r="H21" i="37"/>
  <c r="AB21" i="37" s="1"/>
  <c r="F21" i="37"/>
  <c r="AA21" i="37" s="1"/>
  <c r="H21" i="34"/>
  <c r="AB21" i="34" s="1"/>
  <c r="F83" i="33"/>
  <c r="H21" i="33"/>
  <c r="U21" i="33" s="1"/>
  <c r="F21" i="33"/>
  <c r="AA21" i="33" s="1"/>
  <c r="E83" i="21"/>
  <c r="F83" i="21" s="1"/>
  <c r="G83" i="21" s="1"/>
  <c r="H1" i="69"/>
  <c r="U29" i="39"/>
  <c r="W18" i="36"/>
  <c r="U21" i="37"/>
  <c r="AB21" i="33"/>
  <c r="AB18" i="35"/>
  <c r="U18" i="35"/>
  <c r="J21" i="37"/>
  <c r="W21" i="37" s="1"/>
  <c r="J21" i="34"/>
  <c r="W21" i="34" s="1"/>
  <c r="G83" i="33"/>
  <c r="J21" i="33"/>
  <c r="W21" i="33" s="1"/>
  <c r="H21" i="21"/>
  <c r="U21" i="21" s="1"/>
  <c r="F38" i="69"/>
  <c r="E37" i="69"/>
  <c r="F36" i="69"/>
  <c r="F35" i="69"/>
  <c r="F21" i="69"/>
  <c r="F20" i="69"/>
  <c r="F39" i="69" s="1"/>
  <c r="E10" i="69"/>
  <c r="E9" i="69"/>
  <c r="AC21" i="34"/>
  <c r="J21" i="2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s="1"/>
  <c r="D99" i="43"/>
  <c r="D108" i="43" s="1"/>
  <c r="E99" i="43"/>
  <c r="F99" i="43"/>
  <c r="F108" i="43" s="1"/>
  <c r="G99" i="43"/>
  <c r="G108" i="43" s="1"/>
  <c r="H99" i="43"/>
  <c r="H108" i="43" s="1"/>
  <c r="I99" i="43"/>
  <c r="I108" i="43" s="1"/>
  <c r="J99" i="43"/>
  <c r="J108" i="43" s="1"/>
  <c r="K99" i="43"/>
  <c r="K100" i="43" s="1"/>
  <c r="K108" i="43"/>
  <c r="L99" i="43"/>
  <c r="L108" i="43" s="1"/>
  <c r="M99" i="43"/>
  <c r="M108" i="43"/>
  <c r="C99" i="43"/>
  <c r="C108" i="43" s="1"/>
  <c r="N100" i="43"/>
  <c r="D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c r="K85" i="43"/>
  <c r="J85" i="43" s="1"/>
  <c r="M84" i="43"/>
  <c r="N84" i="43" s="1"/>
  <c r="K84" i="43"/>
  <c r="J84" i="43" s="1"/>
  <c r="M83" i="43"/>
  <c r="N83" i="43"/>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c r="K71" i="43"/>
  <c r="J71" i="43" s="1"/>
  <c r="D71" i="43"/>
  <c r="M70" i="43"/>
  <c r="N70" i="43" s="1"/>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s="1"/>
  <c r="K56" i="43"/>
  <c r="M55" i="43"/>
  <c r="N55" i="43" s="1"/>
  <c r="K55" i="43"/>
  <c r="J55" i="43" s="1"/>
  <c r="D55" i="43" s="1"/>
  <c r="M54" i="43"/>
  <c r="N54" i="43" s="1"/>
  <c r="K54" i="43"/>
  <c r="J54" i="43" s="1"/>
  <c r="D54" i="43" s="1"/>
  <c r="M53" i="43"/>
  <c r="N53" i="43" s="1"/>
  <c r="K53" i="43"/>
  <c r="M52" i="43"/>
  <c r="N52" i="43" s="1"/>
  <c r="K52" i="43"/>
  <c r="J52" i="43" s="1"/>
  <c r="D52" i="43"/>
  <c r="M51" i="43"/>
  <c r="N51" i="43" s="1"/>
  <c r="K51" i="43"/>
  <c r="J51" i="43"/>
  <c r="D51" i="43"/>
  <c r="M50" i="43"/>
  <c r="N50" i="43" s="1"/>
  <c r="K50" i="43"/>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B2" i="1"/>
  <c r="F15" i="4"/>
  <c r="F8" i="1"/>
  <c r="F9" i="1"/>
  <c r="F10" i="1"/>
  <c r="F11" i="1"/>
  <c r="F12" i="1"/>
  <c r="F13" i="1"/>
  <c r="D6" i="1"/>
  <c r="D9" i="1"/>
  <c r="D10" i="1"/>
  <c r="G10" i="1" s="1"/>
  <c r="D11" i="1"/>
  <c r="G11" i="1" s="1"/>
  <c r="D12" i="1"/>
  <c r="D13" i="1"/>
  <c r="D7" i="1"/>
  <c r="D8" i="1"/>
  <c r="G8" i="1" s="1"/>
  <c r="A7" i="1"/>
  <c r="B7" i="1" s="1"/>
  <c r="E7" i="1" s="1"/>
  <c r="A8" i="1"/>
  <c r="B8" i="1" s="1"/>
  <c r="E8" i="1" s="1"/>
  <c r="A9" i="1"/>
  <c r="A10" i="1"/>
  <c r="A11" i="1"/>
  <c r="A12" i="1"/>
  <c r="A13" i="1"/>
  <c r="B13" i="1" s="1"/>
  <c r="E13" i="1" s="1"/>
  <c r="A6" i="1"/>
  <c r="K1" i="12" s="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A95" i="3" s="1"/>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A89" i="3" s="1"/>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A87" i="3" s="1"/>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A78" i="3" s="1"/>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A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A300" i="3" s="1"/>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A482" i="3" s="1"/>
  <c r="AZ482" i="3" s="1"/>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G2" i="43"/>
  <c r="X7" i="43" s="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AF6" i="1" s="1"/>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I4"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0" i="31"/>
  <c r="G182"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s="1"/>
  <c r="G48" i="37"/>
  <c r="H48" i="37" s="1"/>
  <c r="E48" i="37"/>
  <c r="F48" i="37"/>
  <c r="I55" i="34"/>
  <c r="J55" i="34" s="1"/>
  <c r="G55" i="34"/>
  <c r="H55" i="34" s="1"/>
  <c r="E55" i="34"/>
  <c r="F55" i="34"/>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C26" i="35"/>
  <c r="C79" i="35" s="1"/>
  <c r="J31" i="35"/>
  <c r="W31" i="35" s="1"/>
  <c r="H31" i="35"/>
  <c r="AB31" i="35" s="1"/>
  <c r="F31" i="35"/>
  <c r="D87" i="35"/>
  <c r="E87" i="35" s="1"/>
  <c r="F87" i="35" s="1"/>
  <c r="G87" i="35"/>
  <c r="H87" i="35"/>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c r="G99" i="37"/>
  <c r="H99" i="37" s="1"/>
  <c r="I99" i="37" s="1"/>
  <c r="J99" i="37"/>
  <c r="K99" i="37" s="1"/>
  <c r="L99" i="37" s="1"/>
  <c r="M99" i="37" s="1"/>
  <c r="H42" i="34"/>
  <c r="U42" i="34" s="1"/>
  <c r="J42" i="34"/>
  <c r="W42" i="34" s="1"/>
  <c r="F42" i="34"/>
  <c r="J38" i="34"/>
  <c r="W38" i="34" s="1"/>
  <c r="D114" i="34"/>
  <c r="F38" i="34"/>
  <c r="S38" i="34" s="1"/>
  <c r="D112" i="34"/>
  <c r="E112" i="34" s="1"/>
  <c r="F112" i="34" s="1"/>
  <c r="G112" i="34" s="1"/>
  <c r="H112" i="34"/>
  <c r="I112" i="34" s="1"/>
  <c r="J112" i="34" s="1"/>
  <c r="K112" i="34" s="1"/>
  <c r="L112" i="34" s="1"/>
  <c r="M112" i="34" s="1"/>
  <c r="F40" i="33"/>
  <c r="J41" i="33"/>
  <c r="W41" i="33" s="1"/>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B116" i="40"/>
  <c r="F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J33" i="40"/>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c r="I96" i="40" s="1"/>
  <c r="J96" i="40" s="1"/>
  <c r="K96" i="40" s="1"/>
  <c r="L96" i="40" s="1"/>
  <c r="M96" i="40"/>
  <c r="B95" i="40"/>
  <c r="D92" i="40"/>
  <c r="E92" i="40"/>
  <c r="F92" i="40"/>
  <c r="G92" i="40" s="1"/>
  <c r="D90" i="40"/>
  <c r="E90" i="40" s="1"/>
  <c r="F90" i="40" s="1"/>
  <c r="G90" i="40" s="1"/>
  <c r="D88" i="40"/>
  <c r="E88" i="40"/>
  <c r="D86" i="40"/>
  <c r="E86" i="40"/>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c r="J40" i="40"/>
  <c r="H40" i="40"/>
  <c r="AB40" i="40" s="1"/>
  <c r="F40" i="40"/>
  <c r="AA40" i="40" s="1"/>
  <c r="Q39" i="40"/>
  <c r="Z39" i="40" s="1"/>
  <c r="Q38" i="40"/>
  <c r="Z38" i="40" s="1"/>
  <c r="J38" i="40"/>
  <c r="AC38" i="40" s="1"/>
  <c r="H38" i="40"/>
  <c r="Q37" i="40"/>
  <c r="Z37" i="40"/>
  <c r="Q36" i="40"/>
  <c r="Z36" i="40" s="1"/>
  <c r="Q35" i="40"/>
  <c r="Z35" i="40" s="1"/>
  <c r="Q34" i="40"/>
  <c r="Z34" i="40"/>
  <c r="J34" i="40"/>
  <c r="AC34" i="40" s="1"/>
  <c r="H34" i="40"/>
  <c r="AB34" i="40" s="1"/>
  <c r="F34" i="40"/>
  <c r="AA34" i="40"/>
  <c r="Q33" i="40"/>
  <c r="Z33" i="40" s="1"/>
  <c r="Q32" i="40"/>
  <c r="Z32" i="40"/>
  <c r="Q31" i="40"/>
  <c r="Z31" i="40" s="1"/>
  <c r="Q30" i="40"/>
  <c r="Z30" i="40"/>
  <c r="Q28" i="40"/>
  <c r="Z28" i="40"/>
  <c r="Q27" i="40"/>
  <c r="Z27" i="40" s="1"/>
  <c r="Q23" i="40"/>
  <c r="Z23" i="40" s="1"/>
  <c r="Q21" i="40"/>
  <c r="Z21" i="40"/>
  <c r="Q19" i="40"/>
  <c r="Z19" i="40"/>
  <c r="Q17" i="40"/>
  <c r="Z17" i="40" s="1"/>
  <c r="Q15" i="40"/>
  <c r="Z15" i="40" s="1"/>
  <c r="Q14" i="40"/>
  <c r="Z14" i="40" s="1"/>
  <c r="Q13" i="40"/>
  <c r="Z13" i="40"/>
  <c r="Q12" i="40"/>
  <c r="Z12" i="40" s="1"/>
  <c r="Q11" i="40"/>
  <c r="Z11" i="40" s="1"/>
  <c r="Q10" i="40"/>
  <c r="Z10" i="40" s="1"/>
  <c r="Q9" i="40"/>
  <c r="Z9" i="40"/>
  <c r="J9" i="40"/>
  <c r="W9" i="40" s="1"/>
  <c r="H9" i="40"/>
  <c r="AB9" i="40" s="1"/>
  <c r="F9" i="40"/>
  <c r="S9" i="40" s="1"/>
  <c r="J8" i="40"/>
  <c r="AC8" i="40" s="1"/>
  <c r="H8" i="40"/>
  <c r="AB8" i="40"/>
  <c r="F8" i="40"/>
  <c r="AA8" i="40" s="1"/>
  <c r="J38" i="39"/>
  <c r="W38" i="39" s="1"/>
  <c r="H38" i="39"/>
  <c r="AB38" i="39"/>
  <c r="F38" i="39"/>
  <c r="S38" i="39" s="1"/>
  <c r="D124" i="39"/>
  <c r="E124" i="39" s="1"/>
  <c r="F124" i="39"/>
  <c r="G124" i="39"/>
  <c r="H124" i="39" s="1"/>
  <c r="I124" i="39" s="1"/>
  <c r="J124" i="39" s="1"/>
  <c r="K124" i="39" s="1"/>
  <c r="L124" i="39" s="1"/>
  <c r="M124" i="39" s="1"/>
  <c r="D120" i="39"/>
  <c r="E120" i="39" s="1"/>
  <c r="F120" i="39" s="1"/>
  <c r="G120" i="39" s="1"/>
  <c r="H120" i="39" s="1"/>
  <c r="I120" i="39"/>
  <c r="J120" i="39" s="1"/>
  <c r="K120" i="39" s="1"/>
  <c r="L120" i="39" s="1"/>
  <c r="M120" i="39" s="1"/>
  <c r="B114" i="39"/>
  <c r="J37" i="39" s="1"/>
  <c r="D109" i="39"/>
  <c r="F34" i="39"/>
  <c r="S34" i="39" s="1"/>
  <c r="AA34" i="39"/>
  <c r="D107" i="39"/>
  <c r="E107" i="39"/>
  <c r="D105" i="39"/>
  <c r="E105" i="39" s="1"/>
  <c r="F105" i="39" s="1"/>
  <c r="G105" i="39"/>
  <c r="H105" i="39" s="1"/>
  <c r="I105" i="39" s="1"/>
  <c r="J105" i="39" s="1"/>
  <c r="K105" i="39" s="1"/>
  <c r="L105" i="39" s="1"/>
  <c r="M105" i="39" s="1"/>
  <c r="D101" i="39"/>
  <c r="D99" i="39"/>
  <c r="E99" i="39" s="1"/>
  <c r="F99" i="39" s="1"/>
  <c r="G99" i="39" s="1"/>
  <c r="Q39" i="39"/>
  <c r="Z39" i="39"/>
  <c r="Q40" i="39"/>
  <c r="Z40" i="39" s="1"/>
  <c r="Q41" i="39"/>
  <c r="Z41" i="39" s="1"/>
  <c r="Q42" i="39"/>
  <c r="Z42" i="39" s="1"/>
  <c r="Q43" i="39"/>
  <c r="Z43" i="39" s="1"/>
  <c r="Q44" i="39"/>
  <c r="Z44" i="39" s="1"/>
  <c r="Q45" i="39"/>
  <c r="Z45" i="39" s="1"/>
  <c r="Q38" i="39"/>
  <c r="Z38" i="39" s="1"/>
  <c r="Q36" i="39"/>
  <c r="Z36" i="39" s="1"/>
  <c r="Q37" i="39"/>
  <c r="Z37" i="39"/>
  <c r="B131" i="39"/>
  <c r="F45" i="39" s="1"/>
  <c r="B129" i="39"/>
  <c r="B127" i="39"/>
  <c r="J43" i="39" s="1"/>
  <c r="D126" i="39"/>
  <c r="E126" i="39" s="1"/>
  <c r="F126" i="39" s="1"/>
  <c r="G126" i="39"/>
  <c r="H126" i="39" s="1"/>
  <c r="I126" i="39" s="1"/>
  <c r="J126" i="39" s="1"/>
  <c r="K126" i="39" s="1"/>
  <c r="L126" i="39" s="1"/>
  <c r="M126" i="39" s="1"/>
  <c r="D122" i="39"/>
  <c r="E122" i="39"/>
  <c r="F122" i="39" s="1"/>
  <c r="G122" i="39" s="1"/>
  <c r="H122" i="39" s="1"/>
  <c r="I122" i="39" s="1"/>
  <c r="J122" i="39" s="1"/>
  <c r="K122" i="39" s="1"/>
  <c r="L122" i="39"/>
  <c r="M122" i="39" s="1"/>
  <c r="B104" i="39"/>
  <c r="D97" i="39"/>
  <c r="J23" i="39"/>
  <c r="AC23" i="39" s="1"/>
  <c r="D95" i="39"/>
  <c r="E95" i="39"/>
  <c r="F95" i="39"/>
  <c r="D93" i="39"/>
  <c r="E93" i="39" s="1"/>
  <c r="F93" i="39" s="1"/>
  <c r="G93" i="39" s="1"/>
  <c r="D91" i="39"/>
  <c r="E91" i="39" s="1"/>
  <c r="F91" i="39" s="1"/>
  <c r="G91" i="39" s="1"/>
  <c r="D89" i="39"/>
  <c r="E89" i="39"/>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c r="Q32" i="39"/>
  <c r="Z32" i="39" s="1"/>
  <c r="Q31" i="39"/>
  <c r="Z31" i="39"/>
  <c r="Q27" i="39"/>
  <c r="Z27" i="39" s="1"/>
  <c r="Q25" i="39"/>
  <c r="Z25" i="39"/>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F26" i="37" s="1"/>
  <c r="D79" i="37"/>
  <c r="E79" i="37" s="1"/>
  <c r="D75" i="37"/>
  <c r="E75" i="37"/>
  <c r="D73" i="37"/>
  <c r="E73" i="37" s="1"/>
  <c r="F73" i="37" s="1"/>
  <c r="D71" i="37"/>
  <c r="H15" i="37"/>
  <c r="AB15" i="37"/>
  <c r="B68" i="37"/>
  <c r="H14" i="37"/>
  <c r="AB14" i="37" s="1"/>
  <c r="B66" i="37"/>
  <c r="J13" i="37" s="1"/>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c r="Q26" i="37"/>
  <c r="Z26" i="37" s="1"/>
  <c r="Q25" i="37"/>
  <c r="Z25" i="37"/>
  <c r="Q23" i="37"/>
  <c r="Z23" i="37" s="1"/>
  <c r="Q19" i="37"/>
  <c r="Z19" i="37"/>
  <c r="Q17" i="37"/>
  <c r="Z17" i="37" s="1"/>
  <c r="Q15" i="37"/>
  <c r="Z15" i="37"/>
  <c r="Q14" i="37"/>
  <c r="Z14" i="37" s="1"/>
  <c r="Q13" i="37"/>
  <c r="Z13" i="37"/>
  <c r="Q12" i="37"/>
  <c r="Z12" i="37" s="1"/>
  <c r="Q11" i="37"/>
  <c r="Z11" i="37" s="1"/>
  <c r="Q10" i="37"/>
  <c r="Z10" i="37"/>
  <c r="F10" i="37"/>
  <c r="AA10" i="37" s="1"/>
  <c r="Q9" i="37"/>
  <c r="Z9" i="37" s="1"/>
  <c r="J8" i="37"/>
  <c r="W8" i="37"/>
  <c r="H8" i="37"/>
  <c r="AB8" i="37" s="1"/>
  <c r="F8" i="37"/>
  <c r="S8" i="37" s="1"/>
  <c r="J31" i="36"/>
  <c r="W31" i="36" s="1"/>
  <c r="H31" i="36"/>
  <c r="F31" i="36"/>
  <c r="S31" i="36" s="1"/>
  <c r="M86" i="36"/>
  <c r="L86" i="36"/>
  <c r="K86" i="36"/>
  <c r="J86" i="36"/>
  <c r="I86" i="36"/>
  <c r="H86" i="36"/>
  <c r="G86" i="36"/>
  <c r="F86" i="36"/>
  <c r="E86" i="36"/>
  <c r="D86" i="36"/>
  <c r="C86" i="36"/>
  <c r="D85" i="36"/>
  <c r="E85" i="36" s="1"/>
  <c r="F85" i="36" s="1"/>
  <c r="G85" i="36" s="1"/>
  <c r="H85" i="36" s="1"/>
  <c r="H29" i="36"/>
  <c r="D81" i="36"/>
  <c r="E81" i="36"/>
  <c r="F81" i="36" s="1"/>
  <c r="G81" i="36" s="1"/>
  <c r="H81" i="36" s="1"/>
  <c r="I81" i="36" s="1"/>
  <c r="J81" i="36" s="1"/>
  <c r="K81" i="36" s="1"/>
  <c r="L81" i="36" s="1"/>
  <c r="M81" i="36" s="1"/>
  <c r="F79" i="36"/>
  <c r="E79" i="36"/>
  <c r="D79" i="36"/>
  <c r="C79" i="36"/>
  <c r="B93" i="36"/>
  <c r="H33" i="36" s="1"/>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D62" i="36"/>
  <c r="E62" i="36" s="1"/>
  <c r="F62" i="36"/>
  <c r="G62" i="36" s="1"/>
  <c r="B59" i="36"/>
  <c r="F13" i="36" s="1"/>
  <c r="S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c r="AC30" i="36"/>
  <c r="Q29" i="36"/>
  <c r="Z29" i="36"/>
  <c r="Q28" i="36"/>
  <c r="Z28" i="36" s="1"/>
  <c r="J28" i="36"/>
  <c r="AC28" i="36" s="1"/>
  <c r="Q27" i="36"/>
  <c r="Z27" i="36" s="1"/>
  <c r="Q26" i="36"/>
  <c r="Z26" i="36"/>
  <c r="H26" i="36"/>
  <c r="AB26" i="36" s="1"/>
  <c r="Q25" i="36"/>
  <c r="Z25" i="36" s="1"/>
  <c r="Q24" i="36"/>
  <c r="Z24" i="36" s="1"/>
  <c r="Q23" i="36"/>
  <c r="Z23" i="36" s="1"/>
  <c r="J23" i="36"/>
  <c r="AC23" i="36" s="1"/>
  <c r="H23" i="36"/>
  <c r="AB23" i="36" s="1"/>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c r="F27" i="35"/>
  <c r="AA27" i="35" s="1"/>
  <c r="J22" i="35"/>
  <c r="B101" i="35"/>
  <c r="B99" i="35"/>
  <c r="B97" i="35"/>
  <c r="B77" i="35"/>
  <c r="B75" i="35"/>
  <c r="J24" i="35"/>
  <c r="AC24" i="35" s="1"/>
  <c r="B73" i="35"/>
  <c r="B57" i="35"/>
  <c r="B61" i="35"/>
  <c r="B59" i="35"/>
  <c r="F12" i="35" s="1"/>
  <c r="B131" i="34"/>
  <c r="F47" i="34" s="1"/>
  <c r="B129" i="34"/>
  <c r="B127" i="34"/>
  <c r="B99" i="34"/>
  <c r="F32" i="34" s="1"/>
  <c r="B97" i="34"/>
  <c r="H31" i="34" s="1"/>
  <c r="AB31" i="34" s="1"/>
  <c r="B95" i="34"/>
  <c r="B93" i="34"/>
  <c r="B75" i="34"/>
  <c r="F14" i="34" s="1"/>
  <c r="B73" i="34"/>
  <c r="F13" i="34" s="1"/>
  <c r="AA13" i="34" s="1"/>
  <c r="B71" i="34"/>
  <c r="B130" i="33"/>
  <c r="B128" i="33"/>
  <c r="J45" i="33" s="1"/>
  <c r="W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S12" i="35"/>
  <c r="Q11" i="35"/>
  <c r="Z11" i="35" s="1"/>
  <c r="Q10" i="35"/>
  <c r="Z10" i="35"/>
  <c r="Q9" i="35"/>
  <c r="Z9" i="35" s="1"/>
  <c r="J8" i="35"/>
  <c r="H8" i="35"/>
  <c r="AB8" i="35" s="1"/>
  <c r="F8" i="35"/>
  <c r="AA8" i="35"/>
  <c r="D120" i="34"/>
  <c r="E120" i="34" s="1"/>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Q33" i="34"/>
  <c r="Z33" i="34" s="1"/>
  <c r="Q32" i="34"/>
  <c r="Z32" i="34" s="1"/>
  <c r="Q31" i="34"/>
  <c r="Z31" i="34"/>
  <c r="Q30" i="34"/>
  <c r="Z30" i="34" s="1"/>
  <c r="Q29" i="34"/>
  <c r="Z29" i="34" s="1"/>
  <c r="Q28" i="34"/>
  <c r="Z28" i="34" s="1"/>
  <c r="Q27" i="34"/>
  <c r="Z27" i="34" s="1"/>
  <c r="Q25" i="34"/>
  <c r="Z25" i="34"/>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c r="J9" i="34"/>
  <c r="W9" i="34" s="1"/>
  <c r="F9" i="34"/>
  <c r="AA9" i="34"/>
  <c r="J8" i="34"/>
  <c r="H8" i="34"/>
  <c r="U8" i="34"/>
  <c r="F8" i="34"/>
  <c r="D121" i="33"/>
  <c r="E121" i="33" s="1"/>
  <c r="F109" i="33"/>
  <c r="E109" i="33"/>
  <c r="D109" i="33"/>
  <c r="C109" i="33"/>
  <c r="D91" i="33"/>
  <c r="E91" i="33"/>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s="1"/>
  <c r="Q42" i="33"/>
  <c r="Z42" i="33" s="1"/>
  <c r="J42" i="33"/>
  <c r="AC42" i="33"/>
  <c r="AC41" i="33"/>
  <c r="Q41" i="33"/>
  <c r="Z41" i="33" s="1"/>
  <c r="Q40" i="33"/>
  <c r="Z40" i="33" s="1"/>
  <c r="J40" i="33"/>
  <c r="H40" i="33"/>
  <c r="AB40" i="33" s="1"/>
  <c r="AA40" i="33"/>
  <c r="Q39" i="33"/>
  <c r="Z39" i="33" s="1"/>
  <c r="J39" i="33"/>
  <c r="AC39" i="33" s="1"/>
  <c r="Q38" i="33"/>
  <c r="Z38" i="33" s="1"/>
  <c r="J38" i="33"/>
  <c r="AC38" i="33"/>
  <c r="H38" i="33"/>
  <c r="AB38" i="33"/>
  <c r="F38" i="33"/>
  <c r="Q37" i="33"/>
  <c r="Z37" i="33" s="1"/>
  <c r="Q36" i="33"/>
  <c r="Z36" i="33"/>
  <c r="Q35" i="33"/>
  <c r="Z35" i="33" s="1"/>
  <c r="H35" i="33"/>
  <c r="AB35" i="33" s="1"/>
  <c r="Q34" i="33"/>
  <c r="Z34" i="33" s="1"/>
  <c r="Q33" i="33"/>
  <c r="Z33" i="33" s="1"/>
  <c r="J33" i="33"/>
  <c r="AC33" i="33"/>
  <c r="H33" i="33"/>
  <c r="AB33" i="33" s="1"/>
  <c r="F33" i="33"/>
  <c r="AA33" i="33" s="1"/>
  <c r="Q32" i="33"/>
  <c r="Z32" i="33"/>
  <c r="Q31" i="33"/>
  <c r="Z31" i="33" s="1"/>
  <c r="Q30" i="33"/>
  <c r="Z30" i="33" s="1"/>
  <c r="Q29" i="33"/>
  <c r="Z29" i="33"/>
  <c r="Q28" i="33"/>
  <c r="Z28" i="33" s="1"/>
  <c r="Q27" i="33"/>
  <c r="Z27" i="33" s="1"/>
  <c r="Q26" i="33"/>
  <c r="Z26" i="33" s="1"/>
  <c r="Q25" i="33"/>
  <c r="Z25" i="33" s="1"/>
  <c r="Q23" i="33"/>
  <c r="Z23" i="33"/>
  <c r="Q19" i="33"/>
  <c r="Z19" i="33" s="1"/>
  <c r="Q17" i="33"/>
  <c r="Z17" i="33" s="1"/>
  <c r="Q15" i="33"/>
  <c r="Z15" i="33"/>
  <c r="F15" i="33"/>
  <c r="AA15" i="33" s="1"/>
  <c r="Q14" i="33"/>
  <c r="Z14" i="33" s="1"/>
  <c r="Q13" i="33"/>
  <c r="Z13" i="33" s="1"/>
  <c r="Q12" i="33"/>
  <c r="Z12" i="33" s="1"/>
  <c r="H12" i="33"/>
  <c r="U12" i="33"/>
  <c r="Q11" i="33"/>
  <c r="Z11" i="33" s="1"/>
  <c r="Q10" i="33"/>
  <c r="Z10" i="33" s="1"/>
  <c r="Q9" i="33"/>
  <c r="Z9" i="33" s="1"/>
  <c r="AC9" i="33"/>
  <c r="H9" i="33"/>
  <c r="AB9" i="33" s="1"/>
  <c r="J8" i="33"/>
  <c r="AC8" i="33" s="1"/>
  <c r="H8" i="33"/>
  <c r="U8" i="33" s="1"/>
  <c r="F8" i="33"/>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B54" i="43" s="1"/>
  <c r="C20" i="20"/>
  <c r="B77" i="43" s="1"/>
  <c r="C18" i="20"/>
  <c r="B71" i="43" s="1"/>
  <c r="C17" i="20"/>
  <c r="B59" i="43" s="1"/>
  <c r="C16" i="20"/>
  <c r="C17" i="39" s="1"/>
  <c r="C15" i="20"/>
  <c r="E54" i="21"/>
  <c r="F54" i="2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40" i="21"/>
  <c r="S40" i="21" s="1"/>
  <c r="AA40" i="21"/>
  <c r="D117" i="21"/>
  <c r="E117" i="21" s="1"/>
  <c r="F117" i="21" s="1"/>
  <c r="G117" i="21" s="1"/>
  <c r="D115" i="21"/>
  <c r="E115" i="21"/>
  <c r="F115" i="21"/>
  <c r="G115" i="21" s="1"/>
  <c r="H115" i="21" s="1"/>
  <c r="I115" i="21" s="1"/>
  <c r="J115" i="21" s="1"/>
  <c r="K115" i="21" s="1"/>
  <c r="L115" i="21" s="1"/>
  <c r="M115" i="21" s="1"/>
  <c r="F113" i="21"/>
  <c r="G113" i="21" s="1"/>
  <c r="H113" i="21" s="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J44" i="21" s="1"/>
  <c r="AC44" i="21" s="1"/>
  <c r="B98" i="21"/>
  <c r="H31" i="21"/>
  <c r="B96" i="21"/>
  <c r="F30" i="21" s="1"/>
  <c r="B94" i="21"/>
  <c r="B92" i="21"/>
  <c r="B90" i="21"/>
  <c r="J27" i="21"/>
  <c r="W27" i="21" s="1"/>
  <c r="B74" i="21"/>
  <c r="B72" i="21"/>
  <c r="J13" i="21" s="1"/>
  <c r="H13" i="21"/>
  <c r="B70" i="21"/>
  <c r="J12" i="21" s="1"/>
  <c r="AC12" i="21" s="1"/>
  <c r="F12" i="21"/>
  <c r="S12" i="21" s="1"/>
  <c r="C19" i="21"/>
  <c r="C17" i="21"/>
  <c r="C23" i="21"/>
  <c r="Q9" i="21"/>
  <c r="Z9" i="21"/>
  <c r="Q10" i="21"/>
  <c r="Z10" i="21" s="1"/>
  <c r="Q11" i="21"/>
  <c r="Z11" i="21"/>
  <c r="Q12" i="21"/>
  <c r="Z12" i="21"/>
  <c r="Q13" i="21"/>
  <c r="Z13" i="21"/>
  <c r="Q14" i="21"/>
  <c r="Z14" i="21" s="1"/>
  <c r="Q15" i="21"/>
  <c r="Z15" i="21" s="1"/>
  <c r="Q17" i="21"/>
  <c r="Z17" i="21"/>
  <c r="Q19" i="21"/>
  <c r="Z19" i="21" s="1"/>
  <c r="Q23" i="21"/>
  <c r="Z23" i="21" s="1"/>
  <c r="Q25" i="21"/>
  <c r="Z25" i="21" s="1"/>
  <c r="Q26" i="21"/>
  <c r="Z26" i="21"/>
  <c r="Q27" i="21"/>
  <c r="Z27" i="21" s="1"/>
  <c r="Q28" i="21"/>
  <c r="Z28" i="21" s="1"/>
  <c r="Q29" i="21"/>
  <c r="Z29" i="21"/>
  <c r="Q30" i="21"/>
  <c r="Z30" i="21" s="1"/>
  <c r="Q31" i="21"/>
  <c r="Z31" i="21"/>
  <c r="Q32" i="21"/>
  <c r="Z32" i="21" s="1"/>
  <c r="Q33" i="21"/>
  <c r="Z33" i="21"/>
  <c r="Q34" i="21"/>
  <c r="Z34" i="21"/>
  <c r="J35" i="21"/>
  <c r="W35" i="21"/>
  <c r="Q35" i="21"/>
  <c r="Z35" i="21" s="1"/>
  <c r="Q36" i="21"/>
  <c r="Z36" i="21" s="1"/>
  <c r="Q37" i="21"/>
  <c r="Z37" i="21" s="1"/>
  <c r="J38" i="21"/>
  <c r="W38" i="21" s="1"/>
  <c r="Q38" i="21"/>
  <c r="Z38" i="21" s="1"/>
  <c r="J39" i="21"/>
  <c r="AC39" i="21" s="1"/>
  <c r="Q39" i="21"/>
  <c r="Z39" i="21"/>
  <c r="H40" i="21"/>
  <c r="AB40" i="21" s="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G19" i="6" s="1"/>
  <c r="G3" i="43"/>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F34" i="21"/>
  <c r="AA34" i="21" s="1"/>
  <c r="H34" i="21"/>
  <c r="F43" i="21"/>
  <c r="S43" i="21" s="1"/>
  <c r="H38" i="21"/>
  <c r="U38" i="21" s="1"/>
  <c r="H43" i="21"/>
  <c r="AB43" i="21" s="1"/>
  <c r="F38" i="21"/>
  <c r="AA38" i="21" s="1"/>
  <c r="F36" i="21"/>
  <c r="S36" i="21" s="1"/>
  <c r="F39" i="21"/>
  <c r="AA39" i="21" s="1"/>
  <c r="J40" i="21"/>
  <c r="W40" i="2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S41" i="21"/>
  <c r="AA41" i="21"/>
  <c r="J44" i="39"/>
  <c r="AC44" i="39"/>
  <c r="F36" i="39"/>
  <c r="S36" i="39" s="1"/>
  <c r="J35" i="39"/>
  <c r="AC35" i="39" s="1"/>
  <c r="F35" i="39"/>
  <c r="U9" i="39"/>
  <c r="U30" i="37"/>
  <c r="W31" i="37"/>
  <c r="E103" i="37"/>
  <c r="F103" i="37" s="1"/>
  <c r="G103" i="37" s="1"/>
  <c r="H103" i="37" s="1"/>
  <c r="I103" i="37" s="1"/>
  <c r="J103" i="37" s="1"/>
  <c r="K103" i="37" s="1"/>
  <c r="L103" i="37" s="1"/>
  <c r="M103" i="37" s="1"/>
  <c r="F39" i="37"/>
  <c r="S39" i="37"/>
  <c r="U14" i="37"/>
  <c r="F29" i="36"/>
  <c r="AA29" i="36"/>
  <c r="F16" i="36"/>
  <c r="AA16" i="36" s="1"/>
  <c r="AA31" i="36"/>
  <c r="AC31" i="36"/>
  <c r="J33" i="36"/>
  <c r="W33" i="36" s="1"/>
  <c r="H22" i="35"/>
  <c r="AB22" i="35" s="1"/>
  <c r="W28" i="35"/>
  <c r="F36" i="34"/>
  <c r="J35" i="34"/>
  <c r="H39" i="33"/>
  <c r="AB39" i="33" s="1"/>
  <c r="U35" i="33"/>
  <c r="S40" i="33"/>
  <c r="W33" i="33"/>
  <c r="W39" i="33"/>
  <c r="H39" i="37"/>
  <c r="AB39" i="37" s="1"/>
  <c r="S27" i="35"/>
  <c r="F11" i="40"/>
  <c r="AA11" i="40"/>
  <c r="H11" i="40"/>
  <c r="AB11" i="40" s="1"/>
  <c r="W8" i="40"/>
  <c r="AA9" i="40"/>
  <c r="AC9" i="40"/>
  <c r="U9" i="40"/>
  <c r="S34" i="40"/>
  <c r="S40" i="40"/>
  <c r="U34" i="40"/>
  <c r="U40"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F31" i="39"/>
  <c r="AA31" i="39" s="1"/>
  <c r="E101" i="39"/>
  <c r="F101" i="39" s="1"/>
  <c r="H19" i="39"/>
  <c r="AB19" i="39" s="1"/>
  <c r="F19" i="39"/>
  <c r="AA19" i="39" s="1"/>
  <c r="H17" i="39"/>
  <c r="AB17" i="39" s="1"/>
  <c r="F17" i="39"/>
  <c r="AA17" i="39" s="1"/>
  <c r="J23" i="40"/>
  <c r="AC23" i="40" s="1"/>
  <c r="F21" i="40"/>
  <c r="AA21" i="40" s="1"/>
  <c r="J21" i="40"/>
  <c r="W21" i="40" s="1"/>
  <c r="H42" i="39"/>
  <c r="AB42" i="39"/>
  <c r="J34" i="39"/>
  <c r="AC34" i="39" s="1"/>
  <c r="J31" i="39"/>
  <c r="H27" i="39"/>
  <c r="U27" i="39" s="1"/>
  <c r="J19" i="39"/>
  <c r="AC19" i="39"/>
  <c r="J17" i="39"/>
  <c r="J27" i="39"/>
  <c r="AC27" i="39"/>
  <c r="F27" i="39"/>
  <c r="F11" i="21"/>
  <c r="S11" i="21" s="1"/>
  <c r="C21" i="39"/>
  <c r="H11" i="39"/>
  <c r="S40" i="39"/>
  <c r="H32" i="33"/>
  <c r="AB32" i="33" s="1"/>
  <c r="H11" i="21"/>
  <c r="AB11" i="21" s="1"/>
  <c r="J11" i="21"/>
  <c r="W11" i="21" s="1"/>
  <c r="H37" i="40"/>
  <c r="U37" i="40"/>
  <c r="H36" i="40"/>
  <c r="AB36" i="40" s="1"/>
  <c r="F35" i="40"/>
  <c r="AA35" i="40"/>
  <c r="H23" i="40"/>
  <c r="U23" i="40" s="1"/>
  <c r="H17" i="40"/>
  <c r="U17" i="40" s="1"/>
  <c r="J15" i="40"/>
  <c r="W15" i="40" s="1"/>
  <c r="J11" i="40"/>
  <c r="AC11" i="40" s="1"/>
  <c r="W11" i="40"/>
  <c r="AB8" i="39"/>
  <c r="AB12" i="33"/>
  <c r="W32" i="40"/>
  <c r="F37" i="39"/>
  <c r="AA37" i="39" s="1"/>
  <c r="U30" i="36"/>
  <c r="J30" i="35"/>
  <c r="W30" i="35" s="1"/>
  <c r="H30" i="35"/>
  <c r="U30" i="35" s="1"/>
  <c r="F22" i="35"/>
  <c r="AA22" i="35" s="1"/>
  <c r="H10" i="35"/>
  <c r="U10" i="35" s="1"/>
  <c r="F33" i="36"/>
  <c r="AA33" i="36"/>
  <c r="W30" i="36"/>
  <c r="H16" i="36"/>
  <c r="AB16" i="36" s="1"/>
  <c r="I85" i="36"/>
  <c r="J85" i="36"/>
  <c r="K85" i="36" s="1"/>
  <c r="L85" i="36" s="1"/>
  <c r="M85" i="36" s="1"/>
  <c r="J29" i="36"/>
  <c r="AC29" i="36" s="1"/>
  <c r="F12" i="36"/>
  <c r="F24" i="36"/>
  <c r="AA24" i="36" s="1"/>
  <c r="AB8" i="36"/>
  <c r="S8" i="36"/>
  <c r="F14" i="35"/>
  <c r="AA14" i="35" s="1"/>
  <c r="J32" i="35"/>
  <c r="AC32" i="35" s="1"/>
  <c r="J16" i="35"/>
  <c r="AC16" i="35" s="1"/>
  <c r="H16" i="35"/>
  <c r="U16" i="35" s="1"/>
  <c r="F16" i="35"/>
  <c r="S16" i="35" s="1"/>
  <c r="H14" i="35"/>
  <c r="AB14" i="35" s="1"/>
  <c r="J29" i="35"/>
  <c r="H33" i="35"/>
  <c r="U33" i="35" s="1"/>
  <c r="J20" i="35"/>
  <c r="W20" i="35" s="1"/>
  <c r="F35" i="37"/>
  <c r="S35" i="37"/>
  <c r="J34" i="37"/>
  <c r="W34" i="37"/>
  <c r="S10" i="37"/>
  <c r="AA39" i="37"/>
  <c r="AB34" i="37"/>
  <c r="J33" i="37"/>
  <c r="W33" i="37" s="1"/>
  <c r="AC33" i="37"/>
  <c r="H40" i="34"/>
  <c r="U40" i="34" s="1"/>
  <c r="E114" i="34"/>
  <c r="F114" i="34" s="1"/>
  <c r="H36" i="34"/>
  <c r="U36" i="34"/>
  <c r="F37" i="34"/>
  <c r="AA37" i="34"/>
  <c r="S35" i="34"/>
  <c r="F27" i="34"/>
  <c r="AA27" i="34" s="1"/>
  <c r="F25" i="34"/>
  <c r="S25" i="34" s="1"/>
  <c r="H23" i="34"/>
  <c r="J23" i="34"/>
  <c r="F19" i="34"/>
  <c r="H17" i="34"/>
  <c r="U17" i="34" s="1"/>
  <c r="F15" i="34"/>
  <c r="AA15" i="34" s="1"/>
  <c r="J15" i="34"/>
  <c r="H15" i="34"/>
  <c r="AB15" i="34" s="1"/>
  <c r="S9" i="34"/>
  <c r="F41" i="33"/>
  <c r="AA41" i="33" s="1"/>
  <c r="F32" i="33"/>
  <c r="AA32" i="33"/>
  <c r="J19" i="33"/>
  <c r="AC19" i="33" s="1"/>
  <c r="J15" i="33"/>
  <c r="AC15" i="33" s="1"/>
  <c r="F11" i="33"/>
  <c r="AA11" i="33" s="1"/>
  <c r="U40" i="33"/>
  <c r="S8" i="33"/>
  <c r="F37" i="40"/>
  <c r="AA37" i="40" s="1"/>
  <c r="F36" i="40"/>
  <c r="AA36" i="40"/>
  <c r="H28" i="40"/>
  <c r="U28" i="40" s="1"/>
  <c r="F23" i="40"/>
  <c r="AA23" i="40" s="1"/>
  <c r="F17" i="40"/>
  <c r="AA17" i="40" s="1"/>
  <c r="J17" i="40"/>
  <c r="W17" i="40" s="1"/>
  <c r="F15" i="40"/>
  <c r="S15" i="40" s="1"/>
  <c r="H15" i="40"/>
  <c r="AB15" i="40"/>
  <c r="S12" i="36"/>
  <c r="AA12" i="36"/>
  <c r="AB30" i="36"/>
  <c r="F29" i="35"/>
  <c r="AA29" i="35" s="1"/>
  <c r="S29" i="35"/>
  <c r="H29" i="35"/>
  <c r="AB29" i="35" s="1"/>
  <c r="H33" i="37"/>
  <c r="AB33" i="37"/>
  <c r="F33" i="37"/>
  <c r="AA33" i="37" s="1"/>
  <c r="U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S15" i="34"/>
  <c r="S41" i="33"/>
  <c r="F113" i="33"/>
  <c r="G113" i="33" s="1"/>
  <c r="H113" i="33" s="1"/>
  <c r="I113" i="33" s="1"/>
  <c r="J113" i="33" s="1"/>
  <c r="K113" i="33" s="1"/>
  <c r="L113" i="33" s="1"/>
  <c r="M113" i="33" s="1"/>
  <c r="H37" i="33"/>
  <c r="AB37" i="33"/>
  <c r="H15" i="33"/>
  <c r="AB15" i="33" s="1"/>
  <c r="H11" i="33"/>
  <c r="AB11" i="33"/>
  <c r="F28" i="40"/>
  <c r="AA28" i="40" s="1"/>
  <c r="AC38" i="34"/>
  <c r="AA38" i="34"/>
  <c r="J37" i="34"/>
  <c r="AC37" i="34"/>
  <c r="J11" i="33"/>
  <c r="W11" i="33" s="1"/>
  <c r="J42" i="21"/>
  <c r="AC42" i="21" s="1"/>
  <c r="H42" i="21"/>
  <c r="U42" i="21" s="1"/>
  <c r="J44" i="34"/>
  <c r="F44" i="34"/>
  <c r="AA44" i="34" s="1"/>
  <c r="J10" i="35"/>
  <c r="W10" i="35"/>
  <c r="J14" i="21"/>
  <c r="W14" i="21" s="1"/>
  <c r="F14" i="21"/>
  <c r="S14" i="21"/>
  <c r="H14" i="21"/>
  <c r="U14" i="21" s="1"/>
  <c r="H28" i="21"/>
  <c r="AB28" i="21"/>
  <c r="F28" i="21"/>
  <c r="AA28" i="21" s="1"/>
  <c r="J28" i="21"/>
  <c r="W28" i="21" s="1"/>
  <c r="H44" i="21"/>
  <c r="U44" i="21" s="1"/>
  <c r="F44" i="21"/>
  <c r="AA44" i="21" s="1"/>
  <c r="H46" i="21"/>
  <c r="U46" i="21" s="1"/>
  <c r="J46" i="21"/>
  <c r="W46" i="21" s="1"/>
  <c r="F46" i="21"/>
  <c r="AA46" i="21" s="1"/>
  <c r="F119" i="21"/>
  <c r="G119" i="21" s="1"/>
  <c r="H119" i="21" s="1"/>
  <c r="I119" i="21"/>
  <c r="J119" i="21" s="1"/>
  <c r="K119" i="21" s="1"/>
  <c r="L119" i="21" s="1"/>
  <c r="M119" i="21" s="1"/>
  <c r="H28" i="33"/>
  <c r="U28" i="33" s="1"/>
  <c r="F28" i="33"/>
  <c r="AA28" i="33" s="1"/>
  <c r="J28" i="33"/>
  <c r="W28" i="33" s="1"/>
  <c r="F33" i="35"/>
  <c r="S33" i="35" s="1"/>
  <c r="J33" i="35"/>
  <c r="AC33" i="35"/>
  <c r="F30" i="35"/>
  <c r="S30" i="35" s="1"/>
  <c r="F89" i="35"/>
  <c r="G89" i="35"/>
  <c r="H89" i="35" s="1"/>
  <c r="I89" i="35" s="1"/>
  <c r="J89" i="35" s="1"/>
  <c r="K89" i="35" s="1"/>
  <c r="L89" i="35" s="1"/>
  <c r="M89" i="35" s="1"/>
  <c r="H10" i="36"/>
  <c r="AB10" i="36" s="1"/>
  <c r="J14" i="36"/>
  <c r="AC14" i="36" s="1"/>
  <c r="H14" i="36"/>
  <c r="U14" i="36" s="1"/>
  <c r="F28" i="36"/>
  <c r="AA28" i="36" s="1"/>
  <c r="AC13" i="21"/>
  <c r="H27" i="21"/>
  <c r="AB27" i="21" s="1"/>
  <c r="F27" i="21"/>
  <c r="AA27" i="21" s="1"/>
  <c r="J31" i="21"/>
  <c r="AC31" i="21" s="1"/>
  <c r="F31" i="21"/>
  <c r="S31" i="21" s="1"/>
  <c r="F27" i="33"/>
  <c r="AA27" i="33" s="1"/>
  <c r="J13" i="33"/>
  <c r="H13" i="33"/>
  <c r="AB13" i="33" s="1"/>
  <c r="F13" i="33"/>
  <c r="S13" i="33"/>
  <c r="J29" i="33"/>
  <c r="W29" i="33" s="1"/>
  <c r="H29" i="33"/>
  <c r="U29" i="33" s="1"/>
  <c r="F29" i="33"/>
  <c r="S29" i="33" s="1"/>
  <c r="J31" i="33"/>
  <c r="W31" i="33" s="1"/>
  <c r="H31" i="33"/>
  <c r="U31" i="33" s="1"/>
  <c r="F31" i="33"/>
  <c r="H45" i="33"/>
  <c r="AB45" i="33" s="1"/>
  <c r="F45" i="33"/>
  <c r="AA45" i="33"/>
  <c r="J14" i="34"/>
  <c r="W14" i="34" s="1"/>
  <c r="S14" i="34"/>
  <c r="H14" i="34"/>
  <c r="H30" i="34"/>
  <c r="F30" i="34"/>
  <c r="S30" i="34"/>
  <c r="J30" i="34"/>
  <c r="W30" i="34" s="1"/>
  <c r="H32" i="34"/>
  <c r="J32" i="34"/>
  <c r="W32" i="34" s="1"/>
  <c r="H46" i="34"/>
  <c r="AB46" i="34" s="1"/>
  <c r="F46" i="34"/>
  <c r="J46" i="34"/>
  <c r="H11" i="35"/>
  <c r="U11" i="35" s="1"/>
  <c r="J11" i="35"/>
  <c r="AC11" i="35" s="1"/>
  <c r="F11" i="35"/>
  <c r="S11" i="35" s="1"/>
  <c r="J26" i="36"/>
  <c r="W26" i="36" s="1"/>
  <c r="H28" i="36"/>
  <c r="U28" i="36"/>
  <c r="H32" i="36"/>
  <c r="AB32" i="36" s="1"/>
  <c r="J32" i="36"/>
  <c r="W32" i="36" s="1"/>
  <c r="J11" i="36"/>
  <c r="W11" i="36" s="1"/>
  <c r="H11" i="36"/>
  <c r="U11" i="36" s="1"/>
  <c r="F11" i="36"/>
  <c r="AA11" i="36" s="1"/>
  <c r="H13" i="36"/>
  <c r="AB13" i="36"/>
  <c r="J13" i="36"/>
  <c r="AC13" i="36" s="1"/>
  <c r="E89" i="37"/>
  <c r="F89" i="37" s="1"/>
  <c r="G89" i="37" s="1"/>
  <c r="H89" i="37" s="1"/>
  <c r="I89" i="37" s="1"/>
  <c r="J89" i="37" s="1"/>
  <c r="K89" i="37" s="1"/>
  <c r="L89" i="37" s="1"/>
  <c r="M89" i="37" s="1"/>
  <c r="J29" i="37"/>
  <c r="W29" i="37"/>
  <c r="F29" i="37"/>
  <c r="S29" i="37"/>
  <c r="F105" i="37"/>
  <c r="G105" i="37" s="1"/>
  <c r="H36" i="37"/>
  <c r="AB36" i="37" s="1"/>
  <c r="J37" i="37"/>
  <c r="AC37" i="37" s="1"/>
  <c r="H37" i="37"/>
  <c r="U37" i="37"/>
  <c r="J40" i="37"/>
  <c r="AC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s="1"/>
  <c r="J29" i="34"/>
  <c r="F29" i="34"/>
  <c r="S29" i="34" s="1"/>
  <c r="H29" i="34"/>
  <c r="AB29" i="34"/>
  <c r="J31" i="34"/>
  <c r="AC31" i="34" s="1"/>
  <c r="F31" i="34"/>
  <c r="S31" i="34"/>
  <c r="H45" i="34"/>
  <c r="U45" i="34" s="1"/>
  <c r="J45" i="34"/>
  <c r="W45" i="34" s="1"/>
  <c r="F45" i="34"/>
  <c r="S45" i="34" s="1"/>
  <c r="H47" i="34"/>
  <c r="U47" i="34" s="1"/>
  <c r="S47" i="34"/>
  <c r="J47" i="34"/>
  <c r="AC47" i="34"/>
  <c r="F13" i="35"/>
  <c r="S13" i="35" s="1"/>
  <c r="J13" i="35"/>
  <c r="AC13" i="35" s="1"/>
  <c r="H13" i="35"/>
  <c r="U13" i="35"/>
  <c r="J25" i="35"/>
  <c r="W25" i="35" s="1"/>
  <c r="F25" i="35"/>
  <c r="S25" i="35" s="1"/>
  <c r="H25" i="35"/>
  <c r="AB25" i="35"/>
  <c r="F35" i="35"/>
  <c r="AA35" i="35"/>
  <c r="J25" i="36"/>
  <c r="W25" i="36" s="1"/>
  <c r="F25" i="36"/>
  <c r="S25" i="36" s="1"/>
  <c r="H25" i="36"/>
  <c r="AB25" i="36" s="1"/>
  <c r="H13" i="37"/>
  <c r="AB13" i="37" s="1"/>
  <c r="F13" i="37"/>
  <c r="S13" i="37" s="1"/>
  <c r="W13" i="37"/>
  <c r="F28" i="37"/>
  <c r="AA28" i="37"/>
  <c r="H28" i="37"/>
  <c r="U28" i="37" s="1"/>
  <c r="H38" i="37"/>
  <c r="AB38" i="37" s="1"/>
  <c r="J38" i="37"/>
  <c r="AC38" i="37" s="1"/>
  <c r="F38" i="37"/>
  <c r="S38" i="37" s="1"/>
  <c r="F43" i="39"/>
  <c r="AA43" i="39" s="1"/>
  <c r="H43" i="39"/>
  <c r="J14" i="39"/>
  <c r="AC14" i="39" s="1"/>
  <c r="F14" i="39"/>
  <c r="H14" i="39"/>
  <c r="AB14" i="39" s="1"/>
  <c r="F12" i="40"/>
  <c r="S12" i="40" s="1"/>
  <c r="H12" i="40"/>
  <c r="U12" i="40" s="1"/>
  <c r="H30" i="40"/>
  <c r="AB30" i="40" s="1"/>
  <c r="F33" i="40"/>
  <c r="AA33" i="40" s="1"/>
  <c r="U33" i="40"/>
  <c r="J35" i="40"/>
  <c r="AC35" i="40" s="1"/>
  <c r="J37" i="40"/>
  <c r="AC37" i="40"/>
  <c r="H13" i="40"/>
  <c r="U13" i="40" s="1"/>
  <c r="J13" i="40"/>
  <c r="W13" i="40" s="1"/>
  <c r="F13" i="40"/>
  <c r="AA13" i="40"/>
  <c r="F14" i="37"/>
  <c r="S14" i="37" s="1"/>
  <c r="F27" i="37"/>
  <c r="AA27" i="37" s="1"/>
  <c r="J13" i="39"/>
  <c r="W13" i="39"/>
  <c r="H13" i="39"/>
  <c r="H14" i="40"/>
  <c r="AB14" i="40" s="1"/>
  <c r="J14" i="40"/>
  <c r="W14" i="40" s="1"/>
  <c r="F14" i="40"/>
  <c r="AA14" i="40" s="1"/>
  <c r="J14" i="37"/>
  <c r="AC14" i="37" s="1"/>
  <c r="J27" i="37"/>
  <c r="AC27" i="37" s="1"/>
  <c r="AA13" i="35"/>
  <c r="U31" i="34"/>
  <c r="U46" i="33"/>
  <c r="AA14" i="33"/>
  <c r="J36" i="37"/>
  <c r="AC36" i="37"/>
  <c r="AB11" i="36"/>
  <c r="AB11" i="35"/>
  <c r="J10" i="36"/>
  <c r="AC10" i="36" s="1"/>
  <c r="W31" i="34"/>
  <c r="S11" i="36"/>
  <c r="AC30" i="34"/>
  <c r="AA14" i="34"/>
  <c r="S45" i="33"/>
  <c r="AB31" i="33"/>
  <c r="AC28" i="21"/>
  <c r="BA586" i="3"/>
  <c r="F17" i="21"/>
  <c r="AA17" i="21" s="1"/>
  <c r="H17" i="21"/>
  <c r="AB17" i="21" s="1"/>
  <c r="F15" i="21"/>
  <c r="S15" i="21" s="1"/>
  <c r="J41" i="39"/>
  <c r="W41" i="39"/>
  <c r="W44" i="39"/>
  <c r="W35" i="39"/>
  <c r="G544" i="3"/>
  <c r="G540" i="3"/>
  <c r="G536" i="3"/>
  <c r="G532" i="3"/>
  <c r="G531" i="3"/>
  <c r="G528" i="3"/>
  <c r="G523" i="3"/>
  <c r="G518" i="3"/>
  <c r="G514" i="3"/>
  <c r="G510" i="3"/>
  <c r="G508" i="3"/>
  <c r="G504" i="3"/>
  <c r="G500" i="3"/>
  <c r="G496" i="3"/>
  <c r="G584" i="3"/>
  <c r="G580" i="3"/>
  <c r="G576" i="3"/>
  <c r="G568" i="3"/>
  <c r="G564" i="3"/>
  <c r="G560" i="3"/>
  <c r="G550" i="3"/>
  <c r="BL584" i="3"/>
  <c r="BL580" i="3"/>
  <c r="BL572" i="3"/>
  <c r="BL568" i="3"/>
  <c r="BL564" i="3"/>
  <c r="BL554" i="3"/>
  <c r="BL546" i="3"/>
  <c r="BL542" i="3"/>
  <c r="BL534" i="3"/>
  <c r="BL530" i="3"/>
  <c r="AZ530" i="3" s="1"/>
  <c r="BL526" i="3"/>
  <c r="BL516" i="3"/>
  <c r="BL512" i="3"/>
  <c r="BL506" i="3"/>
  <c r="BL502" i="3"/>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AZ510" i="3" s="1"/>
  <c r="BL504" i="3"/>
  <c r="AZ504" i="3" s="1"/>
  <c r="BL500" i="3"/>
  <c r="BL496" i="3"/>
  <c r="G493" i="3"/>
  <c r="BA584" i="3"/>
  <c r="BA582" i="3"/>
  <c r="BA580" i="3"/>
  <c r="BA578" i="3"/>
  <c r="AZ578" i="3" s="1"/>
  <c r="BA576" i="3"/>
  <c r="BA574" i="3"/>
  <c r="BA572" i="3"/>
  <c r="AZ572" i="3" s="1"/>
  <c r="BA570" i="3"/>
  <c r="AZ570" i="3" s="1"/>
  <c r="BA568" i="3"/>
  <c r="AZ568" i="3" s="1"/>
  <c r="BA566" i="3"/>
  <c r="BA564" i="3"/>
  <c r="BA562" i="3"/>
  <c r="AZ562" i="3" s="1"/>
  <c r="BA560" i="3"/>
  <c r="BA558" i="3"/>
  <c r="BA556" i="3"/>
  <c r="AZ556" i="3"/>
  <c r="BA554" i="3"/>
  <c r="AZ554" i="3" s="1"/>
  <c r="BA552" i="3"/>
  <c r="AZ552" i="3"/>
  <c r="BA548" i="3"/>
  <c r="BA546" i="3"/>
  <c r="BA544" i="3"/>
  <c r="BA542" i="3"/>
  <c r="AZ542" i="3" s="1"/>
  <c r="BA540" i="3"/>
  <c r="AZ540" i="3"/>
  <c r="BA538" i="3"/>
  <c r="BA536" i="3"/>
  <c r="AZ536" i="3"/>
  <c r="BA534" i="3"/>
  <c r="AZ534" i="3"/>
  <c r="BA532" i="3"/>
  <c r="BA530" i="3"/>
  <c r="BA528" i="3"/>
  <c r="AZ528" i="3" s="1"/>
  <c r="BA526" i="3"/>
  <c r="AZ526" i="3" s="1"/>
  <c r="BA524" i="3"/>
  <c r="BA522" i="3"/>
  <c r="BA520" i="3"/>
  <c r="AZ520" i="3" s="1"/>
  <c r="BA518" i="3"/>
  <c r="AZ518" i="3" s="1"/>
  <c r="BA516" i="3"/>
  <c r="AZ516" i="3" s="1"/>
  <c r="BA514" i="3"/>
  <c r="BA512" i="3"/>
  <c r="AZ512" i="3" s="1"/>
  <c r="BA510" i="3"/>
  <c r="BA508" i="3"/>
  <c r="AZ508" i="3" s="1"/>
  <c r="BA506" i="3"/>
  <c r="AZ506" i="3" s="1"/>
  <c r="BA504" i="3"/>
  <c r="BA502" i="3"/>
  <c r="BA500" i="3"/>
  <c r="AZ500" i="3" s="1"/>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BQ543" i="3"/>
  <c r="BL543" i="3" s="1"/>
  <c r="BQ541" i="3"/>
  <c r="BL541" i="3"/>
  <c r="AZ541" i="3" s="1"/>
  <c r="BQ539" i="3"/>
  <c r="BL539" i="3" s="1"/>
  <c r="AZ539" i="3" s="1"/>
  <c r="BQ537" i="3"/>
  <c r="BL537" i="3"/>
  <c r="AZ537" i="3" s="1"/>
  <c r="BQ535" i="3"/>
  <c r="BL535" i="3" s="1"/>
  <c r="BQ533" i="3"/>
  <c r="BL533" i="3" s="1"/>
  <c r="BQ531" i="3"/>
  <c r="BL531" i="3" s="1"/>
  <c r="AZ531" i="3" s="1"/>
  <c r="BQ529" i="3"/>
  <c r="BL529" i="3" s="1"/>
  <c r="BQ527" i="3"/>
  <c r="BL527" i="3" s="1"/>
  <c r="BQ525" i="3"/>
  <c r="BL525" i="3"/>
  <c r="AZ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c r="AZ511" i="3"/>
  <c r="BA509" i="3"/>
  <c r="AC509" i="3"/>
  <c r="BQ509" i="3"/>
  <c r="BL509" i="3"/>
  <c r="AZ509" i="3" s="1"/>
  <c r="BL508" i="3"/>
  <c r="G507" i="3"/>
  <c r="G505" i="3"/>
  <c r="G503" i="3"/>
  <c r="G501" i="3"/>
  <c r="G499" i="3"/>
  <c r="G497" i="3"/>
  <c r="G495" i="3"/>
  <c r="BQ507" i="3"/>
  <c r="BL507" i="3"/>
  <c r="AZ507" i="3"/>
  <c r="BQ505" i="3"/>
  <c r="BL505" i="3"/>
  <c r="BQ503" i="3"/>
  <c r="BL503" i="3" s="1"/>
  <c r="BQ501" i="3"/>
  <c r="BL501" i="3" s="1"/>
  <c r="AZ501" i="3" s="1"/>
  <c r="BQ499" i="3"/>
  <c r="BL499" i="3"/>
  <c r="BQ497" i="3"/>
  <c r="BL497" i="3" s="1"/>
  <c r="BQ495" i="3"/>
  <c r="BL495" i="3"/>
  <c r="BQ493" i="3"/>
  <c r="BQ5" i="3" s="1"/>
  <c r="F28" i="6" s="1"/>
  <c r="S503"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G125" i="33" s="1"/>
  <c r="H43" i="33"/>
  <c r="AB43" i="33" s="1"/>
  <c r="H17" i="37"/>
  <c r="U17" i="37" s="1"/>
  <c r="AB27" i="37"/>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s="1"/>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c r="H32" i="40"/>
  <c r="AB32" i="40" s="1"/>
  <c r="J36" i="40"/>
  <c r="W36" i="40"/>
  <c r="AA41" i="34"/>
  <c r="H19" i="37"/>
  <c r="AB19" i="37" s="1"/>
  <c r="H42" i="33"/>
  <c r="AB42" i="33" s="1"/>
  <c r="J43" i="33"/>
  <c r="AC43" i="33" s="1"/>
  <c r="U43" i="33"/>
  <c r="AC32" i="36"/>
  <c r="AC33" i="36"/>
  <c r="AA12" i="35"/>
  <c r="W14" i="37"/>
  <c r="U33" i="37"/>
  <c r="U39" i="37"/>
  <c r="AC8" i="37"/>
  <c r="W47" i="34"/>
  <c r="AB13" i="34"/>
  <c r="W37" i="34"/>
  <c r="AB37" i="34"/>
  <c r="AC36" i="34"/>
  <c r="AA13" i="33"/>
  <c r="AC31" i="33"/>
  <c r="U11" i="33"/>
  <c r="U19" i="21"/>
  <c r="W44" i="21"/>
  <c r="AC46" i="21"/>
  <c r="AB38" i="21"/>
  <c r="F43" i="33"/>
  <c r="AA43" i="33" s="1"/>
  <c r="W15" i="34"/>
  <c r="AC15" i="34"/>
  <c r="W16" i="35"/>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c r="F12" i="39"/>
  <c r="S12" i="39" s="1"/>
  <c r="J42" i="39"/>
  <c r="AC42" i="39"/>
  <c r="H21" i="40"/>
  <c r="AB21" i="40" s="1"/>
  <c r="F94" i="37"/>
  <c r="G94" i="37" s="1"/>
  <c r="H94" i="37" s="1"/>
  <c r="I94" i="37" s="1"/>
  <c r="J94" i="37" s="1"/>
  <c r="K94" i="37" s="1"/>
  <c r="L94" i="37" s="1"/>
  <c r="M94" i="37" s="1"/>
  <c r="H31" i="37"/>
  <c r="U31" i="37" s="1"/>
  <c r="J15" i="37"/>
  <c r="W15" i="37" s="1"/>
  <c r="U12" i="37"/>
  <c r="AT6" i="3"/>
  <c r="H5" i="3"/>
  <c r="C12" i="43"/>
  <c r="H19" i="40"/>
  <c r="U19" i="40" s="1"/>
  <c r="F88" i="40"/>
  <c r="G88" i="40" s="1"/>
  <c r="F19" i="40"/>
  <c r="S19" i="40" s="1"/>
  <c r="AB33" i="40"/>
  <c r="W23" i="39"/>
  <c r="AC43" i="39"/>
  <c r="W43"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52" i="37" s="1"/>
  <c r="D52" i="37" s="1"/>
  <c r="C7" i="34"/>
  <c r="C7" i="36"/>
  <c r="A118" i="9"/>
  <c r="A4" i="52"/>
  <c r="B41" i="72" s="1"/>
  <c r="J11" i="39"/>
  <c r="W11" i="39"/>
  <c r="F11" i="39"/>
  <c r="AA11" i="39" s="1"/>
  <c r="G4" i="4"/>
  <c r="I4" i="4"/>
  <c r="A2" i="9"/>
  <c r="BL549" i="3"/>
  <c r="AZ549" i="3" s="1"/>
  <c r="AZ494" i="3"/>
  <c r="AZ502" i="3"/>
  <c r="AZ514"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BA341" i="3"/>
  <c r="BL341" i="3"/>
  <c r="AZ341" i="3" s="1"/>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AZ139" i="3" s="1"/>
  <c r="BL140" i="3"/>
  <c r="G141" i="3"/>
  <c r="BA143" i="3"/>
  <c r="BL144" i="3"/>
  <c r="G145" i="3"/>
  <c r="BA147" i="3"/>
  <c r="BL148" i="3"/>
  <c r="AZ148" i="3" s="1"/>
  <c r="G149" i="3"/>
  <c r="BA151" i="3"/>
  <c r="BL152" i="3"/>
  <c r="G153" i="3"/>
  <c r="BA155" i="3"/>
  <c r="BL156" i="3"/>
  <c r="G157" i="3"/>
  <c r="BA159" i="3"/>
  <c r="BL160" i="3"/>
  <c r="G161" i="3"/>
  <c r="BA163" i="3"/>
  <c r="BL164" i="3"/>
  <c r="G165" i="3"/>
  <c r="BA167" i="3"/>
  <c r="AZ167" i="3" s="1"/>
  <c r="BL168" i="3"/>
  <c r="G169" i="3"/>
  <c r="BA171" i="3"/>
  <c r="BL172" i="3"/>
  <c r="G173" i="3"/>
  <c r="BA175" i="3"/>
  <c r="BL176" i="3"/>
  <c r="G177" i="3"/>
  <c r="BA179" i="3"/>
  <c r="AZ179" i="3" s="1"/>
  <c r="BL180" i="3"/>
  <c r="G181" i="3"/>
  <c r="BA183" i="3"/>
  <c r="BL184" i="3"/>
  <c r="G185" i="3"/>
  <c r="BA187" i="3"/>
  <c r="BL188" i="3"/>
  <c r="G189" i="3"/>
  <c r="BA191" i="3"/>
  <c r="AZ191" i="3"/>
  <c r="BL192" i="3"/>
  <c r="G193" i="3"/>
  <c r="BA195" i="3"/>
  <c r="BL196" i="3"/>
  <c r="G197" i="3"/>
  <c r="BA199" i="3"/>
  <c r="BL200" i="3"/>
  <c r="G201" i="3"/>
  <c r="BA203" i="3"/>
  <c r="BL204" i="3"/>
  <c r="AZ152" i="3"/>
  <c r="AZ176"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c r="BA321" i="3"/>
  <c r="AZ321" i="3" s="1"/>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BL372" i="3"/>
  <c r="AZ372" i="3" s="1"/>
  <c r="G373" i="3"/>
  <c r="G376" i="3"/>
  <c r="BL377" i="3"/>
  <c r="BL379" i="3"/>
  <c r="BA381" i="3"/>
  <c r="BA382" i="3"/>
  <c r="BL382" i="3"/>
  <c r="G383" i="3"/>
  <c r="G386" i="3"/>
  <c r="BL387" i="3"/>
  <c r="BA389" i="3"/>
  <c r="AZ389" i="3" s="1"/>
  <c r="BA390" i="3"/>
  <c r="BL390" i="3"/>
  <c r="G391" i="3"/>
  <c r="G394" i="3"/>
  <c r="BA16" i="3"/>
  <c r="BL303" i="3"/>
  <c r="AZ303" i="3" s="1"/>
  <c r="G304" i="3"/>
  <c r="BA306" i="3"/>
  <c r="BL307" i="3"/>
  <c r="G308" i="3"/>
  <c r="BA310" i="3"/>
  <c r="AZ310" i="3"/>
  <c r="BL311" i="3"/>
  <c r="G312" i="3"/>
  <c r="BA314" i="3"/>
  <c r="BL315" i="3"/>
  <c r="G316" i="3"/>
  <c r="BA318" i="3"/>
  <c r="BL319" i="3"/>
  <c r="G320" i="3"/>
  <c r="BA322" i="3"/>
  <c r="BL323" i="3"/>
  <c r="G324" i="3"/>
  <c r="BA326" i="3"/>
  <c r="AZ326" i="3" s="1"/>
  <c r="BL327" i="3"/>
  <c r="G328" i="3"/>
  <c r="BA330" i="3"/>
  <c r="AZ330" i="3" s="1"/>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265" i="3"/>
  <c r="AZ269" i="3"/>
  <c r="BA379" i="3"/>
  <c r="AZ379" i="3" s="1"/>
  <c r="BL380" i="3"/>
  <c r="G381" i="3"/>
  <c r="BA383" i="3"/>
  <c r="AZ383" i="3" s="1"/>
  <c r="BL384" i="3"/>
  <c r="G385" i="3"/>
  <c r="BA387" i="3"/>
  <c r="AZ387" i="3" s="1"/>
  <c r="BL388" i="3"/>
  <c r="G389" i="3"/>
  <c r="BA391" i="3"/>
  <c r="AZ391" i="3" s="1"/>
  <c r="BL392" i="3"/>
  <c r="G393" i="3"/>
  <c r="AZ275" i="3"/>
  <c r="AZ283" i="3"/>
  <c r="BO5" i="3"/>
  <c r="BM5" i="3"/>
  <c r="F29" i="6" s="1"/>
  <c r="BJ5" i="3"/>
  <c r="BH5" i="3"/>
  <c r="BF5" i="3"/>
  <c r="BD5" i="3"/>
  <c r="AC5" i="3"/>
  <c r="AZ496" i="3"/>
  <c r="G548" i="3"/>
  <c r="G538" i="3"/>
  <c r="G520" i="3"/>
  <c r="G502" i="3"/>
  <c r="BS5" i="3"/>
  <c r="BP5" i="3"/>
  <c r="BN5" i="3"/>
  <c r="G29" i="6" s="1"/>
  <c r="BK5" i="3"/>
  <c r="BI5" i="3"/>
  <c r="BG5" i="3"/>
  <c r="BE5" i="3"/>
  <c r="BC5" i="3"/>
  <c r="G17" i="3"/>
  <c r="BA17" i="3"/>
  <c r="BT5" i="3"/>
  <c r="AZ356" i="3"/>
  <c r="BA15" i="3"/>
  <c r="BB5" i="3"/>
  <c r="E8" i="6" s="1"/>
  <c r="BR5" i="3"/>
  <c r="AZ392" i="3"/>
  <c r="AZ394" i="3"/>
  <c r="AZ499" i="3"/>
  <c r="G509" i="3"/>
  <c r="U36" i="40"/>
  <c r="F36" i="43"/>
  <c r="F81" i="43"/>
  <c r="H83" i="43" s="1"/>
  <c r="H113" i="43"/>
  <c r="D17" i="43"/>
  <c r="F39" i="43"/>
  <c r="I17" i="43"/>
  <c r="F35" i="43"/>
  <c r="J17" i="43"/>
  <c r="F6" i="1"/>
  <c r="G6" i="1" s="1"/>
  <c r="U17" i="39"/>
  <c r="S14" i="35"/>
  <c r="U43" i="21"/>
  <c r="U35" i="21"/>
  <c r="AC35" i="21"/>
  <c r="AC11" i="39"/>
  <c r="AZ563" i="3"/>
  <c r="W37" i="37"/>
  <c r="W44" i="34"/>
  <c r="AC44" i="34"/>
  <c r="AA12" i="40"/>
  <c r="J37" i="33"/>
  <c r="AC17" i="34"/>
  <c r="F106" i="33"/>
  <c r="G106" i="33" s="1"/>
  <c r="H106" i="33" s="1"/>
  <c r="I106" i="33" s="1"/>
  <c r="J106" i="33" s="1"/>
  <c r="K106" i="33" s="1"/>
  <c r="L106" i="33" s="1"/>
  <c r="M106" i="33" s="1"/>
  <c r="J34" i="33"/>
  <c r="W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U32" i="37" s="1"/>
  <c r="F96" i="37"/>
  <c r="G96" i="37" s="1"/>
  <c r="H96" i="37" s="1"/>
  <c r="I96" i="37" s="1"/>
  <c r="J96" i="37" s="1"/>
  <c r="K96" i="37" s="1"/>
  <c r="L96" i="37" s="1"/>
  <c r="M96" i="37" s="1"/>
  <c r="H27" i="40"/>
  <c r="U27" i="40" s="1"/>
  <c r="J27" i="40"/>
  <c r="AC27" i="40" s="1"/>
  <c r="F27" i="40"/>
  <c r="S27" i="40"/>
  <c r="J30" i="40"/>
  <c r="AC30" i="40" s="1"/>
  <c r="F30" i="40"/>
  <c r="AA30" i="40" s="1"/>
  <c r="AC21" i="40"/>
  <c r="S31" i="39"/>
  <c r="S11" i="40"/>
  <c r="E98" i="40"/>
  <c r="F98" i="40" s="1"/>
  <c r="G98" i="40" s="1"/>
  <c r="H98" i="40" s="1"/>
  <c r="I98" i="40" s="1"/>
  <c r="J98" i="40" s="1"/>
  <c r="K98" i="40" s="1"/>
  <c r="L98" i="40" s="1"/>
  <c r="M98" i="40" s="1"/>
  <c r="F10" i="33"/>
  <c r="F34" i="33"/>
  <c r="S34" i="33" s="1"/>
  <c r="H34" i="33"/>
  <c r="U34" i="33" s="1"/>
  <c r="F35" i="33"/>
  <c r="S35" i="33"/>
  <c r="F39" i="34"/>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c r="F32" i="37"/>
  <c r="AA32" i="37" s="1"/>
  <c r="F20" i="36"/>
  <c r="AA20" i="36"/>
  <c r="J33" i="34"/>
  <c r="AC33" i="34" s="1"/>
  <c r="H23" i="39"/>
  <c r="U23" i="39" s="1"/>
  <c r="K9" i="1"/>
  <c r="M9" i="1" s="1"/>
  <c r="AE9" i="1"/>
  <c r="D93" i="9"/>
  <c r="W27" i="34"/>
  <c r="AC27" i="34"/>
  <c r="AB33" i="36"/>
  <c r="U33" i="36"/>
  <c r="AC12" i="39"/>
  <c r="W12" i="39"/>
  <c r="AZ433" i="3"/>
  <c r="W12" i="33"/>
  <c r="AC12" i="33"/>
  <c r="AA32" i="36"/>
  <c r="S32" i="36"/>
  <c r="BL14" i="3"/>
  <c r="U30" i="33"/>
  <c r="AC13" i="34"/>
  <c r="AA47" i="34"/>
  <c r="W28" i="37"/>
  <c r="S19" i="39"/>
  <c r="F12" i="33"/>
  <c r="H12" i="39"/>
  <c r="AB12" i="39" s="1"/>
  <c r="F39" i="40"/>
  <c r="BA14" i="3"/>
  <c r="AZ14" i="3" s="1"/>
  <c r="AZ165" i="3"/>
  <c r="S12" i="1"/>
  <c r="T12" i="1" s="1"/>
  <c r="R12" i="1"/>
  <c r="B12" i="1"/>
  <c r="E12" i="1"/>
  <c r="S10" i="1"/>
  <c r="T10" i="1" s="1"/>
  <c r="R10" i="1"/>
  <c r="B10" i="1"/>
  <c r="E10" i="1" s="1"/>
  <c r="K12" i="1"/>
  <c r="M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S30" i="40"/>
  <c r="S28" i="40"/>
  <c r="AA27" i="40"/>
  <c r="AB19" i="40"/>
  <c r="W42" i="39"/>
  <c r="U37" i="39"/>
  <c r="W39" i="39"/>
  <c r="S43" i="39"/>
  <c r="S37" i="39"/>
  <c r="U35" i="39"/>
  <c r="F32" i="39"/>
  <c r="F107" i="39"/>
  <c r="G107" i="39"/>
  <c r="AB27" i="39"/>
  <c r="U31" i="39"/>
  <c r="S25" i="39"/>
  <c r="J21" i="39"/>
  <c r="F21" i="39"/>
  <c r="G95" i="39"/>
  <c r="H21" i="39"/>
  <c r="AB21" i="39" s="1"/>
  <c r="W19" i="39"/>
  <c r="U19" i="39"/>
  <c r="S17" i="39"/>
  <c r="AC15" i="39"/>
  <c r="S15" i="39"/>
  <c r="AA12" i="39"/>
  <c r="S9" i="39"/>
  <c r="U14" i="39"/>
  <c r="AC13" i="39"/>
  <c r="S23" i="36"/>
  <c r="U13" i="36"/>
  <c r="AC27" i="36"/>
  <c r="AB27" i="36"/>
  <c r="U26" i="36"/>
  <c r="S33" i="36"/>
  <c r="S27" i="36"/>
  <c r="AA26" i="36"/>
  <c r="S29" i="36"/>
  <c r="AC26" i="36"/>
  <c r="AA22" i="36"/>
  <c r="W14" i="36"/>
  <c r="AB14" i="36"/>
  <c r="U22" i="36"/>
  <c r="S16" i="36"/>
  <c r="AA25" i="36"/>
  <c r="S24" i="36"/>
  <c r="U23" i="36"/>
  <c r="AB20" i="36"/>
  <c r="U16" i="36"/>
  <c r="S14" i="36"/>
  <c r="U10" i="36"/>
  <c r="W10" i="36"/>
  <c r="AA25" i="35"/>
  <c r="W24" i="35"/>
  <c r="AB13" i="35"/>
  <c r="U29" i="35"/>
  <c r="U28" i="35"/>
  <c r="AB27" i="35"/>
  <c r="U32" i="35"/>
  <c r="AA33" i="35"/>
  <c r="AC30" i="35"/>
  <c r="S32" i="35"/>
  <c r="AA36" i="35"/>
  <c r="W32" i="35"/>
  <c r="S28" i="35"/>
  <c r="AB16" i="35"/>
  <c r="U22" i="35"/>
  <c r="S20" i="35"/>
  <c r="AC20" i="35"/>
  <c r="S22" i="35"/>
  <c r="U14" i="35"/>
  <c r="AC10" i="35"/>
  <c r="AB10" i="35"/>
  <c r="AA11" i="35"/>
  <c r="S8" i="35"/>
  <c r="AC9" i="35"/>
  <c r="W9" i="35"/>
  <c r="W13" i="35"/>
  <c r="F9" i="35"/>
  <c r="AA9" i="35" s="1"/>
  <c r="H9" i="35"/>
  <c r="F26" i="35"/>
  <c r="AA26" i="35" s="1"/>
  <c r="J26" i="35"/>
  <c r="H26" i="35"/>
  <c r="AB26" i="35" s="1"/>
  <c r="AB40" i="37"/>
  <c r="W27" i="37"/>
  <c r="AC9" i="37"/>
  <c r="AC29" i="37"/>
  <c r="U29" i="37"/>
  <c r="S32" i="37"/>
  <c r="AB31" i="37"/>
  <c r="W30" i="37"/>
  <c r="AA38" i="37"/>
  <c r="W38" i="37"/>
  <c r="AC35" i="37"/>
  <c r="W39" i="37"/>
  <c r="S30" i="37"/>
  <c r="S37" i="37"/>
  <c r="J17" i="37"/>
  <c r="W17" i="37" s="1"/>
  <c r="G73" i="37"/>
  <c r="F17" i="37"/>
  <c r="AA17" i="37" s="1"/>
  <c r="AB17" i="37"/>
  <c r="F75" i="37"/>
  <c r="F19" i="37"/>
  <c r="F79" i="37"/>
  <c r="F23" i="37"/>
  <c r="S23" i="37" s="1"/>
  <c r="U23" i="37"/>
  <c r="U15" i="37"/>
  <c r="AC13" i="37"/>
  <c r="U9" i="37"/>
  <c r="AA12" i="37"/>
  <c r="AA9" i="37"/>
  <c r="H10" i="37"/>
  <c r="U10" i="37" s="1"/>
  <c r="H60" i="37"/>
  <c r="F63" i="37"/>
  <c r="G63" i="37" s="1"/>
  <c r="H63" i="37" s="1"/>
  <c r="I63" i="37" s="1"/>
  <c r="J63" i="37" s="1"/>
  <c r="K63" i="37" s="1"/>
  <c r="L63" i="37" s="1"/>
  <c r="M63" i="37" s="1"/>
  <c r="F11" i="37"/>
  <c r="S11" i="37" s="1"/>
  <c r="S27" i="34"/>
  <c r="AB8" i="34"/>
  <c r="U43" i="34"/>
  <c r="AC42"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F87" i="33"/>
  <c r="H25" i="33"/>
  <c r="F25" i="33"/>
  <c r="S25" i="33" s="1"/>
  <c r="J23" i="33"/>
  <c r="F85" i="33"/>
  <c r="G85" i="33" s="1"/>
  <c r="H23" i="33"/>
  <c r="F81" i="33"/>
  <c r="G81" i="33" s="1"/>
  <c r="F19" i="33"/>
  <c r="S19" i="33"/>
  <c r="W19" i="33"/>
  <c r="J17" i="33"/>
  <c r="W17" i="33" s="1"/>
  <c r="F79" i="33"/>
  <c r="S15" i="33"/>
  <c r="W15" i="33"/>
  <c r="U9" i="33"/>
  <c r="I66" i="33"/>
  <c r="J10" i="33"/>
  <c r="H10" i="33"/>
  <c r="AC11" i="33"/>
  <c r="W43" i="21"/>
  <c r="W41" i="21"/>
  <c r="AA43" i="21"/>
  <c r="AC40" i="21"/>
  <c r="J15" i="21"/>
  <c r="AC15" i="21" s="1"/>
  <c r="F77" i="21"/>
  <c r="G77" i="21" s="1"/>
  <c r="F23" i="21"/>
  <c r="S23" i="21" s="1"/>
  <c r="E85" i="21"/>
  <c r="F85" i="21" s="1"/>
  <c r="G85" i="21" s="1"/>
  <c r="AC11" i="21"/>
  <c r="AA14" i="21"/>
  <c r="AB8" i="21"/>
  <c r="S8" i="21"/>
  <c r="N8" i="43"/>
  <c r="D120" i="9"/>
  <c r="D121" i="9" s="1"/>
  <c r="D7" i="52" s="1"/>
  <c r="C18" i="9"/>
  <c r="D18" i="9" s="1"/>
  <c r="M20" i="67"/>
  <c r="G13" i="3"/>
  <c r="BL17" i="3"/>
  <c r="AZ17" i="3" s="1"/>
  <c r="BL13" i="3"/>
  <c r="J56" i="9"/>
  <c r="J57" i="9" s="1"/>
  <c r="J59" i="9" s="1"/>
  <c r="J61" i="9" s="1"/>
  <c r="A24" i="51"/>
  <c r="B18" i="72" s="1"/>
  <c r="U29" i="34"/>
  <c r="E32" i="6"/>
  <c r="L19" i="6"/>
  <c r="G1" i="68"/>
  <c r="E19" i="69"/>
  <c r="E19" i="68"/>
  <c r="E19" i="11"/>
  <c r="E1" i="73"/>
  <c r="G22" i="69"/>
  <c r="G22" i="68"/>
  <c r="G26" i="12"/>
  <c r="G22" i="11"/>
  <c r="C100" i="43"/>
  <c r="C7" i="43"/>
  <c r="E81" i="43"/>
  <c r="B79" i="43" s="1"/>
  <c r="E70" i="43"/>
  <c r="B68" i="43" s="1"/>
  <c r="F100" i="43"/>
  <c r="H17" i="43"/>
  <c r="H81" i="43"/>
  <c r="C17" i="43"/>
  <c r="F33" i="43"/>
  <c r="K17" i="43"/>
  <c r="F34" i="43"/>
  <c r="N3" i="43"/>
  <c r="F38" i="43"/>
  <c r="F37" i="43"/>
  <c r="N5" i="43"/>
  <c r="B19" i="53"/>
  <c r="B37" i="72" s="1"/>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A4" i="51"/>
  <c r="B6" i="72" s="1"/>
  <c r="C4" i="12"/>
  <c r="L20" i="6"/>
  <c r="S8" i="1"/>
  <c r="AR8" i="1" s="1"/>
  <c r="K11" i="1"/>
  <c r="M11" i="1" s="1"/>
  <c r="B9" i="1"/>
  <c r="E9" i="1" s="1"/>
  <c r="K7" i="1"/>
  <c r="G1" i="15"/>
  <c r="W23" i="40"/>
  <c r="U32"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S28" i="36"/>
  <c r="U32" i="36"/>
  <c r="W29" i="36"/>
  <c r="U25" i="36"/>
  <c r="AB28" i="36"/>
  <c r="AA13" i="36"/>
  <c r="W9" i="36"/>
  <c r="W22" i="36"/>
  <c r="W23" i="36"/>
  <c r="AB20" i="35"/>
  <c r="AC25" i="35"/>
  <c r="U25" i="35"/>
  <c r="S24" i="35"/>
  <c r="W33" i="35"/>
  <c r="AA30" i="35"/>
  <c r="U24" i="35"/>
  <c r="S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I101" i="21"/>
  <c r="J101" i="21" s="1"/>
  <c r="K101" i="21" s="1"/>
  <c r="L101" i="21" s="1"/>
  <c r="M101" i="21" s="1"/>
  <c r="F33" i="21"/>
  <c r="AA33" i="21" s="1"/>
  <c r="AC33" i="21"/>
  <c r="H33" i="21"/>
  <c r="AB33" i="21" s="1"/>
  <c r="AB14" i="21"/>
  <c r="AB46" i="21"/>
  <c r="U40" i="21"/>
  <c r="AB31" i="21"/>
  <c r="U31" i="21"/>
  <c r="U13" i="21"/>
  <c r="AB13" i="21"/>
  <c r="W8" i="21"/>
  <c r="S35" i="21"/>
  <c r="H15" i="21"/>
  <c r="U15" i="21" s="1"/>
  <c r="J17" i="21"/>
  <c r="W17" i="21" s="1"/>
  <c r="AC19" i="21"/>
  <c r="AC14" i="21"/>
  <c r="S46" i="21"/>
  <c r="H45" i="21"/>
  <c r="U45" i="21" s="1"/>
  <c r="F29" i="21"/>
  <c r="S29" i="21" s="1"/>
  <c r="F13" i="21"/>
  <c r="AA13" i="21"/>
  <c r="H32" i="21"/>
  <c r="U32" i="21" s="1"/>
  <c r="H9" i="21"/>
  <c r="AB9" i="21" s="1"/>
  <c r="J9" i="21"/>
  <c r="AC9" i="21" s="1"/>
  <c r="J32" i="21"/>
  <c r="W32" i="21" s="1"/>
  <c r="F32" i="21"/>
  <c r="S32" i="21" s="1"/>
  <c r="AA31" i="21"/>
  <c r="U17" i="21"/>
  <c r="S19" i="21"/>
  <c r="S9" i="21"/>
  <c r="AA9" i="21"/>
  <c r="K141" i="21"/>
  <c r="K144" i="21"/>
  <c r="K143" i="21"/>
  <c r="U27" i="21"/>
  <c r="AB44" i="21"/>
  <c r="W13" i="21"/>
  <c r="W42" i="21"/>
  <c r="F10" i="21"/>
  <c r="AA10" i="21" s="1"/>
  <c r="K145" i="21"/>
  <c r="AA29" i="21"/>
  <c r="W31" i="21"/>
  <c r="S27" i="21"/>
  <c r="S17" i="21"/>
  <c r="AC27" i="21"/>
  <c r="AC26" i="21"/>
  <c r="S28" i="21"/>
  <c r="AC34" i="21"/>
  <c r="W12" i="21"/>
  <c r="C19" i="39"/>
  <c r="C15" i="40"/>
  <c r="C17" i="40"/>
  <c r="C23" i="40"/>
  <c r="C21" i="40"/>
  <c r="U30" i="40"/>
  <c r="B52" i="43"/>
  <c r="B60" i="43"/>
  <c r="B63" i="43"/>
  <c r="D23" i="15"/>
  <c r="D22" i="15"/>
  <c r="E4" i="4"/>
  <c r="B5" i="62" s="1"/>
  <c r="B73" i="72" s="1"/>
  <c r="C4" i="4"/>
  <c r="E7" i="70"/>
  <c r="AA39" i="40"/>
  <c r="S39" i="40"/>
  <c r="S12" i="33"/>
  <c r="AA12" i="33"/>
  <c r="J32" i="39"/>
  <c r="H107" i="39"/>
  <c r="I107" i="39" s="1"/>
  <c r="J107" i="39" s="1"/>
  <c r="K107" i="39" s="1"/>
  <c r="L107" i="39" s="1"/>
  <c r="M107" i="39" s="1"/>
  <c r="H32" i="39"/>
  <c r="AA32" i="39"/>
  <c r="S32" i="39"/>
  <c r="AA21" i="39"/>
  <c r="S21" i="39"/>
  <c r="AC21" i="39"/>
  <c r="W21" i="39"/>
  <c r="S26" i="35"/>
  <c r="U9" i="35"/>
  <c r="AB9" i="35"/>
  <c r="AC26" i="35"/>
  <c r="W26" i="35"/>
  <c r="AC17" i="37"/>
  <c r="S17" i="37"/>
  <c r="J19" i="37"/>
  <c r="G75" i="37"/>
  <c r="S19" i="37"/>
  <c r="AA19" i="37"/>
  <c r="J23" i="37"/>
  <c r="W23" i="37" s="1"/>
  <c r="G79" i="37"/>
  <c r="J10" i="37"/>
  <c r="W10" i="37" s="1"/>
  <c r="I60" i="37"/>
  <c r="H11" i="37"/>
  <c r="AB11" i="37" s="1"/>
  <c r="AB10" i="37"/>
  <c r="G70" i="34"/>
  <c r="H70" i="34" s="1"/>
  <c r="I70" i="34" s="1"/>
  <c r="J70" i="34" s="1"/>
  <c r="K70" i="34" s="1"/>
  <c r="L70" i="34" s="1"/>
  <c r="M70" i="34" s="1"/>
  <c r="H11" i="34"/>
  <c r="AB10" i="34"/>
  <c r="U10" i="34"/>
  <c r="J10" i="34"/>
  <c r="AB41" i="33"/>
  <c r="U41" i="33"/>
  <c r="W35" i="33"/>
  <c r="AC35" i="33"/>
  <c r="H111" i="33"/>
  <c r="I111" i="33" s="1"/>
  <c r="J111" i="33" s="1"/>
  <c r="K111" i="33" s="1"/>
  <c r="L111" i="33" s="1"/>
  <c r="M111" i="33" s="1"/>
  <c r="J36" i="33"/>
  <c r="AC36" i="33" s="1"/>
  <c r="H36" i="33"/>
  <c r="AB36" i="33" s="1"/>
  <c r="S36" i="33"/>
  <c r="AA36" i="33"/>
  <c r="U27" i="33"/>
  <c r="AB27" i="33"/>
  <c r="J27" i="33"/>
  <c r="U25" i="33"/>
  <c r="AB25" i="33"/>
  <c r="G87" i="33"/>
  <c r="H87" i="33"/>
  <c r="I87" i="33" s="1"/>
  <c r="J87" i="33" s="1"/>
  <c r="K87" i="33" s="1"/>
  <c r="L87" i="33" s="1"/>
  <c r="M87" i="33" s="1"/>
  <c r="J25" i="33"/>
  <c r="W25" i="33" s="1"/>
  <c r="AB23" i="33"/>
  <c r="U23" i="33"/>
  <c r="F23" i="33"/>
  <c r="AA23" i="33" s="1"/>
  <c r="AC23" i="33"/>
  <c r="W23" i="33"/>
  <c r="AA19" i="33"/>
  <c r="H19" i="33"/>
  <c r="AB19" i="33" s="1"/>
  <c r="G79" i="33"/>
  <c r="H17" i="33"/>
  <c r="U17" i="33" s="1"/>
  <c r="F17" i="33"/>
  <c r="S17" i="33" s="1"/>
  <c r="U10" i="33"/>
  <c r="AB10" i="33"/>
  <c r="AC10" i="33"/>
  <c r="W10" i="33"/>
  <c r="AA23" i="21"/>
  <c r="J23" i="21"/>
  <c r="AC23" i="21" s="1"/>
  <c r="H23" i="21"/>
  <c r="U23" i="21" s="1"/>
  <c r="S13" i="21"/>
  <c r="AP7" i="1"/>
  <c r="AA32" i="21"/>
  <c r="AB32" i="21"/>
  <c r="U32" i="39"/>
  <c r="AB32" i="39"/>
  <c r="AC32" i="39"/>
  <c r="W32" i="39"/>
  <c r="W19" i="37"/>
  <c r="AC19" i="37"/>
  <c r="AC23" i="37"/>
  <c r="U11" i="37"/>
  <c r="J11" i="37"/>
  <c r="W11" i="37" s="1"/>
  <c r="AC10" i="37"/>
  <c r="U11" i="34"/>
  <c r="AB11" i="34"/>
  <c r="AC10" i="34"/>
  <c r="W10" i="34"/>
  <c r="J11" i="34"/>
  <c r="W11" i="34" s="1"/>
  <c r="W36" i="33"/>
  <c r="U36" i="33"/>
  <c r="W27" i="33"/>
  <c r="AC27" i="33"/>
  <c r="AC25" i="33"/>
  <c r="AC11" i="37"/>
  <c r="F34" i="11"/>
  <c r="F11" i="12"/>
  <c r="F34" i="68"/>
  <c r="R8" i="1"/>
  <c r="AE7" i="1"/>
  <c r="AE8" i="1"/>
  <c r="H109" i="9"/>
  <c r="D124" i="9" s="1"/>
  <c r="AD3" i="71"/>
  <c r="M5" i="43"/>
  <c r="M2" i="43"/>
  <c r="M8" i="43"/>
  <c r="N7" i="43"/>
  <c r="N17" i="43"/>
  <c r="L17" i="43"/>
  <c r="O17" i="43"/>
  <c r="M17" i="43"/>
  <c r="E17" i="43"/>
  <c r="C18" i="71"/>
  <c r="D18" i="71" s="1"/>
  <c r="D19" i="71"/>
  <c r="D20" i="71"/>
  <c r="U20" i="71" s="1"/>
  <c r="S20" i="71"/>
  <c r="T20" i="71"/>
  <c r="AB18" i="71"/>
  <c r="X16" i="71"/>
  <c r="X15" i="71"/>
  <c r="AA16" i="71"/>
  <c r="AA15" i="71"/>
  <c r="X19" i="71"/>
  <c r="Y15" i="71"/>
  <c r="Z15" i="71" s="1"/>
  <c r="AB16" i="71"/>
  <c r="AB15" i="71"/>
  <c r="Y16" i="71"/>
  <c r="Z16" i="71" s="1"/>
  <c r="X3" i="71"/>
  <c r="F8" i="15"/>
  <c r="M23" i="15"/>
  <c r="F16" i="15"/>
  <c r="M26" i="15"/>
  <c r="AO12" i="1"/>
  <c r="M6" i="15"/>
  <c r="F37" i="15"/>
  <c r="F36" i="15"/>
  <c r="F40" i="15"/>
  <c r="J15" i="15"/>
  <c r="E12" i="76"/>
  <c r="E10" i="76"/>
  <c r="D2" i="34"/>
  <c r="M24" i="15"/>
  <c r="F38" i="15"/>
  <c r="C76" i="15"/>
  <c r="E2" i="69"/>
  <c r="L47" i="15"/>
  <c r="F7" i="73"/>
  <c r="M8" i="15"/>
  <c r="AO11" i="1"/>
  <c r="D2" i="36"/>
  <c r="F9" i="15"/>
  <c r="B9" i="76"/>
  <c r="M28" i="15"/>
  <c r="F3" i="73"/>
  <c r="F42" i="15"/>
  <c r="E7" i="76"/>
  <c r="AO9" i="1"/>
  <c r="AO13" i="1"/>
  <c r="AO7" i="1"/>
  <c r="F20" i="31"/>
  <c r="D2" i="33"/>
  <c r="D2" i="35"/>
  <c r="M9" i="15"/>
  <c r="E13" i="76"/>
  <c r="D2" i="21"/>
  <c r="F6" i="73"/>
  <c r="B11" i="76"/>
  <c r="B7" i="76"/>
  <c r="F4" i="73"/>
  <c r="L48" i="15"/>
  <c r="AO8" i="1"/>
  <c r="M22" i="15"/>
  <c r="D2" i="37"/>
  <c r="F5" i="73"/>
  <c r="E8" i="76"/>
  <c r="E9" i="76"/>
  <c r="B12" i="76"/>
  <c r="E11" i="76"/>
  <c r="B13" i="76"/>
  <c r="AO10" i="1"/>
  <c r="F26" i="15"/>
  <c r="F13" i="15"/>
  <c r="B10" i="76"/>
  <c r="B8" i="76"/>
  <c r="AA11" i="21" l="1"/>
  <c r="U11" i="21"/>
  <c r="W37" i="21"/>
  <c r="U37" i="21"/>
  <c r="U26" i="21"/>
  <c r="AB42" i="21"/>
  <c r="W39" i="21"/>
  <c r="AC38" i="21"/>
  <c r="S37" i="21"/>
  <c r="AB36" i="21"/>
  <c r="W36" i="21"/>
  <c r="S34" i="21"/>
  <c r="S39" i="21"/>
  <c r="AB39" i="21"/>
  <c r="S38" i="21"/>
  <c r="AA36" i="21"/>
  <c r="W33" i="21"/>
  <c r="S33" i="21"/>
  <c r="U33" i="21"/>
  <c r="AC32" i="21"/>
  <c r="L89" i="21"/>
  <c r="M89" i="21" s="1"/>
  <c r="AA26" i="21"/>
  <c r="W25" i="21"/>
  <c r="AB25" i="21"/>
  <c r="AA25" i="21"/>
  <c r="AB15" i="21"/>
  <c r="W15" i="21"/>
  <c r="AA15" i="21"/>
  <c r="S10" i="21"/>
  <c r="U10" i="21"/>
  <c r="W10" i="21"/>
  <c r="U9" i="21"/>
  <c r="B56" i="43"/>
  <c r="C25" i="39"/>
  <c r="B67" i="43"/>
  <c r="M101" i="43"/>
  <c r="M109" i="43" s="1"/>
  <c r="G13" i="1"/>
  <c r="G9" i="1"/>
  <c r="G12" i="1"/>
  <c r="G1" i="67"/>
  <c r="B6" i="1"/>
  <c r="E6" i="1" s="1"/>
  <c r="AQ12" i="1"/>
  <c r="T13" i="1"/>
  <c r="G1" i="69"/>
  <c r="AR12" i="1"/>
  <c r="F34" i="15"/>
  <c r="F62" i="15" s="1"/>
  <c r="F34" i="67"/>
  <c r="F62" i="67" s="1"/>
  <c r="Z11" i="43"/>
  <c r="Z13" i="43" s="1"/>
  <c r="H101" i="43"/>
  <c r="H107" i="43" s="1"/>
  <c r="K101" i="43"/>
  <c r="K107" i="43" s="1"/>
  <c r="N101" i="43"/>
  <c r="N102" i="43" s="1"/>
  <c r="AD11" i="43"/>
  <c r="AD13" i="43" s="1"/>
  <c r="H22" i="43"/>
  <c r="AH11" i="43"/>
  <c r="E101" i="43"/>
  <c r="E5" i="6"/>
  <c r="G101" i="43"/>
  <c r="J101" i="43"/>
  <c r="J102" i="43" s="1"/>
  <c r="F22" i="43"/>
  <c r="T9" i="1"/>
  <c r="AQ13" i="1"/>
  <c r="AQ9" i="1"/>
  <c r="D68" i="39"/>
  <c r="D70" i="39" s="1"/>
  <c r="C70" i="39"/>
  <c r="J1" i="73"/>
  <c r="H82" i="43"/>
  <c r="M6" i="43"/>
  <c r="C6" i="43" s="1"/>
  <c r="N9" i="43"/>
  <c r="M10" i="43"/>
  <c r="M4" i="43"/>
  <c r="M9" i="43"/>
  <c r="N6" i="43"/>
  <c r="F70" i="43" s="1"/>
  <c r="H73" i="43" s="1"/>
  <c r="M1" i="43"/>
  <c r="N11" i="43"/>
  <c r="M3" i="43"/>
  <c r="N2" i="43"/>
  <c r="F59" i="43" s="1"/>
  <c r="H66" i="43" s="1"/>
  <c r="N4" i="43"/>
  <c r="N10" i="43"/>
  <c r="M7" i="43"/>
  <c r="N12" i="43"/>
  <c r="M12" i="43"/>
  <c r="M11" i="43"/>
  <c r="AC31" i="40"/>
  <c r="W31" i="40"/>
  <c r="AZ497" i="3"/>
  <c r="AZ517" i="3"/>
  <c r="S30" i="21"/>
  <c r="AA30" i="21"/>
  <c r="AA26" i="37"/>
  <c r="S26" i="37"/>
  <c r="S45" i="39"/>
  <c r="AA45" i="39"/>
  <c r="C23" i="12"/>
  <c r="AA17" i="33"/>
  <c r="AC17" i="33"/>
  <c r="U26" i="35"/>
  <c r="S9" i="35"/>
  <c r="W30" i="40"/>
  <c r="W19" i="40"/>
  <c r="H85" i="43"/>
  <c r="E14" i="6"/>
  <c r="E64" i="39" s="1"/>
  <c r="E10" i="6"/>
  <c r="S43" i="33"/>
  <c r="U44" i="34"/>
  <c r="U12" i="39"/>
  <c r="AA19" i="40"/>
  <c r="H86" i="43"/>
  <c r="AZ382" i="3"/>
  <c r="AZ329" i="3"/>
  <c r="W35" i="40"/>
  <c r="AZ535" i="3"/>
  <c r="AZ571" i="3"/>
  <c r="AZ579" i="3"/>
  <c r="AZ584" i="3"/>
  <c r="AA14" i="37"/>
  <c r="AA35" i="39"/>
  <c r="S35" i="39"/>
  <c r="W22" i="35"/>
  <c r="AC22" i="35"/>
  <c r="W27" i="35"/>
  <c r="AC27" i="35"/>
  <c r="W16" i="36"/>
  <c r="AC16" i="36"/>
  <c r="W40" i="40"/>
  <c r="AC40" i="40"/>
  <c r="AA42" i="34"/>
  <c r="S42" i="34"/>
  <c r="W9" i="21"/>
  <c r="C17" i="71"/>
  <c r="AB45" i="21"/>
  <c r="D6" i="52"/>
  <c r="AA25" i="33"/>
  <c r="W32" i="33"/>
  <c r="AA23" i="37"/>
  <c r="U21" i="39"/>
  <c r="AR11" i="1"/>
  <c r="T11" i="1"/>
  <c r="S23" i="39"/>
  <c r="H88" i="43"/>
  <c r="N104" i="43"/>
  <c r="W43" i="33"/>
  <c r="AB35" i="34"/>
  <c r="AA33" i="34"/>
  <c r="S36" i="37"/>
  <c r="AB15" i="39"/>
  <c r="U21" i="40"/>
  <c r="AB32" i="37"/>
  <c r="AZ318" i="3"/>
  <c r="AZ337" i="3"/>
  <c r="AZ305" i="3"/>
  <c r="AZ345" i="3"/>
  <c r="AZ306" i="3"/>
  <c r="AZ505" i="3"/>
  <c r="AZ527" i="3"/>
  <c r="AZ543" i="3"/>
  <c r="AZ569" i="3"/>
  <c r="AZ529" i="3"/>
  <c r="AZ545" i="3"/>
  <c r="AZ581" i="3"/>
  <c r="AZ524" i="3"/>
  <c r="AZ564" i="3"/>
  <c r="AZ580" i="3"/>
  <c r="AZ498" i="3"/>
  <c r="U46" i="34"/>
  <c r="W8" i="36"/>
  <c r="AB8" i="33"/>
  <c r="AA38" i="33"/>
  <c r="S38" i="33"/>
  <c r="H23" i="35"/>
  <c r="J23" i="35"/>
  <c r="F23" i="35"/>
  <c r="H34" i="35"/>
  <c r="J34" i="35"/>
  <c r="F34" i="35"/>
  <c r="S34" i="35" s="1"/>
  <c r="J25" i="37"/>
  <c r="AA38" i="39"/>
  <c r="AA38" i="40"/>
  <c r="S38" i="40"/>
  <c r="U41" i="21"/>
  <c r="AB41" i="21"/>
  <c r="H36" i="39"/>
  <c r="J36" i="39"/>
  <c r="BL560" i="3"/>
  <c r="D9" i="68"/>
  <c r="C9" i="68" s="1"/>
  <c r="AC20" i="36"/>
  <c r="H84" i="43"/>
  <c r="AB14" i="33"/>
  <c r="AA13" i="37"/>
  <c r="AA10" i="35"/>
  <c r="U25" i="39"/>
  <c r="AB27" i="40"/>
  <c r="H87" i="43"/>
  <c r="G28" i="6"/>
  <c r="G30" i="6" s="1"/>
  <c r="AZ377" i="3"/>
  <c r="AZ334" i="3"/>
  <c r="AZ322" i="3"/>
  <c r="AZ311" i="3"/>
  <c r="AZ347" i="3"/>
  <c r="AZ378" i="3"/>
  <c r="AZ343" i="3"/>
  <c r="AZ327" i="3"/>
  <c r="S11" i="39"/>
  <c r="W40" i="37"/>
  <c r="W44" i="33"/>
  <c r="AZ495" i="3"/>
  <c r="AZ513" i="3"/>
  <c r="AZ567" i="3"/>
  <c r="AZ575" i="3"/>
  <c r="AZ566" i="3"/>
  <c r="AZ574" i="3"/>
  <c r="AZ582" i="3"/>
  <c r="AZ546" i="3"/>
  <c r="U45" i="33"/>
  <c r="AB33" i="35"/>
  <c r="U31" i="35"/>
  <c r="BA585" i="3"/>
  <c r="J29" i="21"/>
  <c r="H29" i="21"/>
  <c r="B70" i="43"/>
  <c r="C15" i="39"/>
  <c r="AC8" i="34"/>
  <c r="W8" i="34"/>
  <c r="AA34" i="34"/>
  <c r="S34" i="34"/>
  <c r="J35" i="35"/>
  <c r="H35" i="35"/>
  <c r="H26" i="37"/>
  <c r="J26" i="37"/>
  <c r="AB38" i="40"/>
  <c r="U38" i="40"/>
  <c r="AA31" i="35"/>
  <c r="S31" i="35"/>
  <c r="AA30" i="36"/>
  <c r="S30" i="36"/>
  <c r="BL576" i="3"/>
  <c r="AB17" i="33"/>
  <c r="AZ533" i="3"/>
  <c r="AZ560" i="3"/>
  <c r="AZ576" i="3"/>
  <c r="AB34" i="21"/>
  <c r="U34" i="21"/>
  <c r="BL587" i="3"/>
  <c r="AZ587" i="3" s="1"/>
  <c r="J30" i="21"/>
  <c r="H30" i="21"/>
  <c r="J45" i="21"/>
  <c r="F45" i="21"/>
  <c r="B74" i="43"/>
  <c r="C27" i="39"/>
  <c r="AC40" i="33"/>
  <c r="W40" i="33"/>
  <c r="J26" i="33"/>
  <c r="F26" i="33"/>
  <c r="W8" i="35"/>
  <c r="AC8" i="35"/>
  <c r="H34" i="36"/>
  <c r="F34" i="36"/>
  <c r="J34" i="36"/>
  <c r="AB31" i="36"/>
  <c r="U31" i="36"/>
  <c r="AC40" i="39"/>
  <c r="W40" i="39"/>
  <c r="H45" i="39"/>
  <c r="J45" i="39"/>
  <c r="BA550" i="3"/>
  <c r="BL538" i="3"/>
  <c r="AZ538" i="3" s="1"/>
  <c r="BL522" i="3"/>
  <c r="AZ522" i="3" s="1"/>
  <c r="BL16" i="3"/>
  <c r="AZ16" i="3" s="1"/>
  <c r="AZ399" i="3"/>
  <c r="BL402" i="3"/>
  <c r="BL408" i="3"/>
  <c r="BL409" i="3"/>
  <c r="G410" i="3"/>
  <c r="BA411" i="3"/>
  <c r="G414" i="3"/>
  <c r="BL585" i="3"/>
  <c r="G566" i="3"/>
  <c r="BA403" i="3"/>
  <c r="BL403" i="3"/>
  <c r="BL405" i="3"/>
  <c r="BL417" i="3"/>
  <c r="BA420" i="3"/>
  <c r="AZ443" i="3"/>
  <c r="F9" i="33"/>
  <c r="G552" i="3"/>
  <c r="AZ402" i="3"/>
  <c r="BL15" i="3"/>
  <c r="AZ15" i="3" s="1"/>
  <c r="BL398" i="3"/>
  <c r="G399" i="3"/>
  <c r="BA401" i="3"/>
  <c r="AZ401" i="3" s="1"/>
  <c r="BA406" i="3"/>
  <c r="AZ406" i="3" s="1"/>
  <c r="BA412" i="3"/>
  <c r="AZ412" i="3" s="1"/>
  <c r="BL401" i="3"/>
  <c r="G402" i="3"/>
  <c r="G403" i="3"/>
  <c r="BL410" i="3"/>
  <c r="AZ410" i="3" s="1"/>
  <c r="BL411" i="3"/>
  <c r="BL412" i="3"/>
  <c r="G413" i="3"/>
  <c r="BA416" i="3"/>
  <c r="AZ416" i="3" s="1"/>
  <c r="BA417" i="3"/>
  <c r="AZ417" i="3" s="1"/>
  <c r="BA418" i="3"/>
  <c r="BL420" i="3"/>
  <c r="BL422" i="3"/>
  <c r="AZ422" i="3" s="1"/>
  <c r="BL423" i="3"/>
  <c r="G424" i="3"/>
  <c r="BA427" i="3"/>
  <c r="AZ427" i="3" s="1"/>
  <c r="BA428" i="3"/>
  <c r="BA429" i="3"/>
  <c r="AZ429" i="3" s="1"/>
  <c r="BL431" i="3"/>
  <c r="G435" i="3"/>
  <c r="BA435" i="3"/>
  <c r="BA436" i="3"/>
  <c r="AZ436" i="3" s="1"/>
  <c r="BA438" i="3"/>
  <c r="BA441" i="3"/>
  <c r="BL441" i="3"/>
  <c r="G442" i="3"/>
  <c r="BL443" i="3"/>
  <c r="G444" i="3"/>
  <c r="BA447" i="3"/>
  <c r="AZ447" i="3" s="1"/>
  <c r="BL457" i="3"/>
  <c r="BL466" i="3"/>
  <c r="BL467" i="3"/>
  <c r="BL468" i="3"/>
  <c r="BA472" i="3"/>
  <c r="BA477" i="3"/>
  <c r="BL477" i="3"/>
  <c r="BL478" i="3"/>
  <c r="BL479" i="3"/>
  <c r="BL485" i="3"/>
  <c r="BL486" i="3"/>
  <c r="BL487" i="3"/>
  <c r="BA492" i="3"/>
  <c r="BA319" i="3"/>
  <c r="AZ319" i="3" s="1"/>
  <c r="BA323" i="3"/>
  <c r="AZ323" i="3" s="1"/>
  <c r="BL353" i="3"/>
  <c r="BA414" i="3"/>
  <c r="BA415" i="3"/>
  <c r="BA421" i="3"/>
  <c r="BL421" i="3"/>
  <c r="G422" i="3"/>
  <c r="BA424" i="3"/>
  <c r="BA425" i="3"/>
  <c r="AZ425" i="3" s="1"/>
  <c r="BA426" i="3"/>
  <c r="BA432" i="3"/>
  <c r="BL432" i="3"/>
  <c r="G433" i="3"/>
  <c r="G434" i="3"/>
  <c r="BL437" i="3"/>
  <c r="AZ437" i="3" s="1"/>
  <c r="BL439" i="3"/>
  <c r="BA444" i="3"/>
  <c r="BA445" i="3"/>
  <c r="AZ445" i="3" s="1"/>
  <c r="BA446" i="3"/>
  <c r="BL448" i="3"/>
  <c r="BL450" i="3"/>
  <c r="BL453" i="3"/>
  <c r="AZ453" i="3" s="1"/>
  <c r="BL454" i="3"/>
  <c r="G455" i="3"/>
  <c r="G456" i="3"/>
  <c r="G457" i="3"/>
  <c r="BA458" i="3"/>
  <c r="AZ458" i="3" s="1"/>
  <c r="BA459" i="3"/>
  <c r="BL459" i="3"/>
  <c r="BL461" i="3"/>
  <c r="BL463" i="3"/>
  <c r="BL464" i="3"/>
  <c r="BL465" i="3"/>
  <c r="G466" i="3"/>
  <c r="BA469" i="3"/>
  <c r="AZ469" i="3" s="1"/>
  <c r="BL473" i="3"/>
  <c r="AZ473" i="3" s="1"/>
  <c r="BL475" i="3"/>
  <c r="BL476" i="3"/>
  <c r="G477" i="3"/>
  <c r="BA480" i="3"/>
  <c r="AZ480" i="3" s="1"/>
  <c r="BA481" i="3"/>
  <c r="BL481" i="3"/>
  <c r="BL483" i="3"/>
  <c r="BL484" i="3"/>
  <c r="G485" i="3"/>
  <c r="BA488" i="3"/>
  <c r="AZ488" i="3" s="1"/>
  <c r="BA490" i="3"/>
  <c r="BA491" i="3"/>
  <c r="AZ491" i="3" s="1"/>
  <c r="BA307" i="3"/>
  <c r="AZ307" i="3" s="1"/>
  <c r="G311" i="3"/>
  <c r="BL314" i="3"/>
  <c r="AZ314" i="3" s="1"/>
  <c r="BA331" i="3"/>
  <c r="AZ331" i="3" s="1"/>
  <c r="G339" i="3"/>
  <c r="BL340" i="3"/>
  <c r="AZ340" i="3" s="1"/>
  <c r="BA349" i="3"/>
  <c r="AZ349" i="3" s="1"/>
  <c r="BL363" i="3"/>
  <c r="AZ363" i="3" s="1"/>
  <c r="BL367" i="3"/>
  <c r="BA370" i="3"/>
  <c r="AZ370" i="3" s="1"/>
  <c r="BA384" i="3"/>
  <c r="AZ384" i="3" s="1"/>
  <c r="BL396" i="3"/>
  <c r="BA208" i="3"/>
  <c r="BL208" i="3"/>
  <c r="BL210" i="3"/>
  <c r="G212" i="3"/>
  <c r="BA215" i="3"/>
  <c r="AZ215" i="3" s="1"/>
  <c r="BA218" i="3"/>
  <c r="AZ218" i="3" s="1"/>
  <c r="BL225" i="3"/>
  <c r="BL230" i="3"/>
  <c r="AZ272" i="3"/>
  <c r="BL428" i="3"/>
  <c r="AZ455" i="3"/>
  <c r="BA457" i="3"/>
  <c r="AZ457" i="3" s="1"/>
  <c r="AZ466" i="3"/>
  <c r="AZ467" i="3"/>
  <c r="BA468" i="3"/>
  <c r="BA479" i="3"/>
  <c r="AZ479" i="3" s="1"/>
  <c r="AZ485" i="3"/>
  <c r="AZ486" i="3"/>
  <c r="BL492" i="3"/>
  <c r="AZ316" i="3"/>
  <c r="BL317" i="3"/>
  <c r="AZ317" i="3" s="1"/>
  <c r="BL328" i="3"/>
  <c r="AZ328" i="3" s="1"/>
  <c r="G329" i="3"/>
  <c r="BL332" i="3"/>
  <c r="BL333" i="3"/>
  <c r="AZ333" i="3" s="1"/>
  <c r="G334" i="3"/>
  <c r="BA335" i="3"/>
  <c r="AZ335" i="3" s="1"/>
  <c r="BA339" i="3"/>
  <c r="AZ339" i="3" s="1"/>
  <c r="G347" i="3"/>
  <c r="BA348" i="3"/>
  <c r="AZ348" i="3" s="1"/>
  <c r="BL350" i="3"/>
  <c r="BA353" i="3"/>
  <c r="BA396" i="3"/>
  <c r="AZ396" i="3" s="1"/>
  <c r="BA397" i="3"/>
  <c r="BL209" i="3"/>
  <c r="G210" i="3"/>
  <c r="G228" i="3"/>
  <c r="BA398" i="3"/>
  <c r="AZ398" i="3" s="1"/>
  <c r="BL400" i="3"/>
  <c r="G404" i="3"/>
  <c r="BA405" i="3"/>
  <c r="BA407" i="3"/>
  <c r="AZ407" i="3" s="1"/>
  <c r="BA408" i="3"/>
  <c r="AZ408" i="3" s="1"/>
  <c r="BA409" i="3"/>
  <c r="BL413" i="3"/>
  <c r="BL414" i="3"/>
  <c r="BL415" i="3"/>
  <c r="G416" i="3"/>
  <c r="G417" i="3"/>
  <c r="BA419" i="3"/>
  <c r="AZ419" i="3" s="1"/>
  <c r="BL424" i="3"/>
  <c r="BL425" i="3"/>
  <c r="BL426" i="3"/>
  <c r="G427" i="3"/>
  <c r="G428" i="3"/>
  <c r="BA430" i="3"/>
  <c r="AZ430" i="3" s="1"/>
  <c r="BL435" i="3"/>
  <c r="G436" i="3"/>
  <c r="G438" i="3"/>
  <c r="BA439" i="3"/>
  <c r="AZ439" i="3" s="1"/>
  <c r="BA440" i="3"/>
  <c r="AZ440" i="3" s="1"/>
  <c r="BL442" i="3"/>
  <c r="BL444" i="3"/>
  <c r="BL445" i="3"/>
  <c r="BL446" i="3"/>
  <c r="G447" i="3"/>
  <c r="G448" i="3"/>
  <c r="G449" i="3"/>
  <c r="BA450" i="3"/>
  <c r="AZ450" i="3" s="1"/>
  <c r="BA452" i="3"/>
  <c r="AZ452" i="3" s="1"/>
  <c r="BA453" i="3"/>
  <c r="BA454" i="3"/>
  <c r="BL456" i="3"/>
  <c r="G460" i="3"/>
  <c r="BA461" i="3"/>
  <c r="BA463" i="3"/>
  <c r="AZ463" i="3" s="1"/>
  <c r="BA464" i="3"/>
  <c r="AZ464" i="3" s="1"/>
  <c r="BA465" i="3"/>
  <c r="AZ465" i="3" s="1"/>
  <c r="BA471" i="3"/>
  <c r="BL471" i="3"/>
  <c r="G472" i="3"/>
  <c r="G474" i="3"/>
  <c r="BA475" i="3"/>
  <c r="BA476" i="3"/>
  <c r="G482" i="3"/>
  <c r="BA483" i="3"/>
  <c r="AZ483" i="3" s="1"/>
  <c r="BA484" i="3"/>
  <c r="AZ484" i="3" s="1"/>
  <c r="BL490" i="3"/>
  <c r="G491" i="3"/>
  <c r="BL312" i="3"/>
  <c r="AZ312" i="3" s="1"/>
  <c r="G313" i="3"/>
  <c r="G323" i="3"/>
  <c r="BA352" i="3"/>
  <c r="AZ352" i="3" s="1"/>
  <c r="BA358" i="3"/>
  <c r="AZ358" i="3" s="1"/>
  <c r="G362" i="3"/>
  <c r="BL365" i="3"/>
  <c r="AZ365" i="3" s="1"/>
  <c r="BL375" i="3"/>
  <c r="AZ375" i="3" s="1"/>
  <c r="BL381" i="3"/>
  <c r="AZ381" i="3" s="1"/>
  <c r="G387" i="3"/>
  <c r="G395" i="3"/>
  <c r="BL212" i="3"/>
  <c r="BL213" i="3"/>
  <c r="G214" i="3"/>
  <c r="G217" i="3"/>
  <c r="G219" i="3"/>
  <c r="G220" i="3"/>
  <c r="BL221" i="3"/>
  <c r="G222" i="3"/>
  <c r="G223" i="3"/>
  <c r="BA232" i="3"/>
  <c r="AZ232" i="3" s="1"/>
  <c r="BL233" i="3"/>
  <c r="AZ233" i="3" s="1"/>
  <c r="G225" i="3"/>
  <c r="BA226" i="3"/>
  <c r="BA227" i="3"/>
  <c r="AZ227" i="3" s="1"/>
  <c r="BL227" i="3"/>
  <c r="BL234" i="3"/>
  <c r="BA236" i="3"/>
  <c r="BL237" i="3"/>
  <c r="G240" i="3"/>
  <c r="G242" i="3"/>
  <c r="G243" i="3"/>
  <c r="BL244" i="3"/>
  <c r="BA246" i="3"/>
  <c r="BA247" i="3"/>
  <c r="BL250" i="3"/>
  <c r="AZ250" i="3" s="1"/>
  <c r="BL253" i="3"/>
  <c r="BA258" i="3"/>
  <c r="BL261" i="3"/>
  <c r="G263" i="3"/>
  <c r="BA263" i="3"/>
  <c r="BA264" i="3"/>
  <c r="BA273" i="3"/>
  <c r="BL288" i="3"/>
  <c r="BA295" i="3"/>
  <c r="G299" i="3"/>
  <c r="G301" i="3"/>
  <c r="BL114" i="3"/>
  <c r="BA120" i="3"/>
  <c r="AZ120" i="3" s="1"/>
  <c r="G134" i="3"/>
  <c r="BA136" i="3"/>
  <c r="AZ136" i="3" s="1"/>
  <c r="BA138" i="3"/>
  <c r="BL141" i="3"/>
  <c r="AZ141" i="3" s="1"/>
  <c r="BL145" i="3"/>
  <c r="G148" i="3"/>
  <c r="G150" i="3"/>
  <c r="BL150" i="3"/>
  <c r="AZ150" i="3" s="1"/>
  <c r="BA153" i="3"/>
  <c r="BL155" i="3"/>
  <c r="AZ155" i="3" s="1"/>
  <c r="G160" i="3"/>
  <c r="G166" i="3"/>
  <c r="BA166" i="3"/>
  <c r="G170" i="3"/>
  <c r="G194" i="3"/>
  <c r="BL197" i="3"/>
  <c r="G198" i="3"/>
  <c r="BL198" i="3"/>
  <c r="AZ198" i="3" s="1"/>
  <c r="BA18" i="3"/>
  <c r="BL19" i="3"/>
  <c r="BL21" i="3"/>
  <c r="AZ21" i="3" s="1"/>
  <c r="BA27" i="3"/>
  <c r="G38" i="3"/>
  <c r="BL43" i="3"/>
  <c r="G44" i="3"/>
  <c r="BL44" i="3"/>
  <c r="BA47" i="3"/>
  <c r="BL49" i="3"/>
  <c r="G56" i="3"/>
  <c r="BL96" i="3"/>
  <c r="P63" i="71"/>
  <c r="E62" i="71"/>
  <c r="D38" i="71"/>
  <c r="C39" i="71"/>
  <c r="AA10" i="43"/>
  <c r="AA12" i="43"/>
  <c r="AJ12" i="43"/>
  <c r="AJ10" i="43"/>
  <c r="AA22" i="71"/>
  <c r="BL119" i="3"/>
  <c r="AZ119" i="3" s="1"/>
  <c r="BA140" i="3"/>
  <c r="AZ140" i="3" s="1"/>
  <c r="BA141" i="3"/>
  <c r="G155" i="3"/>
  <c r="BL163" i="3"/>
  <c r="AZ163" i="3" s="1"/>
  <c r="BL181" i="3"/>
  <c r="BL187" i="3"/>
  <c r="AZ187" i="3" s="1"/>
  <c r="BA204" i="3"/>
  <c r="AZ204" i="3" s="1"/>
  <c r="BA205" i="3"/>
  <c r="BA24" i="3"/>
  <c r="BA28" i="3"/>
  <c r="BA29" i="3"/>
  <c r="BL29" i="3"/>
  <c r="G32" i="3"/>
  <c r="BL36" i="3"/>
  <c r="BL42" i="3"/>
  <c r="G43" i="3"/>
  <c r="AZ44" i="3"/>
  <c r="BA50" i="3"/>
  <c r="BA71" i="3"/>
  <c r="BL87" i="3"/>
  <c r="AZ87" i="3" s="1"/>
  <c r="BA91" i="3"/>
  <c r="G99" i="3"/>
  <c r="F3" i="35"/>
  <c r="BL235" i="3"/>
  <c r="BA239" i="3"/>
  <c r="BA242" i="3"/>
  <c r="AZ242" i="3" s="1"/>
  <c r="BA245" i="3"/>
  <c r="BL245" i="3"/>
  <c r="BL251" i="3"/>
  <c r="BA253" i="3"/>
  <c r="BL254" i="3"/>
  <c r="BL257" i="3"/>
  <c r="AZ257" i="3" s="1"/>
  <c r="BL260" i="3"/>
  <c r="AZ260" i="3" s="1"/>
  <c r="BL267" i="3"/>
  <c r="BL270" i="3"/>
  <c r="BL277" i="3"/>
  <c r="G279" i="3"/>
  <c r="BA279" i="3"/>
  <c r="BL280" i="3"/>
  <c r="BL284" i="3"/>
  <c r="BL285" i="3"/>
  <c r="BL287" i="3"/>
  <c r="BA289" i="3"/>
  <c r="BA297" i="3"/>
  <c r="AZ297" i="3" s="1"/>
  <c r="BL113" i="3"/>
  <c r="BL115" i="3"/>
  <c r="AZ115" i="3" s="1"/>
  <c r="BL117" i="3"/>
  <c r="G124" i="3"/>
  <c r="BL127" i="3"/>
  <c r="AZ127" i="3" s="1"/>
  <c r="BL131" i="3"/>
  <c r="AZ131" i="3" s="1"/>
  <c r="BA132" i="3"/>
  <c r="AZ132" i="3" s="1"/>
  <c r="BL146" i="3"/>
  <c r="BL186" i="3"/>
  <c r="BA194" i="3"/>
  <c r="BA201" i="3"/>
  <c r="BL27" i="3"/>
  <c r="BL30" i="3"/>
  <c r="BA32" i="3"/>
  <c r="BA38" i="3"/>
  <c r="BA110" i="3"/>
  <c r="D34" i="71"/>
  <c r="C35" i="71"/>
  <c r="U72" i="71"/>
  <c r="E71" i="71"/>
  <c r="E70" i="71" s="1"/>
  <c r="BA231" i="3"/>
  <c r="BL231" i="3"/>
  <c r="BL232" i="3"/>
  <c r="G238" i="3"/>
  <c r="BL240" i="3"/>
  <c r="AZ240" i="3" s="1"/>
  <c r="BL247" i="3"/>
  <c r="BA249" i="3"/>
  <c r="BA251" i="3"/>
  <c r="AZ251" i="3" s="1"/>
  <c r="BA252" i="3"/>
  <c r="AZ252" i="3" s="1"/>
  <c r="BA254" i="3"/>
  <c r="AZ254" i="3" s="1"/>
  <c r="BA255" i="3"/>
  <c r="BL255" i="3"/>
  <c r="BL256" i="3"/>
  <c r="BL258" i="3"/>
  <c r="BL264" i="3"/>
  <c r="BA266" i="3"/>
  <c r="BA267" i="3"/>
  <c r="BL268" i="3"/>
  <c r="G269" i="3"/>
  <c r="BL274" i="3"/>
  <c r="BA276" i="3"/>
  <c r="BA277" i="3"/>
  <c r="AZ277" i="3" s="1"/>
  <c r="BA278" i="3"/>
  <c r="AZ278" i="3" s="1"/>
  <c r="BL281" i="3"/>
  <c r="G282" i="3"/>
  <c r="BL282" i="3"/>
  <c r="BA284" i="3"/>
  <c r="BL291" i="3"/>
  <c r="BL299" i="3"/>
  <c r="AZ299" i="3" s="1"/>
  <c r="BA118" i="3"/>
  <c r="AZ118" i="3" s="1"/>
  <c r="BL125" i="3"/>
  <c r="G127" i="3"/>
  <c r="G135" i="3"/>
  <c r="BL135" i="3"/>
  <c r="AZ135" i="3" s="1"/>
  <c r="BA137" i="3"/>
  <c r="BA144" i="3"/>
  <c r="AZ144" i="3" s="1"/>
  <c r="BA146" i="3"/>
  <c r="G154" i="3"/>
  <c r="BA154" i="3"/>
  <c r="BL157" i="3"/>
  <c r="BL158" i="3"/>
  <c r="AZ158" i="3" s="1"/>
  <c r="G191" i="3"/>
  <c r="BA192" i="3"/>
  <c r="AZ192" i="3" s="1"/>
  <c r="G199" i="3"/>
  <c r="G205" i="3"/>
  <c r="BL24" i="3"/>
  <c r="BL33" i="3"/>
  <c r="BL47" i="3"/>
  <c r="G51" i="3"/>
  <c r="BA58" i="3"/>
  <c r="G61" i="3"/>
  <c r="BA64" i="3"/>
  <c r="BA74" i="3"/>
  <c r="C59" i="71"/>
  <c r="D58" i="71"/>
  <c r="BA57" i="3"/>
  <c r="BL57" i="3"/>
  <c r="BA61" i="3"/>
  <c r="BL64" i="3"/>
  <c r="BL66" i="3"/>
  <c r="BA69" i="3"/>
  <c r="BA81" i="3"/>
  <c r="AZ81" i="3" s="1"/>
  <c r="BL106" i="3"/>
  <c r="BL109" i="3"/>
  <c r="AZ109" i="3" s="1"/>
  <c r="BA111" i="3"/>
  <c r="AZ111" i="3" s="1"/>
  <c r="BL112" i="3"/>
  <c r="E108" i="43"/>
  <c r="E100" i="43"/>
  <c r="AC18" i="35"/>
  <c r="W18" i="35"/>
  <c r="C55" i="71"/>
  <c r="D54" i="71"/>
  <c r="F63" i="71"/>
  <c r="V64" i="71"/>
  <c r="AB19" i="71"/>
  <c r="AB22" i="71"/>
  <c r="G179" i="3"/>
  <c r="BA180" i="3"/>
  <c r="AZ180" i="3" s="1"/>
  <c r="BA182" i="3"/>
  <c r="BL185" i="3"/>
  <c r="BA186" i="3"/>
  <c r="BA189" i="3"/>
  <c r="BL190" i="3"/>
  <c r="BL193" i="3"/>
  <c r="AZ193" i="3" s="1"/>
  <c r="BA200" i="3"/>
  <c r="AZ200" i="3" s="1"/>
  <c r="G202" i="3"/>
  <c r="G203" i="3"/>
  <c r="BL205" i="3"/>
  <c r="BL207" i="3"/>
  <c r="BA26" i="3"/>
  <c r="AZ26" i="3" s="1"/>
  <c r="BA30" i="3"/>
  <c r="AZ30" i="3" s="1"/>
  <c r="BA31" i="3"/>
  <c r="BA35" i="3"/>
  <c r="BL38" i="3"/>
  <c r="AZ38" i="3" s="1"/>
  <c r="BL40" i="3"/>
  <c r="BA42" i="3"/>
  <c r="AZ42" i="3" s="1"/>
  <c r="BA48" i="3"/>
  <c r="G52" i="3"/>
  <c r="BA55" i="3"/>
  <c r="BL58" i="3"/>
  <c r="G59" i="3"/>
  <c r="G60" i="3"/>
  <c r="BL60" i="3"/>
  <c r="AZ60" i="3" s="1"/>
  <c r="G63" i="3"/>
  <c r="BL63" i="3"/>
  <c r="BA66" i="3"/>
  <c r="AZ66" i="3" s="1"/>
  <c r="G72" i="3"/>
  <c r="G73" i="3"/>
  <c r="BL73" i="3"/>
  <c r="AZ73" i="3" s="1"/>
  <c r="G74" i="3"/>
  <c r="BA76" i="3"/>
  <c r="BA77" i="3"/>
  <c r="G85" i="3"/>
  <c r="BA86" i="3"/>
  <c r="AZ86" i="3" s="1"/>
  <c r="G91" i="3"/>
  <c r="BA92" i="3"/>
  <c r="AZ92" i="3" s="1"/>
  <c r="BA93" i="3"/>
  <c r="BA94" i="3"/>
  <c r="BL97" i="3"/>
  <c r="BL98" i="3"/>
  <c r="BL100" i="3"/>
  <c r="BA101" i="3"/>
  <c r="AZ101" i="3" s="1"/>
  <c r="BA102" i="3"/>
  <c r="BL103" i="3"/>
  <c r="BL104" i="3"/>
  <c r="BA112" i="3"/>
  <c r="AZ112" i="3" s="1"/>
  <c r="K13" i="1"/>
  <c r="M13" i="1" s="1"/>
  <c r="O13" i="1" s="1"/>
  <c r="P13" i="1" s="1"/>
  <c r="F40" i="68"/>
  <c r="C21" i="68"/>
  <c r="C40" i="68"/>
  <c r="B75" i="43"/>
  <c r="B55" i="43"/>
  <c r="Y29" i="71"/>
  <c r="Z29" i="71" s="1"/>
  <c r="AB25" i="71"/>
  <c r="T64" i="71"/>
  <c r="D64" i="71"/>
  <c r="C63" i="71"/>
  <c r="C62" i="71" s="1"/>
  <c r="V68" i="71"/>
  <c r="F67" i="71"/>
  <c r="F66" i="71" s="1"/>
  <c r="BA161" i="3"/>
  <c r="G162" i="3"/>
  <c r="G167" i="3"/>
  <c r="BL175" i="3"/>
  <c r="AZ175" i="3" s="1"/>
  <c r="G184" i="3"/>
  <c r="BA188" i="3"/>
  <c r="AZ188" i="3" s="1"/>
  <c r="G190" i="3"/>
  <c r="G192" i="3"/>
  <c r="BL194" i="3"/>
  <c r="BA196" i="3"/>
  <c r="AZ196" i="3" s="1"/>
  <c r="BL199" i="3"/>
  <c r="AZ199" i="3" s="1"/>
  <c r="BA202" i="3"/>
  <c r="AZ202" i="3" s="1"/>
  <c r="BA207" i="3"/>
  <c r="AZ207" i="3" s="1"/>
  <c r="BA22" i="3"/>
  <c r="BA25" i="3"/>
  <c r="AZ25" i="3" s="1"/>
  <c r="BL32" i="3"/>
  <c r="G33" i="3"/>
  <c r="G34" i="3"/>
  <c r="BL34" i="3"/>
  <c r="AZ34" i="3" s="1"/>
  <c r="BL35" i="3"/>
  <c r="G36" i="3"/>
  <c r="G37" i="3"/>
  <c r="BL37" i="3"/>
  <c r="AZ37" i="3" s="1"/>
  <c r="BA40" i="3"/>
  <c r="AZ40" i="3" s="1"/>
  <c r="BA41" i="3"/>
  <c r="BL41" i="3"/>
  <c r="BA45" i="3"/>
  <c r="BL48" i="3"/>
  <c r="G49" i="3"/>
  <c r="G50" i="3"/>
  <c r="BL50" i="3"/>
  <c r="BA53" i="3"/>
  <c r="G58" i="3"/>
  <c r="BA63" i="3"/>
  <c r="AZ63" i="3" s="1"/>
  <c r="BL68" i="3"/>
  <c r="AZ68" i="3" s="1"/>
  <c r="G71" i="3"/>
  <c r="BA72" i="3"/>
  <c r="AZ72" i="3" s="1"/>
  <c r="BL77" i="3"/>
  <c r="BL78" i="3"/>
  <c r="BL79" i="3"/>
  <c r="BL80" i="3"/>
  <c r="AZ80" i="3" s="1"/>
  <c r="BL81" i="3"/>
  <c r="BL83" i="3"/>
  <c r="BA85" i="3"/>
  <c r="G90" i="3"/>
  <c r="BL90" i="3"/>
  <c r="AZ90" i="3" s="1"/>
  <c r="BL94" i="3"/>
  <c r="BL95" i="3"/>
  <c r="G98" i="3"/>
  <c r="BA98" i="3"/>
  <c r="AZ98" i="3" s="1"/>
  <c r="BL99" i="3"/>
  <c r="L100" i="43"/>
  <c r="AC21" i="21"/>
  <c r="W21" i="21"/>
  <c r="AB26" i="71"/>
  <c r="AA29" i="71"/>
  <c r="E30" i="71"/>
  <c r="E31" i="71" s="1"/>
  <c r="E32" i="71" s="1"/>
  <c r="U32" i="71" s="1"/>
  <c r="AA30" i="71"/>
  <c r="AA31" i="71"/>
  <c r="AA32" i="71"/>
  <c r="S68" i="71"/>
  <c r="B67" i="71"/>
  <c r="B66" i="71" s="1"/>
  <c r="U76" i="71"/>
  <c r="E75" i="71"/>
  <c r="E74" i="71" s="1"/>
  <c r="D80" i="71"/>
  <c r="C79" i="71"/>
  <c r="AB10" i="43"/>
  <c r="AI12" i="43"/>
  <c r="AI10" i="43"/>
  <c r="AB17" i="71"/>
  <c r="Y27" i="71"/>
  <c r="Z27" i="71" s="1"/>
  <c r="Y28" i="71"/>
  <c r="Z28" i="71" s="1"/>
  <c r="X27" i="71"/>
  <c r="X28" i="71"/>
  <c r="F36" i="71"/>
  <c r="V36" i="71" s="1"/>
  <c r="C43" i="71"/>
  <c r="D43" i="71" s="1"/>
  <c r="E59" i="71"/>
  <c r="E60" i="71" s="1"/>
  <c r="U60" i="71" s="1"/>
  <c r="F18" i="71"/>
  <c r="F17" i="71" s="1"/>
  <c r="F16" i="71" s="1"/>
  <c r="F15" i="71" s="1"/>
  <c r="F14" i="71" s="1"/>
  <c r="F13" i="71" s="1"/>
  <c r="BA75" i="3"/>
  <c r="AZ75" i="3" s="1"/>
  <c r="BL76" i="3"/>
  <c r="BA83" i="3"/>
  <c r="BA88" i="3"/>
  <c r="AZ88" i="3" s="1"/>
  <c r="BL89" i="3"/>
  <c r="AZ89" i="3" s="1"/>
  <c r="G93" i="3"/>
  <c r="BL93" i="3"/>
  <c r="BA96" i="3"/>
  <c r="AZ96" i="3" s="1"/>
  <c r="BA100" i="3"/>
  <c r="AZ100" i="3" s="1"/>
  <c r="BL101" i="3"/>
  <c r="G104" i="3"/>
  <c r="BA104" i="3"/>
  <c r="AZ104" i="3" s="1"/>
  <c r="BA107" i="3"/>
  <c r="W25" i="40"/>
  <c r="D31" i="71"/>
  <c r="C75" i="71"/>
  <c r="X24" i="71"/>
  <c r="X32" i="71"/>
  <c r="Y30" i="71"/>
  <c r="Z30" i="71" s="1"/>
  <c r="Y31" i="71"/>
  <c r="Z31" i="71" s="1"/>
  <c r="Y32" i="71"/>
  <c r="Z32" i="71" s="1"/>
  <c r="C48" i="71"/>
  <c r="B59" i="71"/>
  <c r="B60" i="71" s="1"/>
  <c r="S60" i="71" s="1"/>
  <c r="B19" i="71"/>
  <c r="B18" i="71" s="1"/>
  <c r="B17" i="71" s="1"/>
  <c r="B16" i="71" s="1"/>
  <c r="X10" i="71"/>
  <c r="X8" i="71"/>
  <c r="D16" i="53"/>
  <c r="B34" i="72" s="1"/>
  <c r="E68" i="39"/>
  <c r="H110" i="9"/>
  <c r="D18" i="53" s="1"/>
  <c r="B35" i="72" s="1"/>
  <c r="W37" i="33"/>
  <c r="AC37" i="33"/>
  <c r="AZ309" i="3"/>
  <c r="AZ557" i="3"/>
  <c r="AZ515" i="3"/>
  <c r="AC17" i="21"/>
  <c r="AZ553" i="3"/>
  <c r="W23" i="21"/>
  <c r="U19" i="33"/>
  <c r="AZ376" i="3"/>
  <c r="AZ503" i="3"/>
  <c r="AZ559" i="3"/>
  <c r="AB23" i="21"/>
  <c r="S23" i="33"/>
  <c r="AQ10" i="1"/>
  <c r="AR10" i="1"/>
  <c r="S10" i="33"/>
  <c r="AA10" i="33"/>
  <c r="S39" i="34"/>
  <c r="AA39" i="34"/>
  <c r="AZ390" i="3"/>
  <c r="S15" i="37"/>
  <c r="S26" i="33"/>
  <c r="AA26" i="33"/>
  <c r="S43" i="34"/>
  <c r="AC15" i="37"/>
  <c r="E13" i="6"/>
  <c r="BL493" i="3"/>
  <c r="AZ493" i="3" s="1"/>
  <c r="AC12" i="37"/>
  <c r="W13" i="36"/>
  <c r="U14" i="40"/>
  <c r="AA44" i="33"/>
  <c r="E15" i="6"/>
  <c r="AB28" i="37"/>
  <c r="S44" i="34"/>
  <c r="AB12" i="40"/>
  <c r="AC11" i="36"/>
  <c r="AC29" i="33"/>
  <c r="AA28" i="34"/>
  <c r="S28" i="34"/>
  <c r="BL586" i="3"/>
  <c r="AZ586" i="3" s="1"/>
  <c r="U13" i="33"/>
  <c r="E19" i="6"/>
  <c r="K6" i="1" s="1"/>
  <c r="AP6" i="1" s="1"/>
  <c r="G27" i="6"/>
  <c r="G31" i="6" s="1"/>
  <c r="E11" i="6"/>
  <c r="E61" i="39" s="1"/>
  <c r="AC13" i="40"/>
  <c r="AC45" i="33"/>
  <c r="W11" i="35"/>
  <c r="AB26" i="33"/>
  <c r="AB23" i="34"/>
  <c r="U23" i="34"/>
  <c r="AB23" i="40"/>
  <c r="U13" i="37"/>
  <c r="S14" i="40"/>
  <c r="AB30" i="35"/>
  <c r="U33" i="33"/>
  <c r="AC31" i="35"/>
  <c r="AA34" i="35"/>
  <c r="J36" i="35"/>
  <c r="H36" i="35"/>
  <c r="H44" i="39"/>
  <c r="F44" i="39"/>
  <c r="AC9" i="34"/>
  <c r="BA551" i="3"/>
  <c r="AZ551" i="3" s="1"/>
  <c r="J12" i="34"/>
  <c r="H12" i="34"/>
  <c r="F12" i="34"/>
  <c r="U8" i="35"/>
  <c r="W28" i="36"/>
  <c r="H12" i="21"/>
  <c r="F9" i="36"/>
  <c r="J28" i="34"/>
  <c r="J12" i="35"/>
  <c r="H12" i="35"/>
  <c r="H24" i="36"/>
  <c r="J24" i="36"/>
  <c r="BL548" i="3"/>
  <c r="AZ548" i="3" s="1"/>
  <c r="H9" i="36"/>
  <c r="J39" i="40"/>
  <c r="H39" i="40"/>
  <c r="S10" i="36"/>
  <c r="AZ424" i="3"/>
  <c r="AZ442" i="3"/>
  <c r="AZ444" i="3"/>
  <c r="AZ446" i="3"/>
  <c r="AZ470" i="3"/>
  <c r="AZ400" i="3"/>
  <c r="AZ423" i="3"/>
  <c r="AZ487" i="3"/>
  <c r="BL550" i="3"/>
  <c r="AZ550" i="3" s="1"/>
  <c r="AZ418" i="3"/>
  <c r="AZ413" i="3"/>
  <c r="AZ414" i="3"/>
  <c r="AZ426" i="3"/>
  <c r="AZ411" i="3"/>
  <c r="AZ456" i="3"/>
  <c r="AZ468" i="3"/>
  <c r="AZ478" i="3"/>
  <c r="AZ405" i="3"/>
  <c r="AZ409" i="3"/>
  <c r="AZ431" i="3"/>
  <c r="AZ454" i="3"/>
  <c r="AZ476" i="3"/>
  <c r="H12" i="36"/>
  <c r="F25" i="37"/>
  <c r="G578" i="3"/>
  <c r="AZ435" i="3"/>
  <c r="AZ438" i="3"/>
  <c r="AZ448" i="3"/>
  <c r="AZ472" i="3"/>
  <c r="AZ332" i="3"/>
  <c r="BL354" i="3"/>
  <c r="AZ354" i="3" s="1"/>
  <c r="AZ246" i="3"/>
  <c r="AZ258" i="3"/>
  <c r="AZ284" i="3"/>
  <c r="BA367" i="3"/>
  <c r="AZ367" i="3" s="1"/>
  <c r="BA368" i="3"/>
  <c r="BL386" i="3"/>
  <c r="BL393" i="3"/>
  <c r="AZ393" i="3" s="1"/>
  <c r="BA213" i="3"/>
  <c r="BA216" i="3"/>
  <c r="AZ216" i="3" s="1"/>
  <c r="BA219" i="3"/>
  <c r="AZ219" i="3" s="1"/>
  <c r="BA222" i="3"/>
  <c r="AZ222" i="3" s="1"/>
  <c r="BA225" i="3"/>
  <c r="AZ225" i="3" s="1"/>
  <c r="BL226" i="3"/>
  <c r="AZ226" i="3" s="1"/>
  <c r="BA244" i="3"/>
  <c r="AZ244" i="3" s="1"/>
  <c r="BA248" i="3"/>
  <c r="AZ248" i="3" s="1"/>
  <c r="BL249" i="3"/>
  <c r="AZ249" i="3" s="1"/>
  <c r="G252" i="3"/>
  <c r="AZ270" i="3"/>
  <c r="BA274" i="3"/>
  <c r="BL279" i="3"/>
  <c r="AZ279" i="3" s="1"/>
  <c r="BA281" i="3"/>
  <c r="AZ281" i="3" s="1"/>
  <c r="BL286" i="3"/>
  <c r="AZ286" i="3" s="1"/>
  <c r="BA294" i="3"/>
  <c r="AZ294" i="3" s="1"/>
  <c r="BL300" i="3"/>
  <c r="AZ300" i="3" s="1"/>
  <c r="G115" i="3"/>
  <c r="BA125" i="3"/>
  <c r="AZ125" i="3" s="1"/>
  <c r="BA315" i="3"/>
  <c r="AZ315" i="3" s="1"/>
  <c r="BA366" i="3"/>
  <c r="AZ366" i="3" s="1"/>
  <c r="G382" i="3"/>
  <c r="BL395" i="3"/>
  <c r="BA210" i="3"/>
  <c r="AZ210" i="3" s="1"/>
  <c r="BA211" i="3"/>
  <c r="BA241" i="3"/>
  <c r="AZ241" i="3" s="1"/>
  <c r="BL246" i="3"/>
  <c r="BA271" i="3"/>
  <c r="BL276" i="3"/>
  <c r="AZ276" i="3" s="1"/>
  <c r="BL298" i="3"/>
  <c r="G380" i="3"/>
  <c r="BL385" i="3"/>
  <c r="BA388" i="3"/>
  <c r="AZ388" i="3" s="1"/>
  <c r="BA212" i="3"/>
  <c r="AZ212" i="3" s="1"/>
  <c r="G216" i="3"/>
  <c r="BL243" i="3"/>
  <c r="AZ243" i="3" s="1"/>
  <c r="BL273" i="3"/>
  <c r="AZ273" i="3" s="1"/>
  <c r="BA290" i="3"/>
  <c r="BL295" i="3"/>
  <c r="BA350" i="3"/>
  <c r="AZ350" i="3" s="1"/>
  <c r="BL368" i="3"/>
  <c r="BA221" i="3"/>
  <c r="AZ221" i="3" s="1"/>
  <c r="BL224" i="3"/>
  <c r="AZ224" i="3" s="1"/>
  <c r="BA237" i="3"/>
  <c r="AZ237" i="3" s="1"/>
  <c r="BL239" i="3"/>
  <c r="AZ239" i="3" s="1"/>
  <c r="AZ264" i="3"/>
  <c r="G272" i="3"/>
  <c r="BA280" i="3"/>
  <c r="AZ280" i="3" s="1"/>
  <c r="BA285" i="3"/>
  <c r="BA287" i="3"/>
  <c r="AZ287" i="3" s="1"/>
  <c r="BA291" i="3"/>
  <c r="AZ291" i="3" s="1"/>
  <c r="BL292" i="3"/>
  <c r="AZ292" i="3" s="1"/>
  <c r="BL293" i="3"/>
  <c r="AZ293" i="3" s="1"/>
  <c r="G294" i="3"/>
  <c r="BA374" i="3"/>
  <c r="AZ374" i="3" s="1"/>
  <c r="AZ385" i="3"/>
  <c r="BA386" i="3"/>
  <c r="BA234" i="3"/>
  <c r="AZ234" i="3" s="1"/>
  <c r="BA256" i="3"/>
  <c r="AZ256" i="3" s="1"/>
  <c r="BA259" i="3"/>
  <c r="AZ259" i="3" s="1"/>
  <c r="BA261" i="3"/>
  <c r="AZ261" i="3" s="1"/>
  <c r="BA262" i="3"/>
  <c r="AZ262" i="3" s="1"/>
  <c r="BA268" i="3"/>
  <c r="AZ268" i="3" s="1"/>
  <c r="BL271" i="3"/>
  <c r="BA282" i="3"/>
  <c r="AZ282" i="3" s="1"/>
  <c r="BA288" i="3"/>
  <c r="AZ288" i="3" s="1"/>
  <c r="BL289" i="3"/>
  <c r="AZ289" i="3" s="1"/>
  <c r="G291" i="3"/>
  <c r="BL296" i="3"/>
  <c r="AZ296" i="3" s="1"/>
  <c r="BA113" i="3"/>
  <c r="BA122" i="3"/>
  <c r="AZ122" i="3" s="1"/>
  <c r="BA130" i="3"/>
  <c r="AZ130" i="3" s="1"/>
  <c r="BL346" i="3"/>
  <c r="AZ346" i="3" s="1"/>
  <c r="BA395" i="3"/>
  <c r="BL397" i="3"/>
  <c r="AZ397" i="3" s="1"/>
  <c r="BA209" i="3"/>
  <c r="AZ209" i="3" s="1"/>
  <c r="BL211" i="3"/>
  <c r="BL214" i="3"/>
  <c r="AZ214" i="3" s="1"/>
  <c r="BL217" i="3"/>
  <c r="AZ217" i="3" s="1"/>
  <c r="BL220" i="3"/>
  <c r="AZ220" i="3" s="1"/>
  <c r="BL223" i="3"/>
  <c r="AZ223" i="3" s="1"/>
  <c r="BA229" i="3"/>
  <c r="AZ229" i="3" s="1"/>
  <c r="BA230" i="3"/>
  <c r="AZ230" i="3" s="1"/>
  <c r="BA235" i="3"/>
  <c r="AZ235" i="3" s="1"/>
  <c r="BL236" i="3"/>
  <c r="AZ236" i="3" s="1"/>
  <c r="BA238" i="3"/>
  <c r="AZ238" i="3" s="1"/>
  <c r="BL263" i="3"/>
  <c r="AZ263" i="3" s="1"/>
  <c r="G265" i="3"/>
  <c r="BL266" i="3"/>
  <c r="G288" i="3"/>
  <c r="BL290" i="3"/>
  <c r="BA298" i="3"/>
  <c r="BA301" i="3"/>
  <c r="AZ301" i="3" s="1"/>
  <c r="BL121" i="3"/>
  <c r="AZ121" i="3" s="1"/>
  <c r="BA126" i="3"/>
  <c r="P74" i="67"/>
  <c r="P61" i="67"/>
  <c r="BL126" i="3"/>
  <c r="BL134" i="3"/>
  <c r="BL138" i="3"/>
  <c r="AZ138" i="3" s="1"/>
  <c r="BL151" i="3"/>
  <c r="AZ151" i="3" s="1"/>
  <c r="BL154" i="3"/>
  <c r="AZ154" i="3" s="1"/>
  <c r="BA160" i="3"/>
  <c r="AZ160" i="3" s="1"/>
  <c r="BA169" i="3"/>
  <c r="AZ169" i="3" s="1"/>
  <c r="BA173" i="3"/>
  <c r="BL173" i="3"/>
  <c r="BL174" i="3"/>
  <c r="BA178" i="3"/>
  <c r="AZ178" i="3" s="1"/>
  <c r="BL178" i="3"/>
  <c r="BL183" i="3"/>
  <c r="AZ183" i="3" s="1"/>
  <c r="BL189" i="3"/>
  <c r="BA19" i="3"/>
  <c r="AZ19" i="3" s="1"/>
  <c r="BL20" i="3"/>
  <c r="BL23" i="3"/>
  <c r="BA49" i="3"/>
  <c r="BA51" i="3"/>
  <c r="AZ51" i="3" s="1"/>
  <c r="BA54" i="3"/>
  <c r="BL56" i="3"/>
  <c r="BL61" i="3"/>
  <c r="G62" i="3"/>
  <c r="BL67" i="3"/>
  <c r="BL70" i="3"/>
  <c r="AZ95" i="3"/>
  <c r="K10" i="1"/>
  <c r="M10" i="1" s="1"/>
  <c r="O10" i="1" s="1"/>
  <c r="P10" i="1" s="1"/>
  <c r="E59" i="43"/>
  <c r="B57" i="43" s="1"/>
  <c r="G120" i="3"/>
  <c r="G132" i="3"/>
  <c r="BL133" i="3"/>
  <c r="AZ133" i="3" s="1"/>
  <c r="BL137" i="3"/>
  <c r="AZ137" i="3" s="1"/>
  <c r="G138" i="3"/>
  <c r="G140" i="3"/>
  <c r="BL143" i="3"/>
  <c r="AZ143" i="3" s="1"/>
  <c r="BL149" i="3"/>
  <c r="AZ149" i="3" s="1"/>
  <c r="BL159" i="3"/>
  <c r="AZ159" i="3" s="1"/>
  <c r="BA168" i="3"/>
  <c r="AZ168" i="3" s="1"/>
  <c r="BA170" i="3"/>
  <c r="BA172" i="3"/>
  <c r="AZ172" i="3" s="1"/>
  <c r="G178" i="3"/>
  <c r="BL203" i="3"/>
  <c r="AZ203" i="3" s="1"/>
  <c r="BA206" i="3"/>
  <c r="AZ206" i="3" s="1"/>
  <c r="BL18" i="3"/>
  <c r="G19" i="3"/>
  <c r="BL22" i="3"/>
  <c r="AZ22" i="3" s="1"/>
  <c r="BL25" i="3"/>
  <c r="BL28" i="3"/>
  <c r="AZ28" i="3" s="1"/>
  <c r="G29" i="3"/>
  <c r="BA43" i="3"/>
  <c r="AZ43" i="3" s="1"/>
  <c r="BA46" i="3"/>
  <c r="AZ46" i="3" s="1"/>
  <c r="BA52" i="3"/>
  <c r="AZ52" i="3" s="1"/>
  <c r="BL53" i="3"/>
  <c r="AZ53" i="3" s="1"/>
  <c r="BL55" i="3"/>
  <c r="AZ55" i="3" s="1"/>
  <c r="BA79" i="3"/>
  <c r="AZ79" i="3" s="1"/>
  <c r="BA82" i="3"/>
  <c r="AZ82" i="3" s="1"/>
  <c r="BA84" i="3"/>
  <c r="BL91" i="3"/>
  <c r="AZ91" i="3" s="1"/>
  <c r="G92" i="3"/>
  <c r="C82" i="71"/>
  <c r="D82" i="71" s="1"/>
  <c r="D83" i="71"/>
  <c r="BA114" i="3"/>
  <c r="AZ114" i="3" s="1"/>
  <c r="BL142" i="3"/>
  <c r="AZ142" i="3" s="1"/>
  <c r="G143" i="3"/>
  <c r="BL177" i="3"/>
  <c r="BL182" i="3"/>
  <c r="AZ182" i="3" s="1"/>
  <c r="BA197" i="3"/>
  <c r="AZ197" i="3" s="1"/>
  <c r="BL201" i="3"/>
  <c r="G206" i="3"/>
  <c r="BL31" i="3"/>
  <c r="AZ31" i="3" s="1"/>
  <c r="AZ64" i="3"/>
  <c r="BL85" i="3"/>
  <c r="AZ85" i="3" s="1"/>
  <c r="G89" i="3"/>
  <c r="BA108" i="3"/>
  <c r="BL302" i="3"/>
  <c r="AZ302" i="3" s="1"/>
  <c r="BA117" i="3"/>
  <c r="AZ117" i="3" s="1"/>
  <c r="BL147" i="3"/>
  <c r="AZ147" i="3" s="1"/>
  <c r="BL153" i="3"/>
  <c r="AZ153" i="3" s="1"/>
  <c r="BA162" i="3"/>
  <c r="BL171" i="3"/>
  <c r="AZ171" i="3" s="1"/>
  <c r="J56" i="43"/>
  <c r="D56" i="43"/>
  <c r="BA116" i="3"/>
  <c r="AZ116" i="3" s="1"/>
  <c r="BA124" i="3"/>
  <c r="AZ124" i="3" s="1"/>
  <c r="BA129" i="3"/>
  <c r="BA157" i="3"/>
  <c r="AZ157" i="3" s="1"/>
  <c r="BA164" i="3"/>
  <c r="AZ164" i="3" s="1"/>
  <c r="BL166" i="3"/>
  <c r="AZ166" i="3" s="1"/>
  <c r="BA185" i="3"/>
  <c r="AZ185" i="3" s="1"/>
  <c r="AZ201" i="3"/>
  <c r="AZ18" i="3"/>
  <c r="BA33" i="3"/>
  <c r="AZ33" i="3" s="1"/>
  <c r="BA36" i="3"/>
  <c r="AZ36" i="3" s="1"/>
  <c r="BL45" i="3"/>
  <c r="AZ45" i="3" s="1"/>
  <c r="G46" i="3"/>
  <c r="BL51" i="3"/>
  <c r="BL54" i="3"/>
  <c r="BA65" i="3"/>
  <c r="AZ65" i="3" s="1"/>
  <c r="BA67" i="3"/>
  <c r="BA70" i="3"/>
  <c r="AZ70" i="3" s="1"/>
  <c r="AZ78" i="3"/>
  <c r="AZ99" i="3"/>
  <c r="BA103" i="3"/>
  <c r="AZ103" i="3" s="1"/>
  <c r="BA106" i="3"/>
  <c r="AZ106" i="3" s="1"/>
  <c r="BL108" i="3"/>
  <c r="J53" i="43"/>
  <c r="D53" i="43"/>
  <c r="BL122" i="3"/>
  <c r="BA128" i="3"/>
  <c r="AZ128" i="3" s="1"/>
  <c r="BA145" i="3"/>
  <c r="AZ145" i="3" s="1"/>
  <c r="BA156" i="3"/>
  <c r="AZ156" i="3" s="1"/>
  <c r="BL161" i="3"/>
  <c r="AZ161" i="3" s="1"/>
  <c r="BL162" i="3"/>
  <c r="BL170" i="3"/>
  <c r="BA181" i="3"/>
  <c r="AZ181" i="3" s="1"/>
  <c r="BL195" i="3"/>
  <c r="AZ195" i="3" s="1"/>
  <c r="AZ205" i="3"/>
  <c r="BA39" i="3"/>
  <c r="AZ39" i="3" s="1"/>
  <c r="BA59" i="3"/>
  <c r="AZ59" i="3" s="1"/>
  <c r="BA62" i="3"/>
  <c r="AZ62" i="3" s="1"/>
  <c r="BL69" i="3"/>
  <c r="AZ69" i="3" s="1"/>
  <c r="BL71" i="3"/>
  <c r="AZ71" i="3" s="1"/>
  <c r="BL74" i="3"/>
  <c r="AZ74" i="3" s="1"/>
  <c r="G75" i="3"/>
  <c r="BL84" i="3"/>
  <c r="BA97" i="3"/>
  <c r="AZ97" i="3" s="1"/>
  <c r="BL102" i="3"/>
  <c r="AZ102" i="3" s="1"/>
  <c r="BL105" i="3"/>
  <c r="AZ105" i="3" s="1"/>
  <c r="BL107" i="3"/>
  <c r="AZ107" i="3" s="1"/>
  <c r="BL110" i="3"/>
  <c r="AZ110" i="3" s="1"/>
  <c r="G111" i="3"/>
  <c r="G118" i="3"/>
  <c r="BL129" i="3"/>
  <c r="BA134" i="3"/>
  <c r="BA174" i="3"/>
  <c r="AZ177" i="3"/>
  <c r="BA184" i="3"/>
  <c r="AZ184" i="3" s="1"/>
  <c r="BA190" i="3"/>
  <c r="AZ190" i="3" s="1"/>
  <c r="G195" i="3"/>
  <c r="BA20" i="3"/>
  <c r="BA23" i="3"/>
  <c r="AZ23" i="3" s="1"/>
  <c r="G39" i="3"/>
  <c r="BA56" i="3"/>
  <c r="AZ56" i="3" s="1"/>
  <c r="G101" i="3"/>
  <c r="AC21" i="37"/>
  <c r="W29" i="39"/>
  <c r="T32" i="71"/>
  <c r="D32" i="71"/>
  <c r="Y21" i="71"/>
  <c r="Z21" i="71" s="1"/>
  <c r="X17" i="71"/>
  <c r="Y10" i="71"/>
  <c r="Z10" i="71" s="1"/>
  <c r="X13" i="71"/>
  <c r="C40" i="71"/>
  <c r="D39" i="71"/>
  <c r="E26" i="71"/>
  <c r="E27" i="71" s="1"/>
  <c r="E28" i="71" s="1"/>
  <c r="U28" i="71" s="1"/>
  <c r="AA3" i="71"/>
  <c r="AA25" i="71"/>
  <c r="AA21" i="71"/>
  <c r="AA23" i="71"/>
  <c r="AA24" i="71"/>
  <c r="X20" i="71"/>
  <c r="X21" i="71"/>
  <c r="AA18" i="71"/>
  <c r="AB14" i="71"/>
  <c r="AA10" i="71"/>
  <c r="Y13" i="71"/>
  <c r="Z13" i="71" s="1"/>
  <c r="AB5" i="71"/>
  <c r="AB6" i="71"/>
  <c r="AB35" i="71"/>
  <c r="C51" i="71"/>
  <c r="D50" i="71"/>
  <c r="F62" i="71"/>
  <c r="Q63" i="71"/>
  <c r="Y18" i="71"/>
  <c r="Z18" i="71" s="1"/>
  <c r="Y17" i="71"/>
  <c r="Z17" i="71" s="1"/>
  <c r="X14" i="71"/>
  <c r="AB10" i="71"/>
  <c r="N109" i="43"/>
  <c r="U21" i="34"/>
  <c r="O61" i="71"/>
  <c r="O62" i="71"/>
  <c r="D62" i="71"/>
  <c r="C67" i="71"/>
  <c r="D68" i="71"/>
  <c r="T68" i="71"/>
  <c r="F23" i="71"/>
  <c r="F22" i="71" s="1"/>
  <c r="AB21" i="71"/>
  <c r="AB23" i="71"/>
  <c r="AB20" i="71"/>
  <c r="Y20" i="71"/>
  <c r="Z20" i="71" s="1"/>
  <c r="AB13" i="71"/>
  <c r="J50" i="43"/>
  <c r="D50" i="43"/>
  <c r="AB21" i="21"/>
  <c r="S21" i="37"/>
  <c r="P27" i="6"/>
  <c r="S24" i="71"/>
  <c r="B23" i="71"/>
  <c r="B22" i="71" s="1"/>
  <c r="Y26" i="71"/>
  <c r="Z26" i="71" s="1"/>
  <c r="AB29" i="71"/>
  <c r="AB33" i="71"/>
  <c r="AB34" i="71"/>
  <c r="AA14" i="71"/>
  <c r="Y14" i="71"/>
  <c r="Z14" i="71" s="1"/>
  <c r="AC21" i="33"/>
  <c r="F40" i="69"/>
  <c r="C40" i="69"/>
  <c r="E23" i="71"/>
  <c r="E22" i="71" s="1"/>
  <c r="V24" i="71"/>
  <c r="AB31" i="71"/>
  <c r="AB9" i="71"/>
  <c r="X22" i="71"/>
  <c r="AA26" i="71"/>
  <c r="AA27" i="71"/>
  <c r="AA28" i="71"/>
  <c r="T48" i="71"/>
  <c r="D48" i="71"/>
  <c r="C56" i="71"/>
  <c r="D55" i="71"/>
  <c r="B75" i="71"/>
  <c r="B74" i="71" s="1"/>
  <c r="AB24" i="71"/>
  <c r="Y24" i="71"/>
  <c r="Z24" i="71" s="1"/>
  <c r="X25" i="71"/>
  <c r="AD10" i="43"/>
  <c r="AH12" i="43"/>
  <c r="AA19" i="71"/>
  <c r="AA13" i="71"/>
  <c r="AA7" i="71"/>
  <c r="X9" i="71"/>
  <c r="E109" i="43"/>
  <c r="S21" i="21"/>
  <c r="AA5" i="71"/>
  <c r="D63" i="71"/>
  <c r="O64" i="71"/>
  <c r="AB28" i="71"/>
  <c r="B63" i="71"/>
  <c r="E20" i="71"/>
  <c r="X11" i="71"/>
  <c r="AB8" i="71"/>
  <c r="Y7" i="71"/>
  <c r="Z7" i="71" s="1"/>
  <c r="S21" i="33"/>
  <c r="U25" i="40"/>
  <c r="O63" i="71"/>
  <c r="Y22" i="71"/>
  <c r="Z22" i="71" s="1"/>
  <c r="Y25" i="71"/>
  <c r="Z25" i="71" s="1"/>
  <c r="AA33" i="71"/>
  <c r="AB27" i="71"/>
  <c r="X5" i="71"/>
  <c r="AF12" i="43"/>
  <c r="AA20" i="71"/>
  <c r="Y19" i="71"/>
  <c r="Z19" i="71" s="1"/>
  <c r="X18" i="71"/>
  <c r="AA17" i="71"/>
  <c r="AB7" i="71"/>
  <c r="Y8" i="71"/>
  <c r="Z8" i="71" s="1"/>
  <c r="S18" i="35"/>
  <c r="D23" i="71"/>
  <c r="C26" i="71"/>
  <c r="F30" i="71"/>
  <c r="F31" i="71" s="1"/>
  <c r="F32" i="71" s="1"/>
  <c r="V32" i="71" s="1"/>
  <c r="AA11" i="71"/>
  <c r="AA8" i="71"/>
  <c r="Y6" i="71"/>
  <c r="Z6" i="71" s="1"/>
  <c r="X30" i="71"/>
  <c r="X29" i="71"/>
  <c r="AB11" i="71"/>
  <c r="AA6" i="71"/>
  <c r="X6" i="71"/>
  <c r="Y9" i="71"/>
  <c r="Z9" i="71" s="1"/>
  <c r="Y5" i="71"/>
  <c r="Z5" i="71" s="1"/>
  <c r="AA9" i="71"/>
  <c r="X7" i="71"/>
  <c r="F48" i="43"/>
  <c r="L27" i="6"/>
  <c r="M103" i="43"/>
  <c r="F30" i="6"/>
  <c r="F27" i="6"/>
  <c r="F31" i="6" s="1"/>
  <c r="E51" i="40"/>
  <c r="E56" i="39"/>
  <c r="E12" i="6"/>
  <c r="AQ8" i="1"/>
  <c r="G17" i="43"/>
  <c r="C16" i="43" s="1"/>
  <c r="E11" i="43"/>
  <c r="E9" i="43"/>
  <c r="E10" i="43"/>
  <c r="E8" i="43"/>
  <c r="M102" i="43"/>
  <c r="H62" i="43"/>
  <c r="H60" i="43"/>
  <c r="H63" i="43"/>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F6" i="31"/>
  <c r="G6" i="31" s="1"/>
  <c r="H6" i="31" s="1"/>
  <c r="I6" i="31" s="1"/>
  <c r="J6" i="31" s="1"/>
  <c r="K6" i="31" s="1"/>
  <c r="L6" i="31" s="1"/>
  <c r="M6" i="31" s="1"/>
  <c r="N6" i="31" s="1"/>
  <c r="O6" i="31" s="1"/>
  <c r="P6" i="31" s="1"/>
  <c r="Q6" i="31" s="1"/>
  <c r="R6" i="31" s="1"/>
  <c r="S6" i="31" s="1"/>
  <c r="E29" i="31"/>
  <c r="E31" i="31"/>
  <c r="E33" i="31"/>
  <c r="E35" i="31"/>
  <c r="E26" i="31"/>
  <c r="E28" i="31"/>
  <c r="E25" i="31"/>
  <c r="E30" i="31"/>
  <c r="E32" i="31"/>
  <c r="E34" i="31"/>
  <c r="E36" i="31"/>
  <c r="E27" i="31"/>
  <c r="U34" i="34"/>
  <c r="W41" i="34"/>
  <c r="AC39" i="34"/>
  <c r="W25" i="34"/>
  <c r="AC11" i="34"/>
  <c r="P61" i="15"/>
  <c r="C29" i="39"/>
  <c r="B66" i="43"/>
  <c r="B65" i="43"/>
  <c r="B49" i="43"/>
  <c r="C94" i="9"/>
  <c r="C92" i="9"/>
  <c r="C5" i="11"/>
  <c r="F28" i="15"/>
  <c r="C28" i="15" s="1"/>
  <c r="F31" i="12"/>
  <c r="C31" i="12" s="1"/>
  <c r="D68" i="9"/>
  <c r="M18" i="67"/>
  <c r="F30" i="68"/>
  <c r="C30" i="68" s="1"/>
  <c r="C77" i="9"/>
  <c r="C74" i="9" s="1"/>
  <c r="F54" i="9"/>
  <c r="M18" i="15"/>
  <c r="F32" i="15"/>
  <c r="F60" i="15" s="1"/>
  <c r="F30" i="69"/>
  <c r="F32" i="67"/>
  <c r="F60" i="67" s="1"/>
  <c r="F52" i="9"/>
  <c r="F28" i="67"/>
  <c r="C28" i="67" s="1"/>
  <c r="F30" i="11"/>
  <c r="F53" i="9"/>
  <c r="C24" i="12"/>
  <c r="C21" i="69"/>
  <c r="D22" i="67"/>
  <c r="H103"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T8" i="1"/>
  <c r="H109" i="43"/>
  <c r="H104" i="43"/>
  <c r="H102" i="43"/>
  <c r="M106" i="43"/>
  <c r="E102" i="43"/>
  <c r="J22" i="43"/>
  <c r="G109" i="43"/>
  <c r="Y11" i="43"/>
  <c r="Y13" i="43" s="1"/>
  <c r="AA11" i="43"/>
  <c r="AA13" i="43" s="1"/>
  <c r="AC11" i="43"/>
  <c r="AC13" i="43" s="1"/>
  <c r="AE11" i="43"/>
  <c r="AE13" i="43" s="1"/>
  <c r="AG11" i="43"/>
  <c r="AG13" i="43" s="1"/>
  <c r="AI11" i="43"/>
  <c r="AI13" i="43" s="1"/>
  <c r="Z7" i="43"/>
  <c r="AB11" i="43"/>
  <c r="AB13" i="43" s="1"/>
  <c r="AF11" i="43"/>
  <c r="AF13" i="43" s="1"/>
  <c r="AJ11" i="43"/>
  <c r="AJ13" i="43" s="1"/>
  <c r="G103" i="43"/>
  <c r="G22" i="43"/>
  <c r="I101" i="43"/>
  <c r="D101" i="43"/>
  <c r="L101" i="43"/>
  <c r="G102" i="43"/>
  <c r="J105" i="43"/>
  <c r="N104" i="46"/>
  <c r="C101" i="43"/>
  <c r="E22" i="43"/>
  <c r="F101" i="43"/>
  <c r="E29" i="6"/>
  <c r="M7" i="1"/>
  <c r="O7" i="1" s="1"/>
  <c r="E16" i="6"/>
  <c r="E59" i="40"/>
  <c r="H105" i="43"/>
  <c r="H106" i="43"/>
  <c r="M105" i="43"/>
  <c r="M107" i="43"/>
  <c r="M104" i="43"/>
  <c r="E107" i="43"/>
  <c r="O8" i="1"/>
  <c r="O11" i="1"/>
  <c r="P11" i="1" s="1"/>
  <c r="O12" i="1"/>
  <c r="P12" i="1" s="1"/>
  <c r="O9" i="1"/>
  <c r="P9" i="1" s="1"/>
  <c r="E56" i="40"/>
  <c r="K5" i="4"/>
  <c r="B47" i="48" s="1"/>
  <c r="H75" i="43"/>
  <c r="A15" i="62"/>
  <c r="B61" i="72" s="1"/>
  <c r="H14" i="74"/>
  <c r="B7" i="74" s="1"/>
  <c r="D10" i="52"/>
  <c r="D125" i="9"/>
  <c r="D11" i="52" s="1"/>
  <c r="D17" i="53"/>
  <c r="B36" i="7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I1" i="73"/>
  <c r="B39" i="1" s="1"/>
  <c r="B12" i="70"/>
  <c r="F51" i="15"/>
  <c r="B7" i="70"/>
  <c r="B11" i="70"/>
  <c r="L59" i="15"/>
  <c r="N59" i="15"/>
  <c r="L58" i="15"/>
  <c r="M59" i="15"/>
  <c r="B8" i="70"/>
  <c r="F66" i="15"/>
  <c r="F64" i="15"/>
  <c r="C27" i="15"/>
  <c r="F65" i="15"/>
  <c r="B9" i="70"/>
  <c r="B13" i="70"/>
  <c r="F68" i="15"/>
  <c r="F9" i="67"/>
  <c r="D9" i="69"/>
  <c r="M29" i="67"/>
  <c r="F38" i="67"/>
  <c r="F43" i="67"/>
  <c r="M27" i="67"/>
  <c r="M9" i="67"/>
  <c r="F37" i="67"/>
  <c r="F7" i="67"/>
  <c r="D4" i="73"/>
  <c r="F7" i="15"/>
  <c r="F36" i="67"/>
  <c r="M8" i="67"/>
  <c r="F40" i="67"/>
  <c r="D7" i="73"/>
  <c r="F6" i="67"/>
  <c r="F16" i="67"/>
  <c r="M6" i="67"/>
  <c r="L48" i="67"/>
  <c r="F41" i="67"/>
  <c r="M24" i="67"/>
  <c r="J15" i="67"/>
  <c r="D6" i="73"/>
  <c r="F43" i="15"/>
  <c r="F13" i="67"/>
  <c r="L47" i="67"/>
  <c r="M23" i="67"/>
  <c r="C76" i="67"/>
  <c r="M22" i="67"/>
  <c r="F8" i="67"/>
  <c r="F26" i="67"/>
  <c r="M29" i="15"/>
  <c r="D5" i="73"/>
  <c r="C36" i="69"/>
  <c r="M28" i="67"/>
  <c r="M26" i="67"/>
  <c r="F42" i="67"/>
  <c r="D3" i="73"/>
  <c r="AC37" i="21" l="1"/>
  <c r="AB37" i="21"/>
  <c r="C9" i="69"/>
  <c r="K106" i="43"/>
  <c r="J103" i="43"/>
  <c r="J106" i="43"/>
  <c r="J109" i="43"/>
  <c r="AH13" i="43"/>
  <c r="M7" i="67"/>
  <c r="J6" i="67" s="1"/>
  <c r="J18" i="67" s="1"/>
  <c r="F50" i="67"/>
  <c r="F68" i="67"/>
  <c r="C27" i="67"/>
  <c r="F65" i="67"/>
  <c r="F70" i="67"/>
  <c r="F51" i="67"/>
  <c r="F69" i="67"/>
  <c r="Q71" i="67"/>
  <c r="J53" i="67"/>
  <c r="Q52" i="67" s="1"/>
  <c r="J57" i="67"/>
  <c r="J55" i="67" s="1"/>
  <c r="J58" i="67" s="1"/>
  <c r="Q50" i="67" s="1"/>
  <c r="I54" i="67"/>
  <c r="L56" i="67"/>
  <c r="F71" i="67"/>
  <c r="F66" i="67"/>
  <c r="F64" i="67"/>
  <c r="L59" i="67"/>
  <c r="Q61" i="67" s="1"/>
  <c r="L58" i="67"/>
  <c r="Q60" i="67" s="1"/>
  <c r="M59" i="67"/>
  <c r="N59" i="67"/>
  <c r="C6" i="67"/>
  <c r="C32" i="67" s="1"/>
  <c r="G16" i="1"/>
  <c r="F10" i="39" s="1"/>
  <c r="E104" i="43"/>
  <c r="E106" i="43"/>
  <c r="E105" i="43"/>
  <c r="E103" i="43"/>
  <c r="K103" i="43"/>
  <c r="K102" i="43"/>
  <c r="K105" i="43"/>
  <c r="K109" i="43"/>
  <c r="N103" i="43"/>
  <c r="K104" i="43"/>
  <c r="N107" i="43"/>
  <c r="Q16" i="1"/>
  <c r="G105" i="43"/>
  <c r="G106" i="43"/>
  <c r="G104" i="43"/>
  <c r="G107" i="43"/>
  <c r="N106" i="43"/>
  <c r="N105" i="43"/>
  <c r="D9" i="11"/>
  <c r="C9" i="11" s="1"/>
  <c r="D19" i="12"/>
  <c r="C19" i="12" s="1"/>
  <c r="J104" i="43"/>
  <c r="J107" i="43"/>
  <c r="H16" i="1"/>
  <c r="K1" i="73"/>
  <c r="J7" i="36"/>
  <c r="H7" i="34"/>
  <c r="AB7" i="34" s="1"/>
  <c r="T49" i="34" s="1"/>
  <c r="G49" i="34" s="1"/>
  <c r="J7" i="34"/>
  <c r="W7" i="34" s="1"/>
  <c r="H7" i="36"/>
  <c r="F7" i="34"/>
  <c r="C5" i="43"/>
  <c r="H78" i="43"/>
  <c r="D5" i="43"/>
  <c r="H74" i="43"/>
  <c r="H76" i="43"/>
  <c r="H77" i="43"/>
  <c r="H70" i="43"/>
  <c r="H71" i="43"/>
  <c r="H72" i="43"/>
  <c r="H65" i="43"/>
  <c r="H67" i="43"/>
  <c r="H61" i="43"/>
  <c r="H64" i="43"/>
  <c r="H59" i="43"/>
  <c r="AZ162" i="3"/>
  <c r="AZ94" i="3"/>
  <c r="C60" i="71"/>
  <c r="D59" i="71"/>
  <c r="P61" i="71"/>
  <c r="P62" i="71"/>
  <c r="AZ428" i="3"/>
  <c r="AA9" i="33"/>
  <c r="S9" i="33"/>
  <c r="S34" i="36"/>
  <c r="AA34" i="36"/>
  <c r="U30" i="21"/>
  <c r="AB30" i="21"/>
  <c r="AC26" i="37"/>
  <c r="W26" i="37"/>
  <c r="AZ585" i="3"/>
  <c r="AB36" i="39"/>
  <c r="U36" i="39"/>
  <c r="AC34" i="35"/>
  <c r="W34" i="35"/>
  <c r="U23" i="35"/>
  <c r="AB23" i="35"/>
  <c r="E30" i="6"/>
  <c r="AZ20" i="3"/>
  <c r="AZ129" i="3"/>
  <c r="AZ84" i="3"/>
  <c r="AZ61" i="3"/>
  <c r="AZ49" i="3"/>
  <c r="AZ189" i="3"/>
  <c r="AZ113" i="3"/>
  <c r="AZ213" i="3"/>
  <c r="B15" i="71"/>
  <c r="B14" i="71" s="1"/>
  <c r="B13" i="71" s="1"/>
  <c r="B12" i="71" s="1"/>
  <c r="S16" i="71"/>
  <c r="C74" i="71"/>
  <c r="D74" i="71" s="1"/>
  <c r="D75" i="71"/>
  <c r="C78" i="71"/>
  <c r="D78" i="71" s="1"/>
  <c r="D79" i="71"/>
  <c r="AZ93" i="3"/>
  <c r="AZ48" i="3"/>
  <c r="AZ35" i="3"/>
  <c r="AZ186" i="3"/>
  <c r="AZ255" i="3"/>
  <c r="AZ29" i="3"/>
  <c r="AZ47" i="3"/>
  <c r="AZ208" i="3"/>
  <c r="AZ481" i="3"/>
  <c r="AZ421" i="3"/>
  <c r="AZ441" i="3"/>
  <c r="W45" i="39"/>
  <c r="AC45" i="39"/>
  <c r="AB34" i="36"/>
  <c r="U34" i="36"/>
  <c r="AC26" i="33"/>
  <c r="W26" i="33"/>
  <c r="AC30" i="21"/>
  <c r="W30" i="21"/>
  <c r="AB26" i="37"/>
  <c r="U26" i="37"/>
  <c r="AB34" i="35"/>
  <c r="U34" i="35"/>
  <c r="D17" i="71"/>
  <c r="C16" i="71"/>
  <c r="E48" i="43"/>
  <c r="B46" i="43" s="1"/>
  <c r="C24" i="43" s="1"/>
  <c r="AZ67" i="3"/>
  <c r="AZ298" i="3"/>
  <c r="AZ266" i="3"/>
  <c r="AZ386" i="3"/>
  <c r="AZ285" i="3"/>
  <c r="AZ295" i="3"/>
  <c r="AZ274" i="3"/>
  <c r="AZ83" i="3"/>
  <c r="AZ41" i="3"/>
  <c r="AZ77" i="3"/>
  <c r="AZ57" i="3"/>
  <c r="AZ58" i="3"/>
  <c r="C36" i="71"/>
  <c r="D35" i="71"/>
  <c r="AZ32" i="3"/>
  <c r="AZ194" i="3"/>
  <c r="AZ245" i="3"/>
  <c r="AZ50" i="3"/>
  <c r="AZ27" i="3"/>
  <c r="AZ247" i="3"/>
  <c r="AZ353" i="3"/>
  <c r="AZ459" i="3"/>
  <c r="AZ415" i="3"/>
  <c r="AZ477" i="3"/>
  <c r="AZ420" i="3"/>
  <c r="U45" i="39"/>
  <c r="AB45" i="39"/>
  <c r="AA45" i="21"/>
  <c r="S45" i="21"/>
  <c r="AB35" i="35"/>
  <c r="U35" i="35"/>
  <c r="U29" i="21"/>
  <c r="AB29" i="21"/>
  <c r="AC25" i="37"/>
  <c r="W25" i="37"/>
  <c r="AA23" i="35"/>
  <c r="S23" i="35"/>
  <c r="E28" i="6"/>
  <c r="K14" i="1" s="1"/>
  <c r="AZ76" i="3"/>
  <c r="AZ146" i="3"/>
  <c r="AZ231" i="3"/>
  <c r="AZ267" i="3"/>
  <c r="AZ253" i="3"/>
  <c r="AZ24" i="3"/>
  <c r="AZ475" i="3"/>
  <c r="AZ471" i="3"/>
  <c r="AZ461" i="3"/>
  <c r="AZ490" i="3"/>
  <c r="AZ432" i="3"/>
  <c r="AZ492" i="3"/>
  <c r="AZ403" i="3"/>
  <c r="W34" i="36"/>
  <c r="AC34" i="36"/>
  <c r="W45" i="21"/>
  <c r="AC45" i="21"/>
  <c r="AC35" i="35"/>
  <c r="W35" i="35"/>
  <c r="AC29" i="21"/>
  <c r="W29" i="21"/>
  <c r="AC36" i="39"/>
  <c r="W36" i="39"/>
  <c r="AC23" i="35"/>
  <c r="W23" i="35"/>
  <c r="F71" i="15"/>
  <c r="M7" i="15"/>
  <c r="J6" i="15" s="1"/>
  <c r="J18" i="15" s="1"/>
  <c r="F50" i="15"/>
  <c r="C49" i="15" s="1"/>
  <c r="J7" i="37"/>
  <c r="D113" i="43"/>
  <c r="C27" i="71"/>
  <c r="D26" i="71"/>
  <c r="AZ170" i="3"/>
  <c r="AZ290" i="3"/>
  <c r="AZ368" i="3"/>
  <c r="U12" i="36"/>
  <c r="AB12" i="36"/>
  <c r="AC24" i="36"/>
  <c r="W24" i="36"/>
  <c r="AB36" i="35"/>
  <c r="U36" i="35"/>
  <c r="D56" i="71"/>
  <c r="T56" i="71"/>
  <c r="C52" i="71"/>
  <c r="D51" i="71"/>
  <c r="AZ134" i="3"/>
  <c r="AZ108" i="3"/>
  <c r="AZ395" i="3"/>
  <c r="AB24" i="36"/>
  <c r="U24" i="36"/>
  <c r="AA12" i="34"/>
  <c r="S12" i="34"/>
  <c r="AC36" i="35"/>
  <c r="W36" i="35"/>
  <c r="M6" i="1"/>
  <c r="AZ126" i="3"/>
  <c r="U12" i="35"/>
  <c r="AB12" i="35"/>
  <c r="U12" i="34"/>
  <c r="AB12" i="34"/>
  <c r="B11" i="71"/>
  <c r="B10" i="71" s="1"/>
  <c r="B9" i="71" s="1"/>
  <c r="B8" i="71" s="1"/>
  <c r="S12" i="71"/>
  <c r="BL5" i="3"/>
  <c r="AZ54" i="3"/>
  <c r="AZ211" i="3"/>
  <c r="W12" i="35"/>
  <c r="AC12" i="35"/>
  <c r="W12" i="34"/>
  <c r="AC12" i="34"/>
  <c r="E58" i="40"/>
  <c r="E63" i="39"/>
  <c r="F68" i="39"/>
  <c r="E70" i="39"/>
  <c r="C66" i="71"/>
  <c r="D66" i="71" s="1"/>
  <c r="D67" i="71"/>
  <c r="D40" i="71"/>
  <c r="T40" i="71"/>
  <c r="U39" i="40"/>
  <c r="AB39" i="40"/>
  <c r="W28" i="34"/>
  <c r="AC28" i="34"/>
  <c r="E60" i="40"/>
  <c r="E65" i="39"/>
  <c r="C19" i="43"/>
  <c r="AC39" i="40"/>
  <c r="W39" i="40"/>
  <c r="AA9" i="36"/>
  <c r="S9" i="36"/>
  <c r="V20" i="71"/>
  <c r="E19" i="71"/>
  <c r="E18" i="71" s="1"/>
  <c r="E17" i="71" s="1"/>
  <c r="E16" i="71" s="1"/>
  <c r="AB9" i="36"/>
  <c r="U9" i="36"/>
  <c r="U12" i="21"/>
  <c r="AB12" i="21"/>
  <c r="AA44" i="39"/>
  <c r="S44" i="39"/>
  <c r="N63" i="71"/>
  <c r="B62" i="71"/>
  <c r="Q62" i="71"/>
  <c r="Q61" i="71"/>
  <c r="AZ174" i="3"/>
  <c r="AZ173" i="3"/>
  <c r="AZ271" i="3"/>
  <c r="AA25" i="37"/>
  <c r="S25" i="37"/>
  <c r="AB44" i="39"/>
  <c r="U44" i="39"/>
  <c r="G5" i="3"/>
  <c r="B3" i="3" s="1"/>
  <c r="E120" i="3" s="1"/>
  <c r="BA5" i="3"/>
  <c r="E27" i="6" s="1"/>
  <c r="K20" i="6" s="1"/>
  <c r="M20" i="6" s="1"/>
  <c r="I20" i="6" s="1"/>
  <c r="S20" i="6" s="1"/>
  <c r="H52" i="43"/>
  <c r="H56" i="43"/>
  <c r="H51" i="43"/>
  <c r="H50" i="43"/>
  <c r="H53" i="43"/>
  <c r="H55" i="43"/>
  <c r="H54" i="43"/>
  <c r="H48" i="43"/>
  <c r="H49" i="43"/>
  <c r="F28" i="12"/>
  <c r="C29" i="12" s="1"/>
  <c r="D28" i="12" s="1"/>
  <c r="F27" i="68"/>
  <c r="F45" i="68" s="1"/>
  <c r="K15" i="1"/>
  <c r="E62" i="39"/>
  <c r="E57" i="40"/>
  <c r="F48" i="68"/>
  <c r="C48" i="68"/>
  <c r="C30" i="11"/>
  <c r="C48" i="11"/>
  <c r="F48" i="69"/>
  <c r="C30" i="69"/>
  <c r="C48" i="69"/>
  <c r="S7" i="1"/>
  <c r="P7" i="1"/>
  <c r="F104" i="43"/>
  <c r="F102" i="43"/>
  <c r="F105" i="43"/>
  <c r="F109" i="43"/>
  <c r="F107" i="43"/>
  <c r="F106" i="43"/>
  <c r="F103" i="43"/>
  <c r="C104" i="43"/>
  <c r="C106" i="43"/>
  <c r="C107" i="43"/>
  <c r="C103" i="43"/>
  <c r="C105" i="43"/>
  <c r="C102" i="43"/>
  <c r="C109" i="43"/>
  <c r="K19" i="6"/>
  <c r="D109" i="43"/>
  <c r="D103" i="43"/>
  <c r="D104" i="43"/>
  <c r="D107" i="43"/>
  <c r="D105" i="43"/>
  <c r="D106" i="43"/>
  <c r="D102" i="43"/>
  <c r="D22" i="43"/>
  <c r="L109" i="43"/>
  <c r="L102" i="43"/>
  <c r="L105" i="43"/>
  <c r="L104" i="43"/>
  <c r="L106" i="43"/>
  <c r="L107" i="43"/>
  <c r="L103" i="43"/>
  <c r="I109" i="43"/>
  <c r="I106" i="43"/>
  <c r="I103" i="43"/>
  <c r="I104" i="43"/>
  <c r="I107" i="43"/>
  <c r="I105" i="43"/>
  <c r="I102" i="43"/>
  <c r="H10" i="39"/>
  <c r="AB10" i="39" s="1"/>
  <c r="F10" i="40"/>
  <c r="AA10" i="40" s="1"/>
  <c r="J10" i="39"/>
  <c r="AC10" i="39" s="1"/>
  <c r="H10" i="40"/>
  <c r="AB10" i="40" s="1"/>
  <c r="P8" i="1"/>
  <c r="F59" i="67"/>
  <c r="H7" i="37"/>
  <c r="AB7" i="37" s="1"/>
  <c r="T42" i="37" s="1"/>
  <c r="G42" i="37" s="1"/>
  <c r="S10" i="39"/>
  <c r="AA10" i="39"/>
  <c r="H7" i="33"/>
  <c r="J7" i="33"/>
  <c r="D65" i="40"/>
  <c r="E63" i="40"/>
  <c r="F48" i="35"/>
  <c r="S7" i="36"/>
  <c r="AA7" i="36"/>
  <c r="R36" i="36" s="1"/>
  <c r="AC7" i="37"/>
  <c r="V42" i="37" s="1"/>
  <c r="I42" i="37" s="1"/>
  <c r="W7" i="37"/>
  <c r="U7" i="37"/>
  <c r="AB7" i="36"/>
  <c r="T36" i="36" s="1"/>
  <c r="G36" i="36" s="1"/>
  <c r="U7" i="36"/>
  <c r="U7" i="34"/>
  <c r="AA7" i="34"/>
  <c r="R49" i="34" s="1"/>
  <c r="S7" i="34"/>
  <c r="F7" i="33"/>
  <c r="E58" i="21"/>
  <c r="AC7" i="36"/>
  <c r="V36" i="36" s="1"/>
  <c r="I36" i="36" s="1"/>
  <c r="W7" i="36"/>
  <c r="F7" i="37"/>
  <c r="AC7" i="34"/>
  <c r="V49" i="34" s="1"/>
  <c r="I49" i="34" s="1"/>
  <c r="M17" i="67"/>
  <c r="M17" i="15"/>
  <c r="F59" i="15"/>
  <c r="P24" i="43"/>
  <c r="B66" i="40" s="1"/>
  <c r="P21" i="43"/>
  <c r="P25" i="43"/>
  <c r="P23" i="43"/>
  <c r="B71" i="39" s="1"/>
  <c r="M28" i="43"/>
  <c r="G20" i="43" s="1"/>
  <c r="N28" i="43"/>
  <c r="O28" i="43"/>
  <c r="P28" i="43"/>
  <c r="M11" i="67"/>
  <c r="J10" i="67" s="1"/>
  <c r="F11" i="15"/>
  <c r="M11" i="15"/>
  <c r="F11" i="67"/>
  <c r="F1" i="15"/>
  <c r="Q52" i="15"/>
  <c r="Q60" i="15"/>
  <c r="Q73" i="15"/>
  <c r="Q74" i="15"/>
  <c r="Q61" i="15"/>
  <c r="C16" i="67"/>
  <c r="AE6" i="1"/>
  <c r="C16" i="15"/>
  <c r="F27" i="69"/>
  <c r="G1" i="73"/>
  <c r="C17" i="67"/>
  <c r="C14" i="67"/>
  <c r="F45" i="69" l="1"/>
  <c r="C47" i="69"/>
  <c r="D45" i="69" s="1"/>
  <c r="C29" i="69"/>
  <c r="D27" i="69" s="1"/>
  <c r="C37" i="43"/>
  <c r="C49" i="67"/>
  <c r="F1" i="67"/>
  <c r="Q73" i="67"/>
  <c r="Q74" i="67"/>
  <c r="J5" i="67"/>
  <c r="J24" i="67" s="1"/>
  <c r="J10" i="40"/>
  <c r="W10" i="40" s="1"/>
  <c r="C36" i="68"/>
  <c r="C36" i="11"/>
  <c r="K21" i="6"/>
  <c r="M21" i="6" s="1"/>
  <c r="I21" i="6" s="1"/>
  <c r="S21" i="6" s="1"/>
  <c r="F27" i="11"/>
  <c r="C47" i="11" s="1"/>
  <c r="D45" i="11" s="1"/>
  <c r="K26" i="6"/>
  <c r="M26" i="6" s="1"/>
  <c r="I26" i="6" s="1"/>
  <c r="S26" i="6" s="1"/>
  <c r="K24" i="6"/>
  <c r="M24" i="6" s="1"/>
  <c r="I24" i="6" s="1"/>
  <c r="S24" i="6" s="1"/>
  <c r="K16" i="1"/>
  <c r="B29" i="1" s="1"/>
  <c r="C8" i="68" s="1"/>
  <c r="C29" i="11"/>
  <c r="D27" i="11" s="1"/>
  <c r="B40" i="1"/>
  <c r="F25" i="12" s="1"/>
  <c r="J10" i="15"/>
  <c r="J5" i="15" s="1"/>
  <c r="J24" i="15" s="1"/>
  <c r="T36" i="71"/>
  <c r="M19" i="43"/>
  <c r="D36" i="71"/>
  <c r="D60" i="71"/>
  <c r="T60" i="71"/>
  <c r="C15" i="71"/>
  <c r="D16" i="71"/>
  <c r="U16" i="71" s="1"/>
  <c r="T16" i="71"/>
  <c r="AZ5" i="3"/>
  <c r="AY6" i="3" s="1"/>
  <c r="AY419" i="3" s="1"/>
  <c r="M14" i="1"/>
  <c r="O14" i="1" s="1"/>
  <c r="P14" i="1" s="1"/>
  <c r="E3" i="6"/>
  <c r="C17" i="4" s="1"/>
  <c r="B4" i="52" s="1"/>
  <c r="B43" i="72" s="1"/>
  <c r="K25" i="6"/>
  <c r="M25" i="6" s="1"/>
  <c r="I25" i="6" s="1"/>
  <c r="S25" i="6" s="1"/>
  <c r="E29" i="3"/>
  <c r="E195" i="3"/>
  <c r="C28" i="71"/>
  <c r="D27" i="71"/>
  <c r="E17" i="3"/>
  <c r="E165" i="3"/>
  <c r="E511" i="3"/>
  <c r="AK6" i="3"/>
  <c r="E306" i="3"/>
  <c r="E262" i="3"/>
  <c r="E238" i="3"/>
  <c r="E105" i="3"/>
  <c r="E576" i="3"/>
  <c r="Z6" i="3"/>
  <c r="AG6" i="3"/>
  <c r="AO6" i="3"/>
  <c r="E448" i="3"/>
  <c r="E485" i="3"/>
  <c r="P6" i="3"/>
  <c r="E400" i="3"/>
  <c r="E443" i="3"/>
  <c r="E558" i="3"/>
  <c r="E557" i="3"/>
  <c r="E531" i="3"/>
  <c r="E489" i="3"/>
  <c r="E88" i="3"/>
  <c r="E121" i="3"/>
  <c r="E166" i="3"/>
  <c r="E295" i="3"/>
  <c r="E377" i="3"/>
  <c r="E30" i="3"/>
  <c r="E480" i="3"/>
  <c r="E467" i="3"/>
  <c r="E160" i="3"/>
  <c r="E371" i="3"/>
  <c r="E84" i="3"/>
  <c r="E184" i="3"/>
  <c r="E81" i="3"/>
  <c r="E309" i="3"/>
  <c r="E522" i="3"/>
  <c r="I6" i="3"/>
  <c r="E549" i="3"/>
  <c r="E368" i="3"/>
  <c r="E196" i="3"/>
  <c r="E148" i="3"/>
  <c r="E197" i="3"/>
  <c r="E369"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540" i="3"/>
  <c r="E521" i="3"/>
  <c r="E47" i="3"/>
  <c r="E65" i="3"/>
  <c r="E248" i="3"/>
  <c r="E266" i="3"/>
  <c r="E386" i="3"/>
  <c r="E584" i="3"/>
  <c r="E24" i="3"/>
  <c r="E87" i="3"/>
  <c r="E250" i="3"/>
  <c r="E341" i="3"/>
  <c r="E51" i="3"/>
  <c r="E154" i="3"/>
  <c r="E222" i="3"/>
  <c r="E373" i="3"/>
  <c r="E461" i="3"/>
  <c r="E156" i="3"/>
  <c r="E173" i="3"/>
  <c r="R6" i="3"/>
  <c r="E466" i="3"/>
  <c r="E449" i="3"/>
  <c r="E554" i="3"/>
  <c r="E417" i="3"/>
  <c r="E95" i="3"/>
  <c r="E258" i="3"/>
  <c r="E349" i="3"/>
  <c r="E59" i="3"/>
  <c r="E354" i="3"/>
  <c r="E284" i="3"/>
  <c r="E82" i="3"/>
  <c r="E245" i="3"/>
  <c r="E512" i="3"/>
  <c r="E13" i="3"/>
  <c r="E420" i="3"/>
  <c r="E281" i="3"/>
  <c r="E356" i="3"/>
  <c r="E18" i="3"/>
  <c r="E383" i="3"/>
  <c r="E102" i="3"/>
  <c r="E397" i="3"/>
  <c r="AN6" i="3"/>
  <c r="E402" i="3"/>
  <c r="E303" i="3"/>
  <c r="E159" i="3"/>
  <c r="E228" i="3"/>
  <c r="E17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524" i="3"/>
  <c r="E536" i="3"/>
  <c r="E223" i="3"/>
  <c r="E499" i="3"/>
  <c r="E541" i="3"/>
  <c r="I3" i="6"/>
  <c r="E435" i="3"/>
  <c r="E56" i="3"/>
  <c r="E192" i="3"/>
  <c r="E363" i="3"/>
  <c r="E76" i="3"/>
  <c r="E98" i="3"/>
  <c r="E307" i="3"/>
  <c r="E127" i="3"/>
  <c r="E323" i="3"/>
  <c r="E525" i="3"/>
  <c r="E198" i="3"/>
  <c r="AL6" i="3"/>
  <c r="E482" i="3"/>
  <c r="E235" i="3"/>
  <c r="E232" i="3"/>
  <c r="E113" i="3"/>
  <c r="E503" i="3"/>
  <c r="E539" i="3"/>
  <c r="E314" i="3"/>
  <c r="E16" i="3"/>
  <c r="E434" i="3"/>
  <c r="E296" i="3"/>
  <c r="E136" i="3"/>
  <c r="E269" i="3"/>
  <c r="E85" i="3"/>
  <c r="E116" i="3"/>
  <c r="E379" i="3"/>
  <c r="E585" i="3"/>
  <c r="U6" i="3"/>
  <c r="E515" i="3"/>
  <c r="E411" i="3"/>
  <c r="E478" i="3"/>
  <c r="E548" i="3"/>
  <c r="E414" i="3"/>
  <c r="E432" i="3"/>
  <c r="E477" i="3"/>
  <c r="E367" i="3"/>
  <c r="E505" i="3"/>
  <c r="E547" i="3"/>
  <c r="AS6" i="3"/>
  <c r="E403" i="3"/>
  <c r="E476" i="3"/>
  <c r="E546" i="3"/>
  <c r="E447" i="3"/>
  <c r="E71" i="3"/>
  <c r="E27" i="3"/>
  <c r="E162" i="3"/>
  <c r="E126" i="3"/>
  <c r="E186" i="3"/>
  <c r="E210" i="3"/>
  <c r="E331" i="3"/>
  <c r="E317" i="3"/>
  <c r="E384" i="3"/>
  <c r="AM6" i="3"/>
  <c r="E44" i="3"/>
  <c r="E441" i="3"/>
  <c r="E425" i="3"/>
  <c r="E64" i="3"/>
  <c r="E103" i="3"/>
  <c r="E142" i="3"/>
  <c r="E267" i="3"/>
  <c r="E300" i="3"/>
  <c r="E310" i="3"/>
  <c r="E23" i="3"/>
  <c r="E67" i="3"/>
  <c r="E144" i="3"/>
  <c r="E233" i="3"/>
  <c r="E381" i="3"/>
  <c r="E63" i="3"/>
  <c r="E283" i="3"/>
  <c r="E513" i="3"/>
  <c r="E453" i="3"/>
  <c r="E502" i="3"/>
  <c r="E255" i="3"/>
  <c r="E517" i="3"/>
  <c r="E479" i="3"/>
  <c r="E152" i="3"/>
  <c r="E292" i="3"/>
  <c r="E544" i="3"/>
  <c r="E446" i="3"/>
  <c r="E209" i="3"/>
  <c r="E48" i="3"/>
  <c r="E518" i="3"/>
  <c r="E405" i="3"/>
  <c r="E408" i="3"/>
  <c r="E497" i="3"/>
  <c r="E452" i="3"/>
  <c r="E104" i="3"/>
  <c r="E225" i="3"/>
  <c r="E391" i="3"/>
  <c r="E488" i="3"/>
  <c r="E190" i="3"/>
  <c r="E49" i="3"/>
  <c r="E326" i="3"/>
  <c r="E567" i="3"/>
  <c r="E385" i="3"/>
  <c r="AI6" i="3"/>
  <c r="E423" i="3"/>
  <c r="E263" i="3"/>
  <c r="E191" i="3"/>
  <c r="E181" i="3"/>
  <c r="E45" i="3"/>
  <c r="E193" i="3"/>
  <c r="E393" i="3"/>
  <c r="E493" i="3"/>
  <c r="E564" i="3"/>
  <c r="E543" i="3"/>
  <c r="E427" i="3"/>
  <c r="E486" i="3"/>
  <c r="E507" i="3"/>
  <c r="E422" i="3"/>
  <c r="E440" i="3"/>
  <c r="E490" i="3"/>
  <c r="E376" i="3"/>
  <c r="AH6" i="3"/>
  <c r="J6" i="3"/>
  <c r="E498" i="3"/>
  <c r="E419" i="3"/>
  <c r="E483" i="3"/>
  <c r="E401" i="3"/>
  <c r="E463" i="3"/>
  <c r="E40" i="3"/>
  <c r="E25" i="3"/>
  <c r="E108" i="3"/>
  <c r="E119" i="3"/>
  <c r="E202" i="3"/>
  <c r="E242" i="3"/>
  <c r="E226" i="3"/>
  <c r="E276" i="3"/>
  <c r="E346" i="3"/>
  <c r="E333" i="3"/>
  <c r="E372" i="3"/>
  <c r="L6" i="3"/>
  <c r="E60" i="3"/>
  <c r="E43" i="3"/>
  <c r="E428" i="3"/>
  <c r="E412" i="3"/>
  <c r="E96" i="3"/>
  <c r="E129" i="3"/>
  <c r="E174" i="3"/>
  <c r="E275" i="3"/>
  <c r="E324" i="3"/>
  <c r="E342" i="3"/>
  <c r="E35" i="3"/>
  <c r="E34" i="3"/>
  <c r="E251" i="3"/>
  <c r="AF6" i="3"/>
  <c r="E80" i="3"/>
  <c r="E158" i="3"/>
  <c r="E308" i="3"/>
  <c r="E22" i="3"/>
  <c r="E568" i="3"/>
  <c r="E244" i="3"/>
  <c r="E122" i="3"/>
  <c r="E575" i="3"/>
  <c r="E442" i="3"/>
  <c r="E430" i="3"/>
  <c r="AP6" i="3"/>
  <c r="E491" i="3"/>
  <c r="E37" i="3"/>
  <c r="E241" i="3"/>
  <c r="E389" i="3"/>
  <c r="E462" i="3"/>
  <c r="E163" i="3"/>
  <c r="E66" i="3"/>
  <c r="Y6" i="3"/>
  <c r="E179" i="3"/>
  <c r="E313" i="3"/>
  <c r="T6" i="3"/>
  <c r="E456" i="3"/>
  <c r="E451" i="3"/>
  <c r="E556" i="3"/>
  <c r="E494" i="3"/>
  <c r="E26" i="3"/>
  <c r="E139" i="3"/>
  <c r="E332" i="3"/>
  <c r="E94" i="3"/>
  <c r="E220" i="3"/>
  <c r="E370" i="3"/>
  <c r="E83" i="3"/>
  <c r="E227" i="3"/>
  <c r="E495" i="3"/>
  <c r="E586" i="3"/>
  <c r="E350" i="3"/>
  <c r="E301" i="3"/>
  <c r="E99" i="3"/>
  <c r="E157" i="3"/>
  <c r="E277" i="3"/>
  <c r="E133" i="3"/>
  <c r="E519" i="3"/>
  <c r="E532" i="3"/>
  <c r="E573" i="3"/>
  <c r="E529" i="3"/>
  <c r="E458" i="3"/>
  <c r="E474" i="3"/>
  <c r="E527" i="3"/>
  <c r="E438" i="3"/>
  <c r="E457" i="3"/>
  <c r="E562" i="3"/>
  <c r="W6" i="3"/>
  <c r="E571" i="3"/>
  <c r="E537" i="3"/>
  <c r="E450" i="3"/>
  <c r="E471" i="3"/>
  <c r="E433" i="3"/>
  <c r="E475" i="3"/>
  <c r="E72" i="3"/>
  <c r="E54" i="3"/>
  <c r="E168" i="3"/>
  <c r="E150" i="3"/>
  <c r="E208" i="3"/>
  <c r="E279" i="3"/>
  <c r="E257" i="3"/>
  <c r="E351" i="3"/>
  <c r="E357" i="3"/>
  <c r="E318" i="3"/>
  <c r="E14" i="3"/>
  <c r="E31" i="3"/>
  <c r="E93" i="3"/>
  <c r="E473" i="3"/>
  <c r="E455" i="3"/>
  <c r="E38" i="3"/>
  <c r="E170" i="3"/>
  <c r="E194" i="3"/>
  <c r="E219" i="3"/>
  <c r="E339" i="3"/>
  <c r="E392" i="3"/>
  <c r="E52" i="3"/>
  <c r="E112" i="3"/>
  <c r="E147" i="3"/>
  <c r="E340" i="3"/>
  <c r="E50" i="3"/>
  <c r="E218" i="3"/>
  <c r="E365" i="3"/>
  <c r="E236" i="3"/>
  <c r="E345" i="3"/>
  <c r="E581" i="3"/>
  <c r="E444" i="3"/>
  <c r="E404" i="3"/>
  <c r="E28" i="3"/>
  <c r="E70" i="3"/>
  <c r="E182" i="3"/>
  <c r="E211" i="3"/>
  <c r="E273" i="3"/>
  <c r="E316" i="3"/>
  <c r="E334" i="3"/>
  <c r="E572" i="3"/>
  <c r="E109" i="3"/>
  <c r="E484" i="3"/>
  <c r="E200" i="3"/>
  <c r="E249" i="3"/>
  <c r="E492" i="3"/>
  <c r="E33" i="3"/>
  <c r="E355" i="3"/>
  <c r="E68" i="3"/>
  <c r="E264" i="3"/>
  <c r="E21" i="3"/>
  <c r="E188" i="3"/>
  <c r="E224" i="3"/>
  <c r="E534" i="3"/>
  <c r="E469" i="3"/>
  <c r="E360" i="3"/>
  <c r="E470" i="3"/>
  <c r="E41" i="3"/>
  <c r="E243" i="3"/>
  <c r="E42" i="3"/>
  <c r="E78" i="3"/>
  <c r="E86" i="3"/>
  <c r="E287" i="3"/>
  <c r="E353" i="3"/>
  <c r="E69" i="3"/>
  <c r="E445" i="3"/>
  <c r="E336" i="3"/>
  <c r="E358" i="3"/>
  <c r="E551" i="3"/>
  <c r="E407" i="3"/>
  <c r="E294" i="3"/>
  <c r="E130" i="3"/>
  <c r="E221" i="3"/>
  <c r="E212" i="3"/>
  <c r="E141" i="3"/>
  <c r="E528" i="3"/>
  <c r="E125" i="3"/>
  <c r="E553" i="3"/>
  <c r="N6" i="3"/>
  <c r="E516" i="3"/>
  <c r="E396" i="3"/>
  <c r="E151" i="3"/>
  <c r="E343" i="3"/>
  <c r="E555" i="3"/>
  <c r="E574" i="3"/>
  <c r="E128" i="3"/>
  <c r="E114" i="3"/>
  <c r="E550" i="3"/>
  <c r="E280" i="3"/>
  <c r="E533" i="3"/>
  <c r="E561" i="3"/>
  <c r="E439" i="3"/>
  <c r="E231" i="3"/>
  <c r="E185" i="3"/>
  <c r="E161" i="3"/>
  <c r="E271" i="3"/>
  <c r="E107" i="3"/>
  <c r="E565" i="3"/>
  <c r="E205" i="3"/>
  <c r="E278" i="3"/>
  <c r="E535" i="3"/>
  <c r="E246" i="3"/>
  <c r="E514" i="3"/>
  <c r="M6" i="3"/>
  <c r="E387" i="3"/>
  <c r="E215" i="3"/>
  <c r="E134" i="3"/>
  <c r="E180" i="3"/>
  <c r="E253" i="3"/>
  <c r="E286" i="3"/>
  <c r="E183" i="3"/>
  <c r="E217" i="3"/>
  <c r="E268" i="3"/>
  <c r="AJ6" i="3"/>
  <c r="E579" i="3"/>
  <c r="E247" i="3"/>
  <c r="E328" i="3"/>
  <c r="E352" i="3"/>
  <c r="E415" i="3"/>
  <c r="E347" i="3"/>
  <c r="E124" i="3"/>
  <c r="S6" i="3"/>
  <c r="E506" i="3"/>
  <c r="E338" i="3"/>
  <c r="E298" i="3"/>
  <c r="E61" i="3"/>
  <c r="E117" i="3"/>
  <c r="E204" i="3"/>
  <c r="E327" i="3"/>
  <c r="E213" i="3"/>
  <c r="E319" i="3"/>
  <c r="E153" i="3"/>
  <c r="E510" i="3"/>
  <c r="E563" i="3"/>
  <c r="E583" i="3"/>
  <c r="E293" i="3"/>
  <c r="E559" i="3"/>
  <c r="V6" i="3"/>
  <c r="E320" i="3"/>
  <c r="E230" i="3"/>
  <c r="E254" i="3"/>
  <c r="E149" i="3"/>
  <c r="E167" i="3"/>
  <c r="E312" i="3"/>
  <c r="E361" i="3"/>
  <c r="E366" i="3"/>
  <c r="E282" i="3"/>
  <c r="E239" i="3"/>
  <c r="E569" i="3"/>
  <c r="E229" i="3"/>
  <c r="E526" i="3"/>
  <c r="E509" i="3"/>
  <c r="E201" i="3"/>
  <c r="E545" i="3"/>
  <c r="E395" i="3"/>
  <c r="AA6" i="3"/>
  <c r="E270" i="3"/>
  <c r="AR6" i="3"/>
  <c r="E538" i="3"/>
  <c r="E380" i="3"/>
  <c r="E216" i="3"/>
  <c r="E135" i="3"/>
  <c r="E207" i="3"/>
  <c r="E145" i="3"/>
  <c r="E237" i="3"/>
  <c r="E530" i="3"/>
  <c r="E305" i="3"/>
  <c r="E388" i="3"/>
  <c r="E410" i="3"/>
  <c r="E143" i="3"/>
  <c r="E322" i="3"/>
  <c r="E431" i="3"/>
  <c r="E329" i="3"/>
  <c r="E172" i="3"/>
  <c r="X6" i="3"/>
  <c r="E311" i="3"/>
  <c r="E570" i="3"/>
  <c r="AB6" i="3"/>
  <c r="E335" i="3"/>
  <c r="E189" i="3"/>
  <c r="E91" i="3"/>
  <c r="E77" i="3"/>
  <c r="E199" i="3"/>
  <c r="E261" i="3"/>
  <c r="E302" i="3"/>
  <c r="E260" i="3"/>
  <c r="E399" i="3"/>
  <c r="E390" i="3"/>
  <c r="E523" i="3"/>
  <c r="E418" i="3"/>
  <c r="E321" i="3"/>
  <c r="E169" i="3"/>
  <c r="E290" i="3"/>
  <c r="E252" i="3"/>
  <c r="E164" i="3"/>
  <c r="E304" i="3"/>
  <c r="E53" i="3"/>
  <c r="E501" i="3"/>
  <c r="E426" i="3"/>
  <c r="O6" i="3"/>
  <c r="E359" i="3"/>
  <c r="E97" i="3"/>
  <c r="E175" i="3"/>
  <c r="E508" i="3"/>
  <c r="E337" i="3"/>
  <c r="E285" i="3"/>
  <c r="E206" i="3"/>
  <c r="E140" i="3"/>
  <c r="E19" i="3"/>
  <c r="T52" i="71"/>
  <c r="D52" i="71"/>
  <c r="K22" i="6"/>
  <c r="M22" i="6" s="1"/>
  <c r="I22" i="6" s="1"/>
  <c r="S22" i="6" s="1"/>
  <c r="E101" i="3"/>
  <c r="E31" i="6"/>
  <c r="E115" i="3"/>
  <c r="F70" i="39"/>
  <c r="G68" i="39"/>
  <c r="E265" i="3"/>
  <c r="B7" i="71"/>
  <c r="B6" i="71" s="1"/>
  <c r="B5" i="71" s="1"/>
  <c r="S8" i="71"/>
  <c r="E89" i="3"/>
  <c r="E272" i="3"/>
  <c r="O6" i="1"/>
  <c r="E288" i="3"/>
  <c r="E15" i="71"/>
  <c r="E14" i="71" s="1"/>
  <c r="E13" i="71" s="1"/>
  <c r="E12" i="71" s="1"/>
  <c r="V16" i="71"/>
  <c r="N62" i="71"/>
  <c r="N61" i="71"/>
  <c r="E578" i="3"/>
  <c r="E111" i="3"/>
  <c r="E132" i="3"/>
  <c r="E62" i="3"/>
  <c r="E41" i="43"/>
  <c r="C41" i="43" s="1"/>
  <c r="C20" i="43"/>
  <c r="T12" i="43" s="1"/>
  <c r="V12" i="43" s="1"/>
  <c r="K23" i="6"/>
  <c r="M23" i="6" s="1"/>
  <c r="I23" i="6" s="1"/>
  <c r="S23" i="6" s="1"/>
  <c r="E382" i="3"/>
  <c r="E92" i="3"/>
  <c r="E66" i="39"/>
  <c r="E138" i="3"/>
  <c r="E75" i="3"/>
  <c r="E46" i="3"/>
  <c r="E39" i="3"/>
  <c r="E291" i="3"/>
  <c r="E178" i="3"/>
  <c r="E118" i="3"/>
  <c r="AG6" i="1"/>
  <c r="C47" i="68"/>
  <c r="D45" i="68" s="1"/>
  <c r="C29" i="68"/>
  <c r="D27" i="68" s="1"/>
  <c r="C15" i="67"/>
  <c r="C18" i="67"/>
  <c r="U10" i="40"/>
  <c r="S4" i="43"/>
  <c r="S2" i="43"/>
  <c r="S5" i="43"/>
  <c r="S6" i="43"/>
  <c r="S7" i="43"/>
  <c r="C23" i="43"/>
  <c r="C21" i="43" s="1"/>
  <c r="C29" i="43" s="1"/>
  <c r="E29" i="43" s="1"/>
  <c r="C6" i="69" s="1"/>
  <c r="C7" i="69" s="1"/>
  <c r="S3" i="43"/>
  <c r="AC10" i="40"/>
  <c r="S10" i="40"/>
  <c r="U10" i="39"/>
  <c r="W10" i="39"/>
  <c r="M19" i="6"/>
  <c r="S6" i="1"/>
  <c r="AQ7" i="1"/>
  <c r="T7" i="1"/>
  <c r="AR7" i="1"/>
  <c r="D3" i="34"/>
  <c r="E6" i="6"/>
  <c r="D3" i="21"/>
  <c r="D37" i="11"/>
  <c r="C37" i="11" s="1"/>
  <c r="AY161" i="3"/>
  <c r="AY438" i="3"/>
  <c r="AY580" i="3"/>
  <c r="AY536" i="3"/>
  <c r="AY552" i="3"/>
  <c r="AY523" i="3"/>
  <c r="AY64" i="3"/>
  <c r="AY174" i="3"/>
  <c r="AY250" i="3"/>
  <c r="AY361" i="3"/>
  <c r="AY305" i="3"/>
  <c r="AY276" i="3"/>
  <c r="AY470" i="3"/>
  <c r="AY358" i="3"/>
  <c r="AY61" i="3"/>
  <c r="AY190" i="3"/>
  <c r="AY133" i="3"/>
  <c r="AY397" i="3"/>
  <c r="AY109" i="3"/>
  <c r="AY166" i="3"/>
  <c r="AY348" i="3"/>
  <c r="AY462" i="3"/>
  <c r="BQ6" i="3"/>
  <c r="AY582" i="3"/>
  <c r="AY194" i="3"/>
  <c r="AY251" i="3"/>
  <c r="AY492" i="3"/>
  <c r="AY450" i="3"/>
  <c r="AY431" i="3"/>
  <c r="AY575" i="3"/>
  <c r="AY530" i="3"/>
  <c r="AY563" i="3"/>
  <c r="AY203" i="3"/>
  <c r="AY120" i="3"/>
  <c r="AY233" i="3"/>
  <c r="AY330" i="3"/>
  <c r="AY440" i="3"/>
  <c r="AY13" i="3"/>
  <c r="AY39" i="3"/>
  <c r="AY195" i="3"/>
  <c r="AY136" i="3"/>
  <c r="AY375" i="3"/>
  <c r="AY322" i="3"/>
  <c r="AY432" i="3"/>
  <c r="AY567" i="3"/>
  <c r="AY59" i="3"/>
  <c r="AY371" i="3"/>
  <c r="AY513" i="3"/>
  <c r="AY108" i="3"/>
  <c r="AY28" i="3"/>
  <c r="AY294" i="3"/>
  <c r="AY214" i="3"/>
  <c r="AY554" i="3"/>
  <c r="AY290" i="3"/>
  <c r="AY349" i="3"/>
  <c r="AY488" i="3"/>
  <c r="BF6" i="3"/>
  <c r="AY584" i="3"/>
  <c r="AY80" i="3"/>
  <c r="AY369" i="3"/>
  <c r="AY487" i="3"/>
  <c r="AY410" i="3"/>
  <c r="AY531" i="3"/>
  <c r="AY35" i="3"/>
  <c r="AY280" i="3"/>
  <c r="AY405" i="3"/>
  <c r="AY86" i="3"/>
  <c r="AY159" i="3"/>
  <c r="AY459" i="3"/>
  <c r="AY504" i="3"/>
  <c r="AY458" i="3"/>
  <c r="AY542" i="3"/>
  <c r="AY63" i="3"/>
  <c r="AY135" i="3"/>
  <c r="AY456" i="3"/>
  <c r="BL6" i="3"/>
  <c r="AY184" i="3"/>
  <c r="AY338" i="3"/>
  <c r="BD6"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34" i="69"/>
  <c r="M27" i="15"/>
  <c r="F41" i="15"/>
  <c r="C17" i="15"/>
  <c r="C38" i="43" l="1"/>
  <c r="G38" i="43" s="1"/>
  <c r="C39" i="43"/>
  <c r="G39" i="43" s="1"/>
  <c r="I39" i="43" s="1"/>
  <c r="C48" i="67"/>
  <c r="C66" i="67" s="1"/>
  <c r="J26" i="67"/>
  <c r="J29" i="67" s="1"/>
  <c r="F24" i="15"/>
  <c r="C24" i="15" s="1"/>
  <c r="F22" i="11"/>
  <c r="C44" i="11" s="1"/>
  <c r="D41" i="11" s="1"/>
  <c r="F24" i="67"/>
  <c r="C24" i="67" s="1"/>
  <c r="F22" i="69"/>
  <c r="F41" i="69" s="1"/>
  <c r="D3" i="37"/>
  <c r="F22" i="68"/>
  <c r="F41" i="68" s="1"/>
  <c r="D14" i="12"/>
  <c r="D17" i="12" s="1"/>
  <c r="C17" i="12" s="1"/>
  <c r="L18" i="9"/>
  <c r="M18" i="9"/>
  <c r="B118" i="9" s="1"/>
  <c r="B14" i="74" s="1"/>
  <c r="B1" i="74" s="1"/>
  <c r="D3" i="33"/>
  <c r="D19" i="11"/>
  <c r="C19" i="11" s="1"/>
  <c r="C20" i="11" s="1"/>
  <c r="C28" i="11" s="1"/>
  <c r="C27" i="11" s="1"/>
  <c r="T6" i="43"/>
  <c r="V6" i="43" s="1"/>
  <c r="C30" i="43"/>
  <c r="E30" i="43" s="1"/>
  <c r="E39" i="43"/>
  <c r="T5" i="43"/>
  <c r="V5" i="43" s="1"/>
  <c r="L37" i="9" s="1"/>
  <c r="AY241" i="3"/>
  <c r="AY378" i="3"/>
  <c r="AY506" i="3"/>
  <c r="AY213" i="3"/>
  <c r="AY331" i="3"/>
  <c r="D3" i="6"/>
  <c r="AY129" i="3"/>
  <c r="AY427" i="3"/>
  <c r="AY24" i="3"/>
  <c r="AY138" i="3"/>
  <c r="AY245" i="3"/>
  <c r="AY15" i="3"/>
  <c r="AY272" i="3"/>
  <c r="AY576" i="3"/>
  <c r="AY383" i="3"/>
  <c r="AY47" i="3"/>
  <c r="AY17" i="3"/>
  <c r="AY329" i="3"/>
  <c r="AY495" i="3"/>
  <c r="AY242" i="3"/>
  <c r="AY247" i="3"/>
  <c r="AY533" i="3"/>
  <c r="AY66" i="3"/>
  <c r="AY113" i="3"/>
  <c r="AY532" i="3"/>
  <c r="AY82" i="3"/>
  <c r="AY191" i="3"/>
  <c r="AY132" i="3"/>
  <c r="AY31" i="3"/>
  <c r="AY292" i="3"/>
  <c r="AY147" i="3"/>
  <c r="AY220" i="3"/>
  <c r="AY350" i="3"/>
  <c r="AY486" i="3"/>
  <c r="AY425" i="3"/>
  <c r="AY199" i="3"/>
  <c r="AY244" i="3"/>
  <c r="AY355" i="3"/>
  <c r="AY481" i="3"/>
  <c r="AY404" i="3"/>
  <c r="AY562" i="3"/>
  <c r="AY51" i="3"/>
  <c r="AY124" i="3"/>
  <c r="AY281" i="3"/>
  <c r="AY236" i="3"/>
  <c r="AY473" i="3"/>
  <c r="AY26" i="3"/>
  <c r="AY372" i="3"/>
  <c r="AY420"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115" i="3"/>
  <c r="AY225" i="3"/>
  <c r="AY180" i="3"/>
  <c r="AY433" i="3"/>
  <c r="AY97" i="3"/>
  <c r="AY44" i="3"/>
  <c r="AY154" i="3"/>
  <c r="AY283" i="3"/>
  <c r="AY230" i="3"/>
  <c r="AY360" i="3"/>
  <c r="AY56" i="3"/>
  <c r="AY295" i="3"/>
  <c r="AY353" i="3"/>
  <c r="AY475" i="3"/>
  <c r="AY398" i="3"/>
  <c r="AY534" i="3"/>
  <c r="AY501" i="3"/>
  <c r="AY65" i="3"/>
  <c r="AY137" i="3"/>
  <c r="AY380" i="3"/>
  <c r="AY312"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23" i="3"/>
  <c r="AY58" i="3"/>
  <c r="AY428" i="3"/>
  <c r="AY342" i="3"/>
  <c r="AY541" i="3"/>
  <c r="AY45" i="3"/>
  <c r="AY201" i="3"/>
  <c r="AY118" i="3"/>
  <c r="AY231" i="3"/>
  <c r="AY38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471" i="3"/>
  <c r="AY439" i="3"/>
  <c r="AY524" i="3"/>
  <c r="AY578" i="3"/>
  <c r="AY192" i="3"/>
  <c r="AY249" i="3"/>
  <c r="AY346" i="3"/>
  <c r="AY558" i="3"/>
  <c r="AY55" i="3"/>
  <c r="AY128" i="3"/>
  <c r="AY391" i="3"/>
  <c r="AY448" i="3"/>
  <c r="AY586" i="3"/>
  <c r="AY18" i="3"/>
  <c r="AY237" i="3"/>
  <c r="AY269" i="3"/>
  <c r="AY447" i="3"/>
  <c r="AY574" i="3"/>
  <c r="AY42" i="3"/>
  <c r="AY441" i="3"/>
  <c r="AY539" i="3"/>
  <c r="AY84" i="3"/>
  <c r="AY193" i="3"/>
  <c r="AY270" i="3"/>
  <c r="AY227" i="3"/>
  <c r="AY507" i="3"/>
  <c r="AY29" i="3"/>
  <c r="AY215" i="3"/>
  <c r="AY324" i="3"/>
  <c r="AY103" i="3"/>
  <c r="AY50" i="3"/>
  <c r="AY160" i="3"/>
  <c r="AY289" i="3"/>
  <c r="AY183" i="3"/>
  <c r="AY261" i="3"/>
  <c r="AY284" i="3"/>
  <c r="AY209" i="3"/>
  <c r="AY319" i="3"/>
  <c r="AY455" i="3"/>
  <c r="AY497" i="3"/>
  <c r="AY116" i="3"/>
  <c r="AY212" i="3"/>
  <c r="AY343" i="3"/>
  <c r="AY478" i="3"/>
  <c r="AY417" i="3"/>
  <c r="AY573" i="3"/>
  <c r="AY34" i="3"/>
  <c r="AY95" i="3"/>
  <c r="AY111" i="3"/>
  <c r="AY382" i="3"/>
  <c r="AY460" i="3"/>
  <c r="AY300" i="3"/>
  <c r="AY327" i="3"/>
  <c r="AY401"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88" i="3"/>
  <c r="AY335" i="3"/>
  <c r="AY228" i="3"/>
  <c r="BK6" i="3"/>
  <c r="AY92" i="3"/>
  <c r="AY33" i="3"/>
  <c r="AY165" i="3"/>
  <c r="AY278" i="3"/>
  <c r="AY219" i="3"/>
  <c r="BH6" i="3"/>
  <c r="AY202" i="3"/>
  <c r="AY259" i="3"/>
  <c r="AY333" i="3"/>
  <c r="AY472" i="3"/>
  <c r="AY411" i="3"/>
  <c r="AY571" i="3"/>
  <c r="AY494" i="3"/>
  <c r="AY48" i="3"/>
  <c r="AY287" i="3"/>
  <c r="AY364"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55" i="3"/>
  <c r="AY268" i="3"/>
  <c r="AY106" i="3"/>
  <c r="AY452" i="3"/>
  <c r="AY553"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BC6" i="3"/>
  <c r="AY468" i="3"/>
  <c r="AY407" i="3"/>
  <c r="AY565" i="3"/>
  <c r="AY99" i="3"/>
  <c r="AY156" i="3"/>
  <c r="AY232" i="3"/>
  <c r="AY469" i="3"/>
  <c r="AY560" i="3"/>
  <c r="AY38" i="3"/>
  <c r="AY277" i="3"/>
  <c r="AY354" i="3"/>
  <c r="AY429" i="3"/>
  <c r="AY98" i="3"/>
  <c r="AY90" i="3"/>
  <c r="AY163" i="3"/>
  <c r="AY75" i="3"/>
  <c r="AY387" i="3"/>
  <c r="AY334" i="3"/>
  <c r="AY526" i="3"/>
  <c r="AY390" i="3"/>
  <c r="AY535" i="3"/>
  <c r="AY207" i="3"/>
  <c r="AY168" i="3"/>
  <c r="AY260" i="3"/>
  <c r="AY310" i="3"/>
  <c r="AY100" i="3"/>
  <c r="AY20" i="3"/>
  <c r="AY134" i="3"/>
  <c r="AY171" i="3"/>
  <c r="AY444" i="3"/>
  <c r="AY366" i="3"/>
  <c r="AY173" i="3"/>
  <c r="AY67" i="3"/>
  <c r="AY196" i="3"/>
  <c r="AY139" i="3"/>
  <c r="AY74" i="3"/>
  <c r="AY123" i="3"/>
  <c r="AY204" i="3"/>
  <c r="AY252" i="3"/>
  <c r="AY363" i="3"/>
  <c r="AY489" i="3"/>
  <c r="AY412" i="3"/>
  <c r="AY43" i="3"/>
  <c r="AY229" i="3"/>
  <c r="AY379" i="3"/>
  <c r="AY326" i="3"/>
  <c r="AY436" i="3"/>
  <c r="AY557" i="3"/>
  <c r="AY87" i="3"/>
  <c r="AY144" i="3"/>
  <c r="AY152" i="3"/>
  <c r="AY253" i="3"/>
  <c r="AY303" i="3"/>
  <c r="AY529" i="3"/>
  <c r="AY217" i="3"/>
  <c r="AY463" i="3"/>
  <c r="AY54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176" i="3"/>
  <c r="AY297" i="3"/>
  <c r="AY409" i="3"/>
  <c r="AY465" i="3"/>
  <c r="BE6" i="3"/>
  <c r="AY76" i="3"/>
  <c r="AY185" i="3"/>
  <c r="AY125" i="3"/>
  <c r="AY262" i="3"/>
  <c r="AY374" i="3"/>
  <c r="AY73" i="3"/>
  <c r="AY145" i="3"/>
  <c r="AY388" i="3"/>
  <c r="AY316" i="3"/>
  <c r="AY430" i="3"/>
  <c r="AY585" i="3"/>
  <c r="BG6" i="3"/>
  <c r="AY101" i="3"/>
  <c r="AY158" i="3"/>
  <c r="AY234" i="3"/>
  <c r="AY344"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3" i="3"/>
  <c r="AY131" i="3"/>
  <c r="AY318" i="3"/>
  <c r="AY395" i="3"/>
  <c r="AY569" i="3"/>
  <c r="AY77" i="3"/>
  <c r="AY206" i="3"/>
  <c r="AY149" i="3"/>
  <c r="AY263" i="3"/>
  <c r="AY392" i="3"/>
  <c r="BJ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426" i="3"/>
  <c r="AY14" i="3"/>
  <c r="AY570" i="3"/>
  <c r="AY46" i="3"/>
  <c r="AY285" i="3"/>
  <c r="AY362" i="3"/>
  <c r="AY437" i="3"/>
  <c r="AY91" i="3"/>
  <c r="AY148" i="3"/>
  <c r="AY224" i="3"/>
  <c r="AY490" i="3"/>
  <c r="AY511" i="3"/>
  <c r="AY311" i="3"/>
  <c r="AY549" i="3"/>
  <c r="AY286" i="3"/>
  <c r="AY373" i="3"/>
  <c r="AY88" i="3"/>
  <c r="AY275" i="3"/>
  <c r="AY341" i="3"/>
  <c r="AY480" i="3"/>
  <c r="H6" i="3"/>
  <c r="C35" i="69"/>
  <c r="C38" i="69"/>
  <c r="C14" i="71"/>
  <c r="D15" i="71"/>
  <c r="AC6" i="3"/>
  <c r="M16" i="1"/>
  <c r="T4" i="43"/>
  <c r="V4" i="43" s="1"/>
  <c r="L36" i="9" s="1"/>
  <c r="T10" i="43"/>
  <c r="V10" i="43" s="1"/>
  <c r="C36" i="43"/>
  <c r="T15" i="43"/>
  <c r="V15" i="43" s="1"/>
  <c r="T3" i="43"/>
  <c r="V3" i="43" s="1"/>
  <c r="L35" i="9" s="1"/>
  <c r="T14" i="43"/>
  <c r="V14" i="43" s="1"/>
  <c r="P6" i="1"/>
  <c r="O16" i="1"/>
  <c r="G70" i="39"/>
  <c r="H68" i="39"/>
  <c r="T13" i="43"/>
  <c r="V13" i="43" s="1"/>
  <c r="T28" i="71"/>
  <c r="D28" i="71"/>
  <c r="K27" i="6"/>
  <c r="T7" i="43"/>
  <c r="V7" i="43" s="1"/>
  <c r="T16" i="43"/>
  <c r="V16" i="43" s="1"/>
  <c r="C34" i="43"/>
  <c r="T8" i="43"/>
  <c r="V8" i="43" s="1"/>
  <c r="T11" i="43"/>
  <c r="V11" i="43" s="1"/>
  <c r="C35" i="43"/>
  <c r="D1" i="43"/>
  <c r="J30" i="81"/>
  <c r="I30" i="81"/>
  <c r="T2" i="43"/>
  <c r="V2" i="43" s="1"/>
  <c r="L34" i="9" s="1"/>
  <c r="T9" i="43"/>
  <c r="V9" i="43" s="1"/>
  <c r="E11" i="71"/>
  <c r="E10" i="71" s="1"/>
  <c r="E9" i="71" s="1"/>
  <c r="E8" i="71" s="1"/>
  <c r="V12" i="71"/>
  <c r="C33" i="43"/>
  <c r="C19" i="67"/>
  <c r="C20" i="67" s="1"/>
  <c r="C26" i="67" s="1"/>
  <c r="E6" i="70"/>
  <c r="E2" i="70" s="1"/>
  <c r="F69" i="15"/>
  <c r="AQ6" i="1"/>
  <c r="AR6" i="1"/>
  <c r="S16" i="1"/>
  <c r="T6" i="1"/>
  <c r="M27" i="6"/>
  <c r="I19" i="6"/>
  <c r="H19" i="6" s="1"/>
  <c r="D10" i="11"/>
  <c r="C10" i="11" s="1"/>
  <c r="D20" i="12"/>
  <c r="C20" i="12" s="1"/>
  <c r="C18" i="12" s="1"/>
  <c r="D10" i="68"/>
  <c r="D19" i="6"/>
  <c r="D26" i="6"/>
  <c r="C18" i="4"/>
  <c r="D8" i="6"/>
  <c r="D23" i="6"/>
  <c r="D14" i="6"/>
  <c r="D25" i="6"/>
  <c r="D22" i="6"/>
  <c r="D24" i="6"/>
  <c r="D6" i="6"/>
  <c r="D9" i="6"/>
  <c r="D10" i="6"/>
  <c r="L19" i="9"/>
  <c r="D29" i="6"/>
  <c r="H24" i="6"/>
  <c r="M19" i="9"/>
  <c r="C118" i="9" s="1"/>
  <c r="C14" i="74" s="1"/>
  <c r="B2" i="74" s="1"/>
  <c r="D15" i="6"/>
  <c r="D21" i="6"/>
  <c r="D20" i="6"/>
  <c r="D5" i="6"/>
  <c r="D12" i="6"/>
  <c r="D11" i="6"/>
  <c r="D13" i="6"/>
  <c r="D28" i="6"/>
  <c r="E61" i="40"/>
  <c r="H23" i="6"/>
  <c r="H25" i="6"/>
  <c r="R25" i="6" s="1"/>
  <c r="H26" i="6"/>
  <c r="H21" i="6"/>
  <c r="H22" i="6"/>
  <c r="H20" i="6"/>
  <c r="R20" i="6" s="1"/>
  <c r="R7" i="1" s="1"/>
  <c r="C7" i="74"/>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C60" i="15"/>
  <c r="C66" i="15"/>
  <c r="C26" i="12"/>
  <c r="D25" i="12" s="1"/>
  <c r="C38" i="67"/>
  <c r="M21" i="67"/>
  <c r="F35" i="67"/>
  <c r="F6" i="15"/>
  <c r="D10" i="69"/>
  <c r="C14" i="15"/>
  <c r="C23" i="11" l="1"/>
  <c r="C25" i="11"/>
  <c r="C60" i="67"/>
  <c r="C24" i="11"/>
  <c r="C26" i="69"/>
  <c r="D22" i="69" s="1"/>
  <c r="C26" i="11"/>
  <c r="D22" i="11" s="1"/>
  <c r="C44" i="69"/>
  <c r="D41" i="69" s="1"/>
  <c r="C26" i="68"/>
  <c r="D22" i="68" s="1"/>
  <c r="C14" i="12"/>
  <c r="C44" i="68"/>
  <c r="D41" i="68" s="1"/>
  <c r="P16" i="1"/>
  <c r="C11" i="12" s="1"/>
  <c r="C12" i="12" s="1"/>
  <c r="C13" i="12"/>
  <c r="R23" i="6"/>
  <c r="E6" i="3"/>
  <c r="D30" i="6"/>
  <c r="C13" i="71"/>
  <c r="D14" i="71"/>
  <c r="L16" i="1"/>
  <c r="C34" i="68"/>
  <c r="C34" i="11"/>
  <c r="N16" i="1"/>
  <c r="R21" i="6"/>
  <c r="C6" i="15"/>
  <c r="C33" i="15" s="1"/>
  <c r="E37" i="43"/>
  <c r="G37" i="43"/>
  <c r="I37" i="43" s="1"/>
  <c r="E7" i="71"/>
  <c r="E6" i="71" s="1"/>
  <c r="E5" i="71" s="1"/>
  <c r="V8" i="71"/>
  <c r="E35" i="43"/>
  <c r="G35" i="43"/>
  <c r="I35" i="43" s="1"/>
  <c r="I38" i="43"/>
  <c r="E38" i="43"/>
  <c r="G34" i="43"/>
  <c r="I34" i="43" s="1"/>
  <c r="E34" i="43"/>
  <c r="H70" i="39"/>
  <c r="I68" i="39"/>
  <c r="E36" i="43"/>
  <c r="G36" i="43"/>
  <c r="I36" i="43" s="1"/>
  <c r="G33" i="43"/>
  <c r="I33" i="43" s="1"/>
  <c r="E33" i="43"/>
  <c r="C23" i="67"/>
  <c r="C29" i="67" s="1"/>
  <c r="C36" i="67" s="1"/>
  <c r="J20" i="67"/>
  <c r="F63" i="67"/>
  <c r="C62" i="67" s="1"/>
  <c r="C34" i="67"/>
  <c r="C15" i="15"/>
  <c r="C18" i="15"/>
  <c r="T16" i="1"/>
  <c r="B3" i="34"/>
  <c r="H27" i="6"/>
  <c r="S19" i="6"/>
  <c r="S27" i="6" s="1"/>
  <c r="I27" i="6"/>
  <c r="R22" i="6"/>
  <c r="R26" i="6"/>
  <c r="D16" i="6"/>
  <c r="D7" i="74"/>
  <c r="C10" i="69"/>
  <c r="C8" i="69" s="1"/>
  <c r="C5" i="69" s="1"/>
  <c r="D19" i="69"/>
  <c r="R24" i="6"/>
  <c r="A7" i="51"/>
  <c r="B7" i="72" s="1"/>
  <c r="C4" i="52"/>
  <c r="B45" i="72" s="1"/>
  <c r="A10" i="51"/>
  <c r="B9" i="72" s="1"/>
  <c r="D27" i="6"/>
  <c r="D31" i="6" s="1"/>
  <c r="R19" i="6"/>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C27" i="43" l="1"/>
  <c r="C26" i="43"/>
  <c r="C22" i="11"/>
  <c r="C31" i="11" s="1"/>
  <c r="C15" i="12"/>
  <c r="C16" i="12" s="1"/>
  <c r="C21" i="12" s="1"/>
  <c r="C22" i="12" s="1"/>
  <c r="C27" i="12" s="1"/>
  <c r="C25" i="12" s="1"/>
  <c r="C35" i="11"/>
  <c r="C38" i="11"/>
  <c r="C12" i="71"/>
  <c r="D13" i="71"/>
  <c r="F50" i="69"/>
  <c r="F50" i="68"/>
  <c r="F50" i="11"/>
  <c r="C35" i="68"/>
  <c r="C38" i="68"/>
  <c r="I70" i="39"/>
  <c r="J68" i="39"/>
  <c r="L38" i="9"/>
  <c r="L39" i="9" s="1"/>
  <c r="C32" i="15"/>
  <c r="C5" i="15"/>
  <c r="C38" i="15" s="1"/>
  <c r="C19" i="15"/>
  <c r="C20" i="15" s="1"/>
  <c r="C26" i="15" s="1"/>
  <c r="J59" i="67"/>
  <c r="J60" i="67" s="1"/>
  <c r="Q48" i="67" s="1"/>
  <c r="C13" i="67"/>
  <c r="C56" i="67" s="1"/>
  <c r="C65" i="67" s="1"/>
  <c r="C57" i="67"/>
  <c r="C61" i="67" s="1"/>
  <c r="C59" i="67" s="1"/>
  <c r="C33" i="67"/>
  <c r="C31" i="67" s="1"/>
  <c r="Q49" i="67"/>
  <c r="J19" i="67"/>
  <c r="J17" i="67" s="1"/>
  <c r="J14" i="67"/>
  <c r="J13" i="67" s="1"/>
  <c r="J23" i="67" s="1"/>
  <c r="R27" i="6"/>
  <c r="R6" i="1"/>
  <c r="I6" i="6"/>
  <c r="I5" i="6"/>
  <c r="C19" i="69"/>
  <c r="C24" i="69" s="1"/>
  <c r="D37" i="69"/>
  <c r="C37" i="69" s="1"/>
  <c r="C33" i="69" s="1"/>
  <c r="C19" i="68"/>
  <c r="D37" i="68"/>
  <c r="C37" i="68" s="1"/>
  <c r="C23" i="69"/>
  <c r="I63" i="40"/>
  <c r="H65" i="40"/>
  <c r="I58" i="21"/>
  <c r="J58" i="21" s="1"/>
  <c r="K58" i="21" s="1"/>
  <c r="L58" i="21" s="1"/>
  <c r="M58" i="21" s="1"/>
  <c r="N58" i="21" s="1"/>
  <c r="O58" i="21" s="1"/>
  <c r="H7" i="21" s="1"/>
  <c r="J7" i="21"/>
  <c r="F7" i="21"/>
  <c r="J48" i="35"/>
  <c r="F35" i="15"/>
  <c r="M21" i="15"/>
  <c r="E6" i="76"/>
  <c r="C33" i="68" l="1"/>
  <c r="C39" i="68" s="1"/>
  <c r="C30" i="12"/>
  <c r="C28" i="12" s="1"/>
  <c r="C32" i="12" s="1"/>
  <c r="B2" i="12" s="1"/>
  <c r="B3" i="12" s="1"/>
  <c r="D12" i="71"/>
  <c r="U12" i="71" s="1"/>
  <c r="C11" i="71"/>
  <c r="T12" i="71"/>
  <c r="C33" i="11"/>
  <c r="E2" i="76"/>
  <c r="B2" i="43"/>
  <c r="J70" i="39"/>
  <c r="K68" i="39"/>
  <c r="C64" i="67"/>
  <c r="C58" i="67" s="1"/>
  <c r="C67" i="67" s="1"/>
  <c r="C68" i="67" s="1"/>
  <c r="J22" i="67"/>
  <c r="J16" i="67" s="1"/>
  <c r="J25" i="67" s="1"/>
  <c r="C37" i="67"/>
  <c r="C30" i="67" s="1"/>
  <c r="C39" i="67" s="1"/>
  <c r="Q69" i="67" s="1"/>
  <c r="C75" i="67"/>
  <c r="Q70" i="67"/>
  <c r="C23" i="15"/>
  <c r="C29" i="15" s="1"/>
  <c r="J59" i="15" s="1"/>
  <c r="J60" i="15" s="1"/>
  <c r="Q48" i="15" s="1"/>
  <c r="C20" i="69"/>
  <c r="C25" i="69" s="1"/>
  <c r="C22" i="69" s="1"/>
  <c r="J20" i="15"/>
  <c r="C34" i="15"/>
  <c r="C31" i="15" s="1"/>
  <c r="F63" i="15"/>
  <c r="C62" i="15" s="1"/>
  <c r="R16" i="1"/>
  <c r="C24" i="68"/>
  <c r="C39" i="69"/>
  <c r="C43" i="69" s="1"/>
  <c r="C42" i="69"/>
  <c r="U7" i="21"/>
  <c r="AB7" i="21"/>
  <c r="T48" i="21" s="1"/>
  <c r="G48" i="21" s="1"/>
  <c r="S7" i="21"/>
  <c r="AA7" i="21"/>
  <c r="R48" i="21" s="1"/>
  <c r="J63" i="40"/>
  <c r="I65" i="40"/>
  <c r="K48" i="35"/>
  <c r="L48" i="35" s="1"/>
  <c r="M48" i="35" s="1"/>
  <c r="N48" i="35" s="1"/>
  <c r="O48" i="35" s="1"/>
  <c r="H7" i="35" s="1"/>
  <c r="AC7" i="21"/>
  <c r="V48" i="21" s="1"/>
  <c r="I48" i="21" s="1"/>
  <c r="W7" i="21"/>
  <c r="B6" i="76"/>
  <c r="C42" i="68" l="1"/>
  <c r="J7" i="35"/>
  <c r="C42" i="11"/>
  <c r="C39" i="11"/>
  <c r="C46" i="11" s="1"/>
  <c r="C45" i="11" s="1"/>
  <c r="D11" i="71"/>
  <c r="C10" i="71"/>
  <c r="B2" i="76"/>
  <c r="B3" i="76" s="1"/>
  <c r="K70" i="39"/>
  <c r="L68" i="39"/>
  <c r="C28" i="69"/>
  <c r="C27" i="69" s="1"/>
  <c r="C31" i="69" s="1"/>
  <c r="C6" i="68"/>
  <c r="C7" i="68" s="1"/>
  <c r="C5" i="68" s="1"/>
  <c r="B3" i="43"/>
  <c r="Q68" i="67"/>
  <c r="C80" i="67"/>
  <c r="C79" i="67" s="1"/>
  <c r="C40" i="67"/>
  <c r="Q47" i="67" s="1"/>
  <c r="Q53" i="67" s="1"/>
  <c r="J14" i="15"/>
  <c r="C36" i="15"/>
  <c r="C13" i="15"/>
  <c r="J19" i="15"/>
  <c r="J17" i="15" s="1"/>
  <c r="C57" i="15"/>
  <c r="Q49" i="15"/>
  <c r="C41" i="69"/>
  <c r="C46" i="69"/>
  <c r="C45" i="69" s="1"/>
  <c r="C46" i="68"/>
  <c r="C45" i="68" s="1"/>
  <c r="C43" i="68"/>
  <c r="W7" i="35"/>
  <c r="AC7" i="35"/>
  <c r="V38" i="35" s="1"/>
  <c r="I38" i="35" s="1"/>
  <c r="J65" i="40"/>
  <c r="K63" i="40"/>
  <c r="I52" i="21"/>
  <c r="J52" i="21" s="1"/>
  <c r="U7" i="35"/>
  <c r="AB7" i="35"/>
  <c r="T38" i="35" s="1"/>
  <c r="G38" i="35" s="1"/>
  <c r="R49" i="21"/>
  <c r="E48" i="21"/>
  <c r="G52" i="21"/>
  <c r="H52" i="21" s="1"/>
  <c r="G53" i="21"/>
  <c r="H53" i="21" s="1"/>
  <c r="F7" i="35"/>
  <c r="L57" i="15"/>
  <c r="L60" i="15" s="1"/>
  <c r="L46" i="15" s="1"/>
  <c r="C71" i="67"/>
  <c r="L51" i="67"/>
  <c r="C41" i="68" l="1"/>
  <c r="C49" i="68" s="1"/>
  <c r="C51" i="68" s="1"/>
  <c r="C45" i="67"/>
  <c r="C46" i="67" s="1"/>
  <c r="C43" i="67"/>
  <c r="C43" i="11"/>
  <c r="C41" i="11" s="1"/>
  <c r="C49" i="11" s="1"/>
  <c r="C51" i="11" s="1"/>
  <c r="C9" i="71"/>
  <c r="D10" i="71"/>
  <c r="C23" i="68"/>
  <c r="C20" i="68"/>
  <c r="L70" i="39"/>
  <c r="M68" i="39"/>
  <c r="L57" i="67"/>
  <c r="L60" i="67" s="1"/>
  <c r="L46" i="67" s="1"/>
  <c r="D2" i="67" s="1"/>
  <c r="B2" i="67" s="1"/>
  <c r="Q67" i="67"/>
  <c r="C83" i="67"/>
  <c r="C82" i="67" s="1"/>
  <c r="Q56" i="67"/>
  <c r="Q65" i="67"/>
  <c r="C61" i="15"/>
  <c r="C59" i="15" s="1"/>
  <c r="C64" i="15"/>
  <c r="Q70" i="15"/>
  <c r="C75" i="15"/>
  <c r="C56" i="15"/>
  <c r="C65" i="15" s="1"/>
  <c r="C37" i="15"/>
  <c r="C30" i="15" s="1"/>
  <c r="C39" i="15" s="1"/>
  <c r="J13" i="15"/>
  <c r="J23" i="15" s="1"/>
  <c r="J22" i="15"/>
  <c r="C49" i="69"/>
  <c r="C51" i="69" s="1"/>
  <c r="C52" i="69" s="1"/>
  <c r="B2" i="69"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B3" i="69"/>
  <c r="L51" i="15"/>
  <c r="C52" i="11" l="1"/>
  <c r="B2" i="11" s="1"/>
  <c r="B3" i="11" s="1"/>
  <c r="D9" i="71"/>
  <c r="C8" i="71"/>
  <c r="M70" i="39"/>
  <c r="N68" i="39"/>
  <c r="C25" i="68"/>
  <c r="C22" i="68" s="1"/>
  <c r="C28" i="68"/>
  <c r="C27" i="68" s="1"/>
  <c r="Q66" i="67"/>
  <c r="Q75" i="67" s="1"/>
  <c r="Q57" i="67"/>
  <c r="Q62" i="67" s="1"/>
  <c r="B3" i="67"/>
  <c r="J16" i="15"/>
  <c r="J25" i="15" s="1"/>
  <c r="J26" i="15" s="1"/>
  <c r="J29" i="15" s="1"/>
  <c r="Q67" i="15"/>
  <c r="C40" i="15"/>
  <c r="Q69" i="15"/>
  <c r="Q68" i="15" s="1"/>
  <c r="C58" i="15"/>
  <c r="C67" i="15" s="1"/>
  <c r="C68" i="15" s="1"/>
  <c r="C80" i="15"/>
  <c r="C79" i="15" s="1"/>
  <c r="C57" i="69"/>
  <c r="C56" i="69" s="1"/>
  <c r="R39" i="35"/>
  <c r="E38" i="35"/>
  <c r="M63" i="40"/>
  <c r="L65" i="40"/>
  <c r="C56" i="11" l="1"/>
  <c r="C57" i="11" s="1"/>
  <c r="C31" i="68"/>
  <c r="C52" i="68" s="1"/>
  <c r="C57" i="68" s="1"/>
  <c r="C56" i="68" s="1"/>
  <c r="T8" i="71"/>
  <c r="D8" i="71"/>
  <c r="U8" i="71" s="1"/>
  <c r="C7" i="71"/>
  <c r="O68" i="39"/>
  <c r="O70" i="39" s="1"/>
  <c r="N70" i="39"/>
  <c r="F7" i="39" s="1"/>
  <c r="C71" i="15"/>
  <c r="C46" i="15"/>
  <c r="C43" i="15"/>
  <c r="B2" i="15"/>
  <c r="C83" i="15"/>
  <c r="C82" i="15" s="1"/>
  <c r="Q65" i="15"/>
  <c r="Q75" i="15" s="1"/>
  <c r="Q56" i="15"/>
  <c r="Q62" i="15" s="1"/>
  <c r="Q47" i="15"/>
  <c r="Q53" i="15" s="1"/>
  <c r="C39" i="35"/>
  <c r="B2" i="35" s="1"/>
  <c r="B3" i="35" s="1"/>
  <c r="C38" i="35"/>
  <c r="N63" i="40"/>
  <c r="M65" i="40"/>
  <c r="E43" i="35"/>
  <c r="F43" i="35" s="1"/>
  <c r="E42" i="35"/>
  <c r="F42" i="35" s="1"/>
  <c r="I43" i="35"/>
  <c r="J43" i="35" s="1"/>
  <c r="AO6" i="1"/>
  <c r="E2" i="68"/>
  <c r="D19" i="9"/>
  <c r="D7" i="71" l="1"/>
  <c r="C6" i="71"/>
  <c r="AA7" i="39"/>
  <c r="R47" i="39" s="1"/>
  <c r="S7" i="39"/>
  <c r="J7" i="39"/>
  <c r="H7" i="39"/>
  <c r="B2" i="68"/>
  <c r="D102" i="9"/>
  <c r="D21" i="9"/>
  <c r="B6" i="70"/>
  <c r="B2" i="70" s="1"/>
  <c r="B3" i="70" s="1"/>
  <c r="B3" i="15"/>
  <c r="O63" i="40"/>
  <c r="O65" i="40" s="1"/>
  <c r="N65" i="40"/>
  <c r="C19" i="9"/>
  <c r="D20" i="9"/>
  <c r="C5" i="71" l="1"/>
  <c r="D6" i="71"/>
  <c r="U7" i="39"/>
  <c r="AB7" i="39"/>
  <c r="T47" i="39" s="1"/>
  <c r="G47" i="39" s="1"/>
  <c r="W7" i="39"/>
  <c r="AC7" i="39"/>
  <c r="V47" i="39" s="1"/>
  <c r="I47" i="39" s="1"/>
  <c r="E47" i="39"/>
  <c r="R48" i="39"/>
  <c r="C102" i="9"/>
  <c r="C21" i="9"/>
  <c r="D22" i="9"/>
  <c r="B3" i="68"/>
  <c r="D103" i="9"/>
  <c r="J7" i="40"/>
  <c r="F7" i="40"/>
  <c r="H7" i="40"/>
  <c r="C20" i="9"/>
  <c r="D34" i="9"/>
  <c r="D35" i="9"/>
  <c r="D5" i="71" l="1"/>
  <c r="M20" i="43"/>
  <c r="C47" i="39"/>
  <c r="C48" i="39"/>
  <c r="E51" i="39"/>
  <c r="F51" i="39" s="1"/>
  <c r="E52" i="39"/>
  <c r="F52" i="39" s="1"/>
  <c r="I51" i="39"/>
  <c r="J51" i="39" s="1"/>
  <c r="I52" i="39"/>
  <c r="J52" i="39" s="1"/>
  <c r="G52" i="39"/>
  <c r="H52" i="39" s="1"/>
  <c r="G51" i="39"/>
  <c r="H51" i="39" s="1"/>
  <c r="C103" i="9"/>
  <c r="G20" i="9"/>
  <c r="G19" i="9" s="1"/>
  <c r="U7" i="40"/>
  <c r="AB7" i="40"/>
  <c r="T42" i="40" s="1"/>
  <c r="G42" i="40" s="1"/>
  <c r="AA7" i="40"/>
  <c r="R42" i="40" s="1"/>
  <c r="S7" i="40"/>
  <c r="AC7" i="40"/>
  <c r="V42" i="40" s="1"/>
  <c r="I42" i="40" s="1"/>
  <c r="W7" i="40"/>
  <c r="Y25" i="1" l="1"/>
  <c r="Y20" i="1" s="1"/>
  <c r="B65" i="39"/>
  <c r="F65" i="39" s="1"/>
  <c r="B63" i="39"/>
  <c r="F63" i="39" s="1"/>
  <c r="B61" i="39"/>
  <c r="F61" i="39" s="1"/>
  <c r="B59" i="39"/>
  <c r="F59" i="39" s="1"/>
  <c r="B56" i="39"/>
  <c r="F56" i="39" s="1"/>
  <c r="F66" i="39" s="1"/>
  <c r="B2" i="39" s="1"/>
  <c r="B3" i="39" s="1"/>
  <c r="B60" i="39"/>
  <c r="F60" i="39" s="1"/>
  <c r="B57" i="39"/>
  <c r="F57" i="39" s="1"/>
  <c r="B62" i="39"/>
  <c r="F62" i="39" s="1"/>
  <c r="B64" i="39"/>
  <c r="F64" i="39" s="1"/>
  <c r="B58" i="39"/>
  <c r="F58" i="39" s="1"/>
  <c r="R24" i="31"/>
  <c r="R44" i="31" s="1"/>
  <c r="S44" i="31" s="1"/>
  <c r="I46" i="40"/>
  <c r="J46" i="40" s="1"/>
  <c r="R43" i="40"/>
  <c r="E42" i="40"/>
  <c r="G47" i="40"/>
  <c r="H47" i="40" s="1"/>
  <c r="G46" i="40"/>
  <c r="H46" i="40" s="1"/>
  <c r="G21" i="9" l="1"/>
  <c r="C32" i="9"/>
  <c r="C35" i="9" s="1"/>
  <c r="C34" i="9" s="1"/>
  <c r="R62" i="31"/>
  <c r="S62" i="31" s="1"/>
  <c r="R30" i="31"/>
  <c r="S30" i="31" s="1"/>
  <c r="R36" i="31"/>
  <c r="S36" i="31" s="1"/>
  <c r="R55" i="31"/>
  <c r="S55" i="31" s="1"/>
  <c r="R65" i="31"/>
  <c r="S65" i="31" s="1"/>
  <c r="R50" i="31"/>
  <c r="S50" i="31" s="1"/>
  <c r="R29" i="31"/>
  <c r="S29" i="31" s="1"/>
  <c r="R51" i="31"/>
  <c r="S51" i="31" s="1"/>
  <c r="R56" i="31"/>
  <c r="S56" i="31" s="1"/>
  <c r="R70" i="31"/>
  <c r="S70" i="31" s="1"/>
  <c r="R52" i="31"/>
  <c r="S52" i="31" s="1"/>
  <c r="R26" i="31"/>
  <c r="S26" i="31" s="1"/>
  <c r="R45" i="31"/>
  <c r="S45" i="31" s="1"/>
  <c r="R25" i="31"/>
  <c r="S25" i="31" s="1"/>
  <c r="R46" i="31"/>
  <c r="S46" i="31" s="1"/>
  <c r="R32" i="31"/>
  <c r="S32" i="31" s="1"/>
  <c r="R67" i="31"/>
  <c r="S67" i="31" s="1"/>
  <c r="R41" i="31"/>
  <c r="S41" i="31" s="1"/>
  <c r="R69" i="31"/>
  <c r="S69" i="31" s="1"/>
  <c r="R37" i="31"/>
  <c r="S37" i="31" s="1"/>
  <c r="R68" i="31"/>
  <c r="S68" i="31" s="1"/>
  <c r="R42" i="31"/>
  <c r="S42" i="31" s="1"/>
  <c r="R61" i="31"/>
  <c r="S61" i="31" s="1"/>
  <c r="R43" i="31"/>
  <c r="S43" i="31" s="1"/>
  <c r="R33" i="31"/>
  <c r="S33" i="31" s="1"/>
  <c r="R48" i="31"/>
  <c r="S48" i="31" s="1"/>
  <c r="R38" i="31"/>
  <c r="S38" i="31" s="1"/>
  <c r="R57" i="31"/>
  <c r="S57" i="31" s="1"/>
  <c r="R31" i="31"/>
  <c r="S31" i="31" s="1"/>
  <c r="R34" i="31"/>
  <c r="S34" i="31" s="1"/>
  <c r="R39" i="31"/>
  <c r="S39" i="31" s="1"/>
  <c r="R58" i="31"/>
  <c r="S58" i="31" s="1"/>
  <c r="R40" i="31"/>
  <c r="S40" i="31" s="1"/>
  <c r="R59" i="31"/>
  <c r="S59" i="31" s="1"/>
  <c r="R49" i="31"/>
  <c r="S49" i="31" s="1"/>
  <c r="R64" i="31"/>
  <c r="S64" i="31" s="1"/>
  <c r="R54" i="31"/>
  <c r="S54" i="31" s="1"/>
  <c r="R27" i="31"/>
  <c r="S27" i="31" s="1"/>
  <c r="R63" i="31"/>
  <c r="S63" i="31" s="1"/>
  <c r="R53" i="31"/>
  <c r="S53" i="31" s="1"/>
  <c r="R28" i="31"/>
  <c r="S28" i="31" s="1"/>
  <c r="R47" i="31"/>
  <c r="S47" i="31" s="1"/>
  <c r="R66" i="31"/>
  <c r="S66" i="31" s="1"/>
  <c r="R35" i="31"/>
  <c r="S35" i="31" s="1"/>
  <c r="S24" i="31"/>
  <c r="R60" i="31"/>
  <c r="S60" i="31" s="1"/>
  <c r="C42" i="40"/>
  <c r="C43" i="40"/>
  <c r="E47" i="40"/>
  <c r="F47" i="40" s="1"/>
  <c r="E46" i="40"/>
  <c r="F46" i="40" s="1"/>
  <c r="I47" i="40"/>
  <c r="J47" i="40" s="1"/>
  <c r="S22" i="31" l="1"/>
  <c r="R22"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18" i="9"/>
  <c r="F4" i="52" s="1"/>
  <c r="B51" i="72" s="1"/>
  <c r="D118" i="9"/>
  <c r="H118" i="9"/>
  <c r="P39" i="9" s="1"/>
  <c r="Q39" i="9" s="1"/>
  <c r="D4" i="52" l="1"/>
  <c r="B47" i="72" s="1"/>
  <c r="M36" i="9"/>
  <c r="M35" i="9"/>
  <c r="M38" i="9"/>
  <c r="M34" i="9"/>
  <c r="M37" i="9"/>
  <c r="D119" i="9"/>
  <c r="D5" i="52" s="1"/>
  <c r="B49" i="72" s="1"/>
  <c r="F119" i="9"/>
  <c r="F5" i="52" s="1"/>
  <c r="B53" i="72" s="1"/>
  <c r="G118" i="9"/>
  <c r="H4" i="52"/>
  <c r="D14" i="74"/>
  <c r="H119" i="9"/>
  <c r="H5" i="52" s="1"/>
  <c r="I118" i="9"/>
  <c r="H101" i="9"/>
  <c r="C104" i="9"/>
  <c r="G4" i="52" l="1"/>
  <c r="B52" i="72" s="1"/>
  <c r="O34" i="9"/>
  <c r="P34" i="9" s="1"/>
  <c r="M39" i="9"/>
  <c r="M48" i="9"/>
  <c r="D5" i="53"/>
  <c r="H107" i="9"/>
  <c r="D45" i="9"/>
  <c r="C105" i="9"/>
  <c r="H102" i="9"/>
  <c r="D7" i="53" s="1"/>
  <c r="B21" i="72" s="1"/>
  <c r="I4" i="52"/>
  <c r="E118" i="9"/>
  <c r="E4" i="52" s="1"/>
  <c r="B48" i="72" s="1"/>
  <c r="F14" i="74"/>
  <c r="E14" i="74"/>
  <c r="Q34" i="9" l="1"/>
  <c r="P36" i="9"/>
  <c r="Q36" i="9" s="1"/>
  <c r="P37" i="9"/>
  <c r="Q37" i="9" s="1"/>
  <c r="P35" i="9"/>
  <c r="Q35" i="9" s="1"/>
  <c r="M49" i="9"/>
  <c r="D13" i="53"/>
  <c r="D122" i="9"/>
  <c r="H108" i="9"/>
  <c r="D15" i="53" s="1"/>
  <c r="B31" i="72" s="1"/>
  <c r="D52" i="9"/>
  <c r="C93" i="9"/>
  <c r="C86" i="9" s="1"/>
  <c r="C85" i="9"/>
  <c r="C72" i="9"/>
  <c r="C78" i="9"/>
  <c r="C73" i="9" s="1"/>
  <c r="D53" i="9"/>
  <c r="D55" i="9"/>
  <c r="M53" i="9" s="1"/>
  <c r="C64" i="9"/>
  <c r="C63" i="9" s="1"/>
  <c r="C67" i="9" s="1"/>
  <c r="B20" i="72"/>
  <c r="D6" i="53"/>
  <c r="B22" i="72" s="1"/>
  <c r="P38" i="9" l="1"/>
  <c r="C95" i="9"/>
  <c r="C96" i="9" s="1"/>
  <c r="E96" i="9" s="1"/>
  <c r="E97" i="9" s="1"/>
  <c r="D8" i="52"/>
  <c r="D123" i="9"/>
  <c r="D9" i="52" s="1"/>
  <c r="G14" i="74"/>
  <c r="L68" i="9"/>
  <c r="M68" i="9" s="1"/>
  <c r="L67" i="9"/>
  <c r="M67" i="9" s="1"/>
  <c r="L65" i="9"/>
  <c r="M65" i="9" s="1"/>
  <c r="L64" i="9"/>
  <c r="M64" i="9" s="1"/>
  <c r="L66" i="9"/>
  <c r="M66" i="9" s="1"/>
  <c r="L63" i="9"/>
  <c r="M63" i="9" s="1"/>
  <c r="D59" i="9"/>
  <c r="M55" i="9" s="1"/>
  <c r="C68" i="9"/>
  <c r="D54" i="9" s="1"/>
  <c r="D48" i="9" s="1"/>
  <c r="M52" i="9" s="1"/>
  <c r="C79" i="9"/>
  <c r="B30" i="72"/>
  <c r="D14" i="53"/>
  <c r="B32" i="72" s="1"/>
  <c r="M69" i="9" l="1"/>
  <c r="N69" i="9" s="1"/>
  <c r="C97" i="9"/>
  <c r="C80" i="9"/>
  <c r="E80" i="9" s="1"/>
  <c r="E81" i="9" s="1"/>
  <c r="C81" i="9" l="1"/>
  <c r="D58" i="9" s="1"/>
  <c r="D56" i="9" s="1"/>
  <c r="M54" i="9" s="1"/>
  <c r="N57" i="9" s="1"/>
  <c r="P57" i="9" s="1"/>
  <c r="N59" i="9" l="1"/>
  <c r="H111" i="9" s="1"/>
  <c r="N58" i="9"/>
  <c r="D126" i="9" l="1"/>
  <c r="D19" i="53"/>
  <c r="N61" i="9"/>
  <c r="H112" i="9" s="1"/>
  <c r="D21" i="53" s="1"/>
  <c r="B39" i="72" s="1"/>
  <c r="N60" i="9"/>
  <c r="D127" i="9" l="1"/>
  <c r="D13" i="52" s="1"/>
  <c r="I14" i="74"/>
  <c r="D12" i="52"/>
  <c r="B38" i="72"/>
  <c r="D20" i="53"/>
  <c r="B40" i="72" s="1"/>
  <c r="Y23" i="1"/>
  <c r="Y21" i="1"/>
  <c r="Y24" i="1"/>
  <c r="Y22" i="1"/>
  <c r="I28" i="74" l="1"/>
  <c r="Q38" i="9" l="1"/>
  <c r="D15" i="74" l="1"/>
  <c r="G15" i="74" l="1"/>
  <c r="B6" i="74" s="1"/>
  <c r="E15" i="74"/>
  <c r="F15" i="74"/>
  <c r="B5" i="74"/>
  <c r="Y26" i="1" l="1"/>
  <c r="A35" i="74"/>
  <c r="D5" i="74"/>
  <c r="C5" i="74"/>
  <c r="C6" i="74"/>
  <c r="D6" i="74"/>
  <c r="I15" i="74" l="1"/>
  <c r="I29" i="74" l="1"/>
  <c r="B8" i="74"/>
  <c r="A36" i="74"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I8" authorId="0" shapeId="0" xr:uid="{00000000-0006-0000-1A00-000001000000}">
      <text>
        <r>
          <rPr>
            <sz val="9"/>
            <rFont val="宋体"/>
            <family val="3"/>
            <charset val="134"/>
          </rPr>
          <t>张春辉:
按照销售收入提取，根据2021年1-2月收入，测算每月21000元</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8" authorId="0" shapeId="0" xr:uid="{FC851F21-ED02-431F-8909-6C33EF0DB39B}">
      <text>
        <r>
          <rPr>
            <b/>
            <sz val="9"/>
            <color indexed="81"/>
            <rFont val="宋体"/>
            <family val="3"/>
            <charset val="134"/>
          </rPr>
          <t>填写交易证明的类型，分为商品房合同、预售契约、买卖契约、认购书。</t>
        </r>
      </text>
    </comment>
    <comment ref="AX28" authorId="0" shapeId="0" xr:uid="{3245DE58-4B26-4B6A-98DB-47DC203B7552}">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8" authorId="0" shapeId="0" xr:uid="{6FEAFEBC-DCF6-4EB1-BB0C-AB407066FBC6}">
      <text>
        <r>
          <rPr>
            <b/>
            <sz val="9"/>
            <color indexed="81"/>
            <rFont val="宋体"/>
            <family val="3"/>
            <charset val="134"/>
          </rPr>
          <t>填写数值型数据，保留小数点后一位。</t>
        </r>
      </text>
    </comment>
    <comment ref="BG28" authorId="0" shapeId="0" xr:uid="{193D12B6-264C-4490-BA03-269D70913A53}">
      <text>
        <r>
          <rPr>
            <b/>
            <sz val="9"/>
            <color indexed="81"/>
            <rFont val="宋体"/>
            <family val="3"/>
            <charset val="134"/>
          </rPr>
          <t>此项填写合同日期，无合同日期填写预售登记日期，均无则在备注中注明</t>
        </r>
      </text>
    </comment>
    <comment ref="BH28" authorId="0" shapeId="0" xr:uid="{1207F630-0D6E-448E-9699-EB3C97B37938}">
      <text>
        <r>
          <rPr>
            <b/>
            <sz val="9"/>
            <color indexed="81"/>
            <rFont val="宋体"/>
            <family val="3"/>
            <charset val="134"/>
          </rPr>
          <t>在补充过程中发现合同遗漏的项目，不能正常补充的需注明。</t>
        </r>
      </text>
    </comment>
    <comment ref="BL28" authorId="1" shapeId="0" xr:uid="{87349C38-3006-4712-A436-5EC46992614C}">
      <text>
        <r>
          <rPr>
            <b/>
            <sz val="9"/>
            <color indexed="81"/>
            <rFont val="宋体"/>
            <family val="3"/>
            <charset val="134"/>
          </rPr>
          <t>销售方式分为现售和预售两种方式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D17" authorId="2" shapeId="0" xr:uid="{00000000-0006-0000-1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05000000}">
      <text>
        <r>
          <rPr>
            <sz val="9"/>
            <color indexed="81"/>
            <rFont val="宋体"/>
            <family val="3"/>
            <charset val="134"/>
          </rPr>
          <t xml:space="preserve">需在此处填写剩余土地年限
</t>
        </r>
      </text>
    </comment>
    <comment ref="C9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12000000}">
      <text>
        <r>
          <rPr>
            <b/>
            <sz val="9"/>
            <color indexed="81"/>
            <rFont val="宋体"/>
            <family val="3"/>
            <charset val="134"/>
          </rPr>
          <t xml:space="preserve">容积率
</t>
        </r>
      </text>
    </comment>
    <comment ref="D101" authorId="0" shapeId="0" xr:uid="{00000000-0006-0000-1400-000013000000}">
      <text>
        <r>
          <rPr>
            <b/>
            <sz val="9"/>
            <color indexed="81"/>
            <rFont val="宋体"/>
            <family val="3"/>
            <charset val="134"/>
          </rPr>
          <t xml:space="preserve">容积率
</t>
        </r>
      </text>
    </comment>
    <comment ref="E101" authorId="0" shapeId="0" xr:uid="{00000000-0006-0000-1400-000014000000}">
      <text>
        <r>
          <rPr>
            <b/>
            <sz val="9"/>
            <color indexed="81"/>
            <rFont val="宋体"/>
            <family val="3"/>
            <charset val="134"/>
          </rPr>
          <t xml:space="preserve">容积率
</t>
        </r>
      </text>
    </comment>
    <comment ref="F101" authorId="0" shapeId="0" xr:uid="{00000000-0006-0000-1400-000015000000}">
      <text>
        <r>
          <rPr>
            <b/>
            <sz val="9"/>
            <color indexed="81"/>
            <rFont val="宋体"/>
            <family val="3"/>
            <charset val="134"/>
          </rPr>
          <t xml:space="preserve">容积率
</t>
        </r>
      </text>
    </comment>
    <comment ref="G101" authorId="0" shapeId="0" xr:uid="{00000000-0006-0000-1400-000016000000}">
      <text>
        <r>
          <rPr>
            <b/>
            <sz val="9"/>
            <color indexed="81"/>
            <rFont val="宋体"/>
            <family val="3"/>
            <charset val="134"/>
          </rPr>
          <t xml:space="preserve">容积率
</t>
        </r>
      </text>
    </comment>
    <comment ref="H101" authorId="0" shapeId="0" xr:uid="{00000000-0006-0000-1400-000017000000}">
      <text>
        <r>
          <rPr>
            <b/>
            <sz val="9"/>
            <color indexed="81"/>
            <rFont val="宋体"/>
            <family val="3"/>
            <charset val="134"/>
          </rPr>
          <t xml:space="preserve">容积率
</t>
        </r>
      </text>
    </comment>
    <comment ref="I101" authorId="0" shapeId="0" xr:uid="{00000000-0006-0000-1400-000018000000}">
      <text>
        <r>
          <rPr>
            <b/>
            <sz val="9"/>
            <color indexed="81"/>
            <rFont val="宋体"/>
            <family val="3"/>
            <charset val="134"/>
          </rPr>
          <t xml:space="preserve">容积率
</t>
        </r>
      </text>
    </comment>
    <comment ref="J101" authorId="0" shapeId="0" xr:uid="{00000000-0006-0000-1400-000019000000}">
      <text>
        <r>
          <rPr>
            <b/>
            <sz val="9"/>
            <color indexed="81"/>
            <rFont val="宋体"/>
            <family val="3"/>
            <charset val="134"/>
          </rPr>
          <t xml:space="preserve">容积率
</t>
        </r>
      </text>
    </comment>
    <comment ref="K101" authorId="0" shapeId="0" xr:uid="{00000000-0006-0000-1400-00001A000000}">
      <text>
        <r>
          <rPr>
            <b/>
            <sz val="9"/>
            <color indexed="81"/>
            <rFont val="宋体"/>
            <family val="3"/>
            <charset val="134"/>
          </rPr>
          <t xml:space="preserve">容积率
</t>
        </r>
      </text>
    </comment>
    <comment ref="L101" authorId="0" shapeId="0" xr:uid="{00000000-0006-0000-1400-00001B000000}">
      <text>
        <r>
          <rPr>
            <b/>
            <sz val="9"/>
            <color indexed="81"/>
            <rFont val="宋体"/>
            <family val="3"/>
            <charset val="134"/>
          </rPr>
          <t xml:space="preserve">容积率
</t>
        </r>
      </text>
    </comment>
    <comment ref="M101" authorId="0" shapeId="0" xr:uid="{00000000-0006-0000-1400-00001C000000}">
      <text>
        <r>
          <rPr>
            <b/>
            <sz val="9"/>
            <color indexed="81"/>
            <rFont val="宋体"/>
            <family val="3"/>
            <charset val="134"/>
          </rPr>
          <t xml:space="preserve">容积率
</t>
        </r>
      </text>
    </comment>
    <comment ref="N101" authorId="0" shapeId="0" xr:uid="{00000000-0006-0000-1400-00001D000000}">
      <text>
        <r>
          <rPr>
            <b/>
            <sz val="9"/>
            <color indexed="81"/>
            <rFont val="宋体"/>
            <family val="3"/>
            <charset val="134"/>
          </rPr>
          <t xml:space="preserve">容积率
</t>
        </r>
      </text>
    </comment>
    <comment ref="C108"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<sst xmlns="http://schemas.openxmlformats.org/spreadsheetml/2006/main" count="8565" uniqueCount="3726">
  <si>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</si>
  <si>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</si>
  <si>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</si>
  <si>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</si>
  <si>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</si>
  <si>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</si>
  <si>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</si>
  <si>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</si>
  <si>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</si>
  <si>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</si>
  <si>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</si>
  <si>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</si>
  <si>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</si>
  <si>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</si>
  <si>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</si>
  <si>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</si>
  <si>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</si>
  <si>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</si>
  <si>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</si>
  <si>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</si>
  <si>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</si>
  <si>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</si>
  <si>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</si>
  <si>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</si>
  <si>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</si>
  <si>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</si>
  <si>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</si>
  <si>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</si>
  <si>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</si>
  <si>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</si>
  <si>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</si>
  <si>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</si>
  <si>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</si>
  <si>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</si>
  <si>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</si>
  <si>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</si>
  <si>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</si>
  <si>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</si>
  <si>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</si>
  <si>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</si>
  <si>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</si>
  <si>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</si>
  <si>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</si>
  <si>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</si>
  <si>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</si>
  <si>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</si>
  <si>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</si>
  <si>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</si>
  <si>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</si>
  <si>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</si>
  <si>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</si>
  <si>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</si>
  <si>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</si>
  <si>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</si>
  <si>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</si>
  <si>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</si>
  <si>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</si>
  <si>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</si>
  <si>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</si>
  <si>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</si>
  <si>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</si>
  <si>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</si>
  <si>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</si>
  <si>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</si>
  <si>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</si>
  <si>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</si>
  <si>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</si>
  <si>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</si>
  <si>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</si>
  <si>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</si>
  <si>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</si>
  <si>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</si>
  <si>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</si>
  <si>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</si>
  <si>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</si>
  <si>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</si>
  <si>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</si>
  <si>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</si>
  <si>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</si>
  <si>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</si>
  <si>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</si>
  <si>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</si>
  <si>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</si>
  <si>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</si>
  <si>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</si>
  <si>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</si>
  <si>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</si>
  <si>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</si>
  <si>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</si>
  <si>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</si>
  <si>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</si>
  <si>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</si>
  <si>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</si>
  <si>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</si>
  <si>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</si>
  <si>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</si>
  <si>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</si>
  <si>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</si>
  <si>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</si>
  <si>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</si>
  <si>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</si>
  <si>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</si>
  <si>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</si>
  <si>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</si>
  <si>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</si>
  <si>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</si>
  <si>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</si>
  <si>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</si>
  <si>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</si>
  <si>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</si>
  <si>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</si>
  <si>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</si>
  <si>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</si>
  <si>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</si>
  <si>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</si>
  <si>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</si>
  <si>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</si>
  <si>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</si>
  <si>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</si>
  <si>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</si>
  <si>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</si>
  <si>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</si>
  <si>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</si>
  <si>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</si>
  <si>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</si>
  <si>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</si>
  <si>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</si>
  <si>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</si>
  <si>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</si>
  <si>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</si>
  <si>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</si>
  <si>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</si>
  <si>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</si>
  <si>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</si>
  <si>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</si>
  <si>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</si>
  <si>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</si>
  <si>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</si>
  <si>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</si>
  <si>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</si>
  <si>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</si>
  <si>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</si>
  <si>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</si>
  <si>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</si>
  <si>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</si>
  <si>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</si>
  <si>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</si>
  <si>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</si>
  <si>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</si>
  <si>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</si>
  <si>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</si>
  <si>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</si>
  <si>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</si>
  <si>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</si>
  <si>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</si>
  <si>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</si>
  <si>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</si>
  <si>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</si>
  <si>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</si>
  <si>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</si>
  <si>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</si>
  <si>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</si>
  <si>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</si>
  <si>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</si>
  <si>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</si>
  <si>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</si>
  <si>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</si>
  <si>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</si>
  <si>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</si>
  <si>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</si>
  <si>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</si>
  <si>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</si>
  <si>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</si>
  <si>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</si>
  <si>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</si>
  <si>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</si>
  <si>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</si>
  <si>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</si>
  <si>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</si>
  <si>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</si>
  <si>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</si>
  <si>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</si>
  <si>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</si>
  <si>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</si>
  <si>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</si>
  <si>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</si>
  <si>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</si>
  <si>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</si>
  <si>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</si>
  <si>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</si>
  <si>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</si>
  <si>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</si>
  <si>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</si>
  <si>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</si>
  <si>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</si>
  <si>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</si>
  <si>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</si>
  <si>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</si>
  <si>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</si>
  <si>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</si>
  <si>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</si>
  <si>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</si>
  <si>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</si>
  <si>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</si>
  <si>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</si>
  <si>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</si>
  <si>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</si>
  <si>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</si>
  <si>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</si>
  <si>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</si>
  <si>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</si>
  <si>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</si>
  <si>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</si>
  <si>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</si>
  <si>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</si>
  <si>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</si>
  <si>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</si>
  <si>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</si>
  <si>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</si>
  <si>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</si>
  <si>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</si>
  <si>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</si>
  <si>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</si>
  <si>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</si>
  <si>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</si>
  <si>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</si>
  <si>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</si>
  <si>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</si>
  <si>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</si>
  <si>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</si>
  <si>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</si>
  <si>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</si>
  <si>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</si>
  <si>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</si>
  <si>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</si>
  <si>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</si>
  <si>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</si>
  <si>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</si>
  <si>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</si>
  <si>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</si>
  <si>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</si>
  <si>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</si>
  <si>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</si>
  <si>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</si>
  <si>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</si>
  <si>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</si>
  <si>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</si>
  <si>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</si>
  <si>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</si>
  <si>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</si>
  <si>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</si>
  <si>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</si>
  <si>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</si>
  <si>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</si>
  <si>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</si>
  <si>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</si>
  <si>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</si>
  <si>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</si>
  <si>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</si>
  <si>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</si>
  <si>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</si>
  <si>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</si>
  <si>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</si>
  <si>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</si>
  <si>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</si>
  <si>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</si>
  <si>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</si>
  <si>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</si>
  <si>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</si>
  <si>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</si>
  <si>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</si>
  <si>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</si>
  <si>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</si>
  <si>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</si>
  <si>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</si>
  <si>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</si>
  <si>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</si>
  <si>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</si>
  <si>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</si>
  <si>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</si>
  <si>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</si>
  <si>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</si>
  <si>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</si>
  <si>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</si>
  <si>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</si>
  <si>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</si>
  <si>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</si>
  <si>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</si>
  <si>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</si>
  <si>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</si>
  <si>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</si>
  <si>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</si>
  <si>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</si>
  <si>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</si>
  <si>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</si>
  <si>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</si>
  <si>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</si>
  <si>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</si>
  <si>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</si>
  <si>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</si>
  <si>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</si>
  <si>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</si>
  <si>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</si>
  <si>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</si>
  <si>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</si>
  <si>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</si>
  <si>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</si>
  <si>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</si>
  <si>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</si>
  <si>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</si>
  <si>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</si>
  <si>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</si>
  <si>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</si>
  <si>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</si>
  <si>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</si>
  <si>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</si>
  <si>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</si>
  <si>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</si>
  <si>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</si>
  <si>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</si>
  <si>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</si>
  <si>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</si>
  <si>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</si>
  <si>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</si>
  <si>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</si>
  <si>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</si>
  <si>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</si>
  <si>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</si>
  <si>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</si>
  <si>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</si>
  <si>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</si>
  <si>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</si>
  <si>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</si>
  <si>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</si>
  <si>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</si>
  <si>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</si>
  <si>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</si>
  <si>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</si>
  <si>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</si>
  <si>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</si>
  <si>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</si>
  <si>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</si>
  <si>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</si>
  <si>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</si>
  <si>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</si>
  <si>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</si>
  <si>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</si>
  <si>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</si>
  <si>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</si>
  <si>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</si>
  <si>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</si>
  <si>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</si>
  <si>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</si>
  <si>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</si>
  <si>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</si>
  <si>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</si>
  <si>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</si>
  <si>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</si>
  <si>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</si>
  <si>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</si>
  <si>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</si>
  <si>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</si>
  <si>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</si>
  <si>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</si>
  <si>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</si>
  <si>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</si>
  <si>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</si>
  <si>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</si>
  <si>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</si>
  <si>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</si>
  <si>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</si>
  <si>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</si>
  <si>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</si>
  <si>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</si>
  <si>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</si>
  <si>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</si>
  <si>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</si>
  <si>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</si>
  <si>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</si>
  <si>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</si>
  <si>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</si>
  <si>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</si>
  <si>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</si>
  <si>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</si>
  <si>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</si>
  <si>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</si>
  <si>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</si>
  <si>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</si>
  <si>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</si>
  <si>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</si>
  <si>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</si>
  <si>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</si>
  <si>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</si>
  <si>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</si>
  <si>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</si>
  <si>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</si>
  <si>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</si>
  <si>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</si>
  <si>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</si>
  <si>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</si>
  <si>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</si>
  <si>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</si>
  <si>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</si>
  <si>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</si>
  <si>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</si>
  <si>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</si>
  <si>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</si>
  <si>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</si>
  <si>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</si>
  <si>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</si>
  <si>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</si>
  <si>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</si>
  <si>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</si>
  <si>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</si>
  <si>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</si>
  <si>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</si>
  <si>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</si>
  <si>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</si>
  <si>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</si>
  <si>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</si>
  <si>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</si>
  <si>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</si>
  <si>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</si>
  <si>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</si>
  <si>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</si>
  <si>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</si>
  <si>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</si>
  <si>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</si>
  <si>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</si>
  <si>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</si>
  <si>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</si>
  <si>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</si>
  <si>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</si>
  <si>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</si>
  <si>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</si>
  <si>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</si>
  <si>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</si>
  <si>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</si>
  <si>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</si>
  <si>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</si>
  <si>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</si>
  <si>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</si>
  <si>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</si>
  <si>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</si>
  <si>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</si>
  <si>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</si>
  <si>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</si>
  <si>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</si>
  <si>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</si>
  <si>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</si>
  <si>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</si>
  <si>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</si>
  <si>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</si>
  <si>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</si>
  <si>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</si>
  <si>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</si>
  <si>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</si>
  <si>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</si>
  <si>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</si>
  <si>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</si>
  <si>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</si>
  <si>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</si>
  <si>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</si>
  <si>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</si>
  <si>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</si>
  <si>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</si>
  <si>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</si>
  <si>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</si>
  <si>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</si>
  <si>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</si>
  <si>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</si>
  <si>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</si>
  <si>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</si>
  <si>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</si>
  <si>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</si>
  <si>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</si>
  <si>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</si>
  <si>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</si>
  <si>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</si>
  <si>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</si>
  <si>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</si>
  <si>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</si>
  <si>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</si>
  <si>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</si>
  <si>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</si>
  <si>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</si>
  <si>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</si>
  <si>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</si>
  <si>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</si>
  <si>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</si>
  <si>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</si>
  <si>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</si>
  <si>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</si>
  <si>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</si>
  <si>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</si>
  <si>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</si>
  <si>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</si>
  <si>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</si>
  <si>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</si>
  <si>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</si>
  <si>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</si>
  <si>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</si>
  <si>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</si>
  <si>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</si>
  <si>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</si>
  <si>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</si>
  <si>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</si>
  <si>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</si>
  <si>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</si>
  <si>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</si>
  <si>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</si>
  <si>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</si>
  <si>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</si>
  <si>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</si>
  <si>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</si>
  <si>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</si>
  <si>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</si>
  <si>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</si>
  <si>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</si>
  <si>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</si>
  <si>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</si>
  <si>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</si>
  <si>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</si>
  <si>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</si>
  <si>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</si>
  <si>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</si>
  <si>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</si>
  <si>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</si>
  <si>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</si>
  <si>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</si>
  <si>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</si>
  <si>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</si>
  <si>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</si>
  <si>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</si>
  <si>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</si>
  <si>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</si>
  <si>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</si>
  <si>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</si>
  <si>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</si>
  <si>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</si>
  <si>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</si>
  <si>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</si>
  <si>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</si>
  <si>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</si>
  <si>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</si>
  <si>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</si>
  <si>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</si>
  <si>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</si>
  <si>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</si>
  <si>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</si>
  <si>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</si>
  <si>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</si>
  <si>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</si>
  <si>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</si>
  <si>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</si>
  <si>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</si>
  <si>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</si>
  <si>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</si>
  <si>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</si>
  <si>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</si>
  <si>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</si>
  <si>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</si>
  <si>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</si>
  <si>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</si>
  <si>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</si>
  <si>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</si>
  <si>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</si>
  <si>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</si>
  <si>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</si>
  <si>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</si>
  <si>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</si>
  <si>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</si>
  <si>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</si>
  <si>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</si>
  <si>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</si>
  <si>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</si>
  <si>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</si>
  <si>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</si>
  <si>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</si>
  <si>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</si>
  <si>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</si>
  <si>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</si>
  <si>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</si>
  <si>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</si>
  <si>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</si>
  <si>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</si>
  <si>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</si>
  <si>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</si>
  <si>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</si>
  <si>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</si>
  <si>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</si>
  <si>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</si>
  <si>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</si>
  <si>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</si>
  <si>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</si>
  <si>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</si>
  <si>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</si>
  <si>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</si>
  <si>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</si>
  <si>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</si>
  <si>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</si>
  <si>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</si>
  <si>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</si>
  <si>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</si>
  <si>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</si>
  <si>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</si>
  <si>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</si>
  <si>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</si>
  <si>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</si>
  <si>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</si>
  <si>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</si>
  <si>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</si>
  <si>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</si>
  <si>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</si>
  <si>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</si>
  <si>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</si>
  <si>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</si>
  <si>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</si>
  <si>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</si>
  <si>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</si>
  <si>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</si>
  <si>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</si>
  <si>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</si>
  <si>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</si>
  <si>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</si>
  <si>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</si>
  <si>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</si>
  <si>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</si>
  <si>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</si>
  <si>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</si>
  <si>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</si>
  <si>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</si>
  <si>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</si>
  <si>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</si>
  <si>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</si>
  <si>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</si>
  <si>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</si>
  <si>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</si>
  <si>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</si>
  <si>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</si>
  <si>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</si>
  <si>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</si>
  <si>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</si>
  <si>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</si>
  <si>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</si>
  <si>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</si>
  <si>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</si>
  <si>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</si>
  <si>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</si>
  <si>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</si>
  <si>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</si>
  <si>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</si>
  <si>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</si>
  <si>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</si>
  <si>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</si>
  <si>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</si>
  <si>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</si>
  <si>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</si>
  <si>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</si>
  <si>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</si>
  <si>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</si>
  <si>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</si>
  <si>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</si>
  <si>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</si>
  <si>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</si>
  <si>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</si>
  <si>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</si>
  <si>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</si>
  <si>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</si>
  <si>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</si>
  <si>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</si>
  <si>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</si>
  <si>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</si>
  <si>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</si>
  <si>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</si>
  <si>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</si>
  <si>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</si>
  <si>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</si>
  <si>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</si>
  <si>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</si>
  <si>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</si>
  <si>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</si>
  <si>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</si>
  <si>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</si>
  <si>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</si>
  <si>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</si>
  <si>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</si>
  <si>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</si>
  <si>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</si>
  <si>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</si>
  <si>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</si>
  <si>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</si>
  <si>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</si>
  <si>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</si>
  <si>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</si>
  <si>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</si>
  <si>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</si>
  <si>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</si>
  <si>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</si>
  <si>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</si>
  <si>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</si>
  <si>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</si>
  <si>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</si>
  <si>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</si>
  <si>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</si>
  <si>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</si>
  <si>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</si>
  <si>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</si>
  <si>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</si>
  <si>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</si>
  <si>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</si>
  <si>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</si>
  <si>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</si>
  <si>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</si>
  <si>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</si>
  <si>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</si>
  <si>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</si>
  <si>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</si>
  <si>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</si>
  <si>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</si>
  <si>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</si>
  <si>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</si>
  <si>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</si>
  <si>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</si>
  <si>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</si>
  <si>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</si>
  <si>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</si>
  <si>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</si>
  <si>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</si>
  <si>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</si>
  <si>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</si>
  <si>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</si>
  <si>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</si>
  <si>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</si>
  <si>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</si>
  <si>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</si>
  <si>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</si>
  <si>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</si>
  <si>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</si>
  <si>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</si>
  <si>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</si>
  <si>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</si>
  <si>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</si>
  <si>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</si>
  <si>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</si>
  <si>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</si>
  <si>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</si>
  <si>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</si>
  <si>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</si>
  <si>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</si>
  <si>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</si>
  <si>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</si>
  <si>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</si>
  <si>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</si>
  <si>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</si>
  <si>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</si>
  <si>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</si>
  <si>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</si>
  <si>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</si>
  <si>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</si>
  <si>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</si>
  <si>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</si>
  <si>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</si>
  <si>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</si>
  <si>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</si>
  <si>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</si>
  <si>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</si>
  <si>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</si>
  <si>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</si>
  <si>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</si>
  <si>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</si>
  <si>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</si>
  <si>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</si>
  <si>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</si>
  <si>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</si>
  <si>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</si>
  <si>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</si>
  <si>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</si>
  <si>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</si>
  <si>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</si>
  <si>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</si>
  <si>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</si>
  <si>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</si>
  <si>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</si>
  <si>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</si>
  <si>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</si>
  <si>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</si>
  <si>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</si>
  <si>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</si>
  <si>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</si>
  <si>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</si>
  <si>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</si>
  <si>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</si>
  <si>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</si>
  <si>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</si>
  <si>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</si>
  <si>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</si>
  <si>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</si>
  <si>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</si>
  <si>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</si>
  <si>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</si>
  <si>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</si>
  <si>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</si>
  <si>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</si>
  <si>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</si>
  <si>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</si>
  <si>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</si>
  <si>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</si>
  <si>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</si>
  <si>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</si>
  <si>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</si>
  <si>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</si>
  <si>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</si>
  <si>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</si>
  <si>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</si>
  <si>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</si>
  <si>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</si>
  <si>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</si>
  <si>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</si>
  <si>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</si>
  <si>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</si>
  <si>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</si>
  <si>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</si>
  <si>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</si>
  <si>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</si>
  <si>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</si>
  <si>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</si>
  <si>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</si>
  <si>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</si>
  <si>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</si>
  <si>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</si>
  <si>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</si>
  <si>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</si>
  <si>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</si>
  <si>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</si>
  <si>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</si>
  <si>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</si>
  <si>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</si>
  <si>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</si>
  <si>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</si>
  <si>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</si>
  <si>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</si>
  <si>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</si>
  <si>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</si>
  <si>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</si>
  <si>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</si>
  <si>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</si>
  <si>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</si>
  <si>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</si>
  <si>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</si>
  <si>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</si>
  <si>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</si>
  <si>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</si>
  <si>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</si>
  <si>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</si>
  <si>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</si>
  <si>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</si>
  <si>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</si>
  <si>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</si>
  <si>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</si>
  <si>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</si>
  <si>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</si>
  <si>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</si>
  <si>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</si>
  <si>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</si>
  <si>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</si>
  <si>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</si>
  <si>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</si>
  <si>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</si>
  <si>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</si>
  <si>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</si>
  <si>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</si>
  <si>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</si>
  <si>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</si>
  <si>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</si>
  <si>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</si>
  <si>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</si>
  <si>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</si>
  <si>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</si>
  <si>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</si>
  <si>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</si>
  <si>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</si>
  <si>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</si>
  <si>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</si>
  <si>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</si>
  <si>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</si>
  <si>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</si>
  <si>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</si>
  <si>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</si>
  <si>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</si>
  <si>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</si>
  <si>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</si>
  <si>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</si>
  <si>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</si>
  <si>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</si>
  <si>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</si>
  <si>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</si>
  <si>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</si>
  <si>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</si>
  <si>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</si>
  <si>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</si>
  <si>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</si>
  <si>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</si>
  <si>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</si>
  <si>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</si>
  <si>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</si>
  <si>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</si>
  <si>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</si>
  <si>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</si>
  <si>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</si>
  <si>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</si>
  <si>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</si>
  <si>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</si>
  <si>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</si>
  <si>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</si>
  <si>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</si>
  <si>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</si>
  <si>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</si>
  <si>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</si>
  <si>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</si>
  <si>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</si>
  <si>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</si>
  <si>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</si>
  <si>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</si>
  <si>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</si>
  <si>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</si>
  <si>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</si>
  <si>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</si>
  <si>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</si>
  <si>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</si>
  <si>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</si>
  <si>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</si>
  <si>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</si>
  <si>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</si>
  <si>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</si>
  <si>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</si>
  <si>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</si>
  <si>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</si>
  <si>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</si>
  <si>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</si>
  <si>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</si>
  <si>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</si>
  <si>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</si>
  <si>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</si>
  <si>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</si>
  <si>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</si>
  <si>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</si>
  <si>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</si>
  <si>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</si>
  <si>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</si>
  <si>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</si>
  <si>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</si>
  <si>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</si>
  <si>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</si>
  <si>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</si>
  <si>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</si>
  <si>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</si>
  <si>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</si>
  <si>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</si>
  <si>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</si>
  <si>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</si>
  <si>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</si>
  <si>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</si>
  <si>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</si>
  <si>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</si>
  <si>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</si>
  <si>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</si>
  <si>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</si>
  <si>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</si>
  <si>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</si>
  <si>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</si>
  <si>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</si>
  <si>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</si>
  <si>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</si>
  <si>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</si>
  <si>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</si>
  <si>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</si>
  <si>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</si>
  <si>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</si>
  <si>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</si>
  <si>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</si>
  <si>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</si>
  <si>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</si>
  <si>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</si>
  <si>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</si>
  <si>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</si>
  <si>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</si>
  <si>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</si>
  <si>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</si>
  <si>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</si>
  <si>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</si>
  <si>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</si>
  <si>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</si>
  <si>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</si>
  <si>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</si>
  <si>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</si>
  <si>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</si>
  <si>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</si>
  <si>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</si>
  <si>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</si>
  <si>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</si>
  <si>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</si>
  <si>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</si>
  <si>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</si>
  <si>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</si>
  <si>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</si>
  <si>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</si>
  <si>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</si>
  <si>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</si>
  <si>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</si>
  <si>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</si>
  <si>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</si>
  <si>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</si>
  <si>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</si>
  <si>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</si>
  <si>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</si>
  <si>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</si>
  <si>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</si>
  <si>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</si>
  <si>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</si>
  <si>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</si>
  <si>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</si>
  <si>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</si>
  <si>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</si>
  <si>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</si>
  <si>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</si>
  <si>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</si>
  <si>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</si>
  <si>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</si>
  <si>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</si>
  <si>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</si>
  <si>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</si>
  <si>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</si>
  <si>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</si>
  <si>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</si>
  <si>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</si>
  <si>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</si>
  <si>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</si>
  <si>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</si>
  <si>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</si>
  <si>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</si>
  <si>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</si>
  <si>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</si>
  <si>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</si>
  <si>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</si>
  <si>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</si>
  <si>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</si>
  <si>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</si>
  <si>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</si>
  <si>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</si>
  <si>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</si>
  <si>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</si>
  <si>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</si>
  <si>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</si>
  <si>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</si>
  <si>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</si>
  <si>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</si>
  <si>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</si>
  <si>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</si>
  <si>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</si>
  <si>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</si>
  <si>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</si>
  <si>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</si>
  <si>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</si>
  <si>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</si>
  <si>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</si>
  <si>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</si>
  <si>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</si>
  <si>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</si>
  <si>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</si>
  <si>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</si>
  <si>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</si>
  <si>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</si>
  <si>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</si>
  <si>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</si>
  <si>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</si>
  <si>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</si>
  <si>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</si>
  <si>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</si>
  <si>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</si>
  <si>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</si>
  <si>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</si>
  <si>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</si>
  <si>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</si>
  <si>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</si>
  <si>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</si>
  <si>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</si>
  <si>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</si>
  <si>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</si>
  <si>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</si>
  <si>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</si>
  <si>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</si>
  <si>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</si>
  <si>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</si>
  <si>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</si>
  <si>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</si>
  <si>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</si>
  <si>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</si>
  <si>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</si>
  <si>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</si>
  <si>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</si>
  <si>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</si>
  <si>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</si>
  <si>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</si>
  <si>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</si>
  <si>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</si>
  <si>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</si>
  <si>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</si>
  <si>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</si>
  <si>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</si>
  <si>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</si>
  <si>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</si>
  <si>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</si>
  <si>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</si>
  <si>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</si>
  <si>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</si>
  <si>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</si>
  <si>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</si>
  <si>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</si>
  <si>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</si>
  <si>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</si>
  <si>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</si>
  <si>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</si>
  <si>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</si>
  <si>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</si>
  <si>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</si>
  <si>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</si>
  <si>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</si>
  <si>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</si>
  <si>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</si>
  <si>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</si>
  <si>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</si>
  <si>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</si>
  <si>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</si>
  <si>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</si>
  <si>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</si>
  <si>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</si>
  <si>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</si>
  <si>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</si>
  <si>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</si>
  <si>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</si>
  <si>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</si>
  <si>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</si>
  <si>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</si>
  <si>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</si>
  <si>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</si>
  <si>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</si>
  <si>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</si>
  <si>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</si>
  <si>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</si>
  <si>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</si>
  <si>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</si>
  <si>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</si>
  <si>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</si>
  <si>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</si>
  <si>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</si>
  <si>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</si>
  <si>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</si>
  <si>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</si>
  <si>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</si>
  <si>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</si>
  <si>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</si>
  <si>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</si>
  <si>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</si>
  <si>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</si>
  <si>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</si>
  <si>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</si>
  <si>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</si>
  <si>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</si>
  <si>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</si>
  <si>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</si>
  <si>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</si>
  <si>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</si>
  <si>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</si>
  <si>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</si>
  <si>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</si>
  <si>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</si>
  <si>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</si>
  <si>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</si>
  <si>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</si>
  <si>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</si>
  <si>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</si>
  <si>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</si>
  <si>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</si>
  <si>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</si>
  <si>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</si>
  <si>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</si>
  <si>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</si>
  <si>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</si>
  <si>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</si>
  <si>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</si>
  <si>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</si>
  <si>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</si>
  <si>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</si>
  <si>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</si>
  <si>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</si>
  <si>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</si>
  <si>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</si>
  <si>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</si>
  <si>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</si>
  <si>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</si>
  <si>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</si>
  <si>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</si>
  <si>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</si>
  <si>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</si>
  <si>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</si>
  <si>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</si>
  <si>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</si>
  <si>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</si>
  <si>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</si>
  <si>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</si>
  <si>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</si>
  <si>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</si>
  <si>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</si>
  <si>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</si>
  <si>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</si>
  <si>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</si>
  <si>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</si>
  <si>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</si>
  <si>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</si>
  <si>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</si>
  <si>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</si>
  <si>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</si>
  <si>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</si>
  <si>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</si>
  <si>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</si>
  <si>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</si>
  <si>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</si>
  <si>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</si>
  <si>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</si>
  <si>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</si>
  <si>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</si>
  <si>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</si>
  <si>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</si>
  <si>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</si>
  <si>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</si>
  <si>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</si>
  <si>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</si>
  <si>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</si>
  <si>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</si>
  <si>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</si>
  <si>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</si>
  <si>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</si>
  <si>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</si>
  <si>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</si>
  <si>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</si>
  <si>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</si>
  <si>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</si>
  <si>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</si>
  <si>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</si>
  <si>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</si>
  <si>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</si>
  <si>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</si>
  <si>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</si>
  <si>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</si>
  <si>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</si>
  <si>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</si>
  <si>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</si>
  <si>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</si>
  <si>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</si>
  <si>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</si>
  <si>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</si>
  <si>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</si>
  <si>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</si>
  <si>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</si>
  <si>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</si>
  <si>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</si>
  <si>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</si>
  <si>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</si>
  <si>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</si>
  <si>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</si>
  <si>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</si>
  <si>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</si>
  <si>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</si>
  <si>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</si>
  <si>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</si>
  <si>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</si>
  <si>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</si>
  <si>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</si>
  <si>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</si>
  <si>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</si>
  <si>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</si>
  <si>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</si>
  <si>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</si>
  <si>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</si>
  <si>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</si>
  <si>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</si>
  <si>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</si>
  <si>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</si>
  <si>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</si>
  <si>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</si>
  <si>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</si>
  <si>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</si>
  <si>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</si>
  <si>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</si>
  <si>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</si>
  <si>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</si>
  <si>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</si>
  <si>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</si>
  <si>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</si>
  <si>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</si>
  <si>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</si>
  <si>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</si>
  <si>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</si>
  <si>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</si>
  <si>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</si>
  <si>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</si>
  <si>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</si>
  <si>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</si>
  <si>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</si>
  <si>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</si>
  <si>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</si>
  <si>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</si>
  <si>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</si>
  <si>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</si>
  <si>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</si>
  <si>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</si>
  <si>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</si>
  <si>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</si>
  <si>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</si>
  <si>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</si>
  <si>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</si>
  <si>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</si>
  <si>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</si>
  <si>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</si>
  <si>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</si>
  <si>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</si>
  <si>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</si>
  <si>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</si>
  <si>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</si>
  <si>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</si>
  <si>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</si>
  <si>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</si>
  <si>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</si>
  <si>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</si>
  <si>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</si>
  <si>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</si>
  <si>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</si>
  <si>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</si>
  <si>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</si>
  <si>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</si>
  <si>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</si>
  <si>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</si>
  <si>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</si>
  <si>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</si>
  <si>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</si>
  <si>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</si>
  <si>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</si>
  <si>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</si>
  <si>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</si>
  <si>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</si>
  <si>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</si>
  <si>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</si>
  <si>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</si>
  <si>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</si>
  <si>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</si>
  <si>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</si>
  <si>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</si>
  <si>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</si>
  <si>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</si>
  <si>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</si>
  <si>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</si>
  <si>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</si>
  <si>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</si>
  <si>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</si>
  <si>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</si>
  <si>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</si>
  <si>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</si>
  <si>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</si>
  <si>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</si>
  <si>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</si>
  <si>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</si>
  <si>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</si>
  <si>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</si>
  <si>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</si>
  <si>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</si>
  <si>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</si>
  <si>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</si>
  <si>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</si>
  <si>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</si>
  <si>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</si>
  <si>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</si>
  <si>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</si>
  <si>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</si>
  <si>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</si>
  <si>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</si>
  <si>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</si>
  <si>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</si>
  <si>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</si>
  <si>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</si>
  <si>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</si>
  <si>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</si>
  <si>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</si>
  <si>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</si>
  <si>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</si>
  <si>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</si>
  <si>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</si>
  <si>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</si>
  <si>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</si>
  <si>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</si>
  <si>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</si>
  <si>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</si>
  <si>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</si>
  <si>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</si>
  <si>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</si>
  <si>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</si>
  <si>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</si>
  <si>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</si>
  <si>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</si>
  <si>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</si>
  <si>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</si>
  <si>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</si>
  <si>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</si>
  <si>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</si>
  <si>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</si>
  <si>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</si>
  <si>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</si>
  <si>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</si>
  <si>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</si>
  <si>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</si>
  <si>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</si>
  <si>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</si>
  <si>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</si>
  <si>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</si>
  <si>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</si>
  <si>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</si>
  <si>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</si>
  <si>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</si>
  <si>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</si>
  <si>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</si>
  <si>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</si>
  <si>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</si>
  <si>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</si>
  <si>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</si>
  <si>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</si>
  <si>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</si>
  <si>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</si>
  <si>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</si>
  <si>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</si>
  <si>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</si>
  <si>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</si>
  <si>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</si>
  <si>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</si>
  <si>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</si>
  <si>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</si>
  <si>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</si>
  <si>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</si>
  <si>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</si>
  <si>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</si>
  <si>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</si>
  <si>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</si>
  <si>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</si>
  <si>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</si>
  <si>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</si>
  <si>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</si>
  <si>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</si>
  <si>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</si>
  <si>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</si>
  <si>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</si>
  <si>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</si>
  <si>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</si>
  <si>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</si>
  <si>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</si>
  <si>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</si>
  <si>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</si>
  <si>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</si>
  <si>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</si>
  <si>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</si>
  <si>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</si>
  <si>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</si>
  <si>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</si>
  <si>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</si>
  <si>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</si>
  <si>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</si>
  <si>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</si>
  <si>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</si>
  <si>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</si>
  <si>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</si>
  <si>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</si>
  <si>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</si>
  <si>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</si>
  <si>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</si>
  <si>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</si>
  <si>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</si>
  <si>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</si>
  <si>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</si>
  <si>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</si>
  <si>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</si>
  <si>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</si>
  <si>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</si>
  <si>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</si>
  <si>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</si>
  <si>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</si>
  <si>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</si>
  <si>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</si>
  <si>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</si>
  <si>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</si>
  <si>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</si>
  <si>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</si>
  <si>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</si>
  <si>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</si>
  <si>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</si>
  <si>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</si>
  <si>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</si>
  <si>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</si>
  <si>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</si>
  <si>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</si>
  <si>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</si>
  <si>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</si>
  <si>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</si>
  <si>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</si>
  <si>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</si>
  <si>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</si>
  <si>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</si>
  <si>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</si>
  <si>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</si>
  <si>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</si>
  <si>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</si>
  <si>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</si>
  <si>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</si>
  <si>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</si>
  <si>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</si>
  <si>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</si>
  <si>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</si>
  <si>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</si>
  <si>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</si>
  <si>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</si>
  <si>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</si>
  <si>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</si>
  <si>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</si>
  <si>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</si>
  <si>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</si>
  <si>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</si>
  <si>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</si>
  <si>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</si>
  <si>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</si>
  <si>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</si>
  <si>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</si>
  <si>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</si>
  <si>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</si>
  <si>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</si>
  <si>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</si>
  <si>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</si>
  <si>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</si>
  <si>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</si>
  <si>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</si>
  <si>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</si>
  <si>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</si>
  <si>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</si>
  <si>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</si>
  <si>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</si>
  <si>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</si>
  <si>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</si>
  <si>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</si>
  <si>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</si>
  <si>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</si>
  <si>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</si>
  <si>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</si>
  <si>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</si>
  <si>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</si>
  <si>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</si>
  <si>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</si>
  <si>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</si>
  <si>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</si>
  <si>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</si>
  <si>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</si>
  <si>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</si>
  <si>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</si>
  <si>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</si>
  <si>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</si>
  <si>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</si>
  <si>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</si>
  <si>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</si>
  <si>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</si>
  <si>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</si>
  <si>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</si>
  <si>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</si>
  <si>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</si>
  <si>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</si>
  <si>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</si>
  <si>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</si>
  <si>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</si>
  <si>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</si>
  <si>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</si>
  <si>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</si>
  <si>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</si>
  <si>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</si>
  <si>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</si>
  <si>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</si>
  <si>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</si>
  <si>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</si>
  <si>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</si>
  <si>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</si>
  <si>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</si>
  <si>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</si>
  <si>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</si>
  <si>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</si>
  <si>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</si>
  <si>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</si>
  <si>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</si>
  <si>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</si>
  <si>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</si>
  <si>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</si>
  <si>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</si>
  <si>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</si>
  <si>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</si>
  <si>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</si>
  <si>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</si>
  <si>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</si>
  <si>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</si>
  <si>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</si>
  <si>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</si>
  <si>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</si>
  <si>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</si>
  <si>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</si>
  <si>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</si>
  <si>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</si>
  <si>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</si>
  <si>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</si>
  <si>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</si>
  <si>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</si>
  <si>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</si>
  <si>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</si>
  <si>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</si>
  <si>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</si>
  <si>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</si>
  <si>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</si>
  <si>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</si>
  <si>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</si>
  <si>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</si>
  <si>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</si>
  <si>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</si>
  <si>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</si>
  <si>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</si>
  <si>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</si>
  <si>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</si>
  <si>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</si>
  <si>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</si>
  <si>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</si>
  <si>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</si>
  <si>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</si>
  <si>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</si>
  <si>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</si>
  <si>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</si>
  <si>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</si>
  <si>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</si>
  <si>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</si>
  <si>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</si>
  <si>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</si>
  <si>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</si>
  <si>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</si>
  <si>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</si>
  <si>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</si>
  <si>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</si>
  <si>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</si>
  <si>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</si>
  <si>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</si>
  <si>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</si>
  <si>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</si>
  <si>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</si>
  <si>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</si>
  <si>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</si>
  <si>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</si>
  <si>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</si>
  <si>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</si>
  <si>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</si>
  <si>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</si>
  <si>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</si>
  <si>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</si>
  <si>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</si>
  <si>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</si>
  <si>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</si>
  <si>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</si>
  <si>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</si>
  <si>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</si>
  <si>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</si>
  <si>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</si>
  <si>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</si>
  <si>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</si>
  <si>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</si>
  <si>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</si>
  <si>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</si>
  <si>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</si>
  <si>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</si>
  <si>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</si>
  <si>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</si>
  <si>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</si>
  <si>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</si>
  <si>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</si>
  <si>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</si>
  <si>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</si>
  <si>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</si>
  <si>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</si>
  <si>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</si>
  <si>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</si>
  <si>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</si>
  <si>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</si>
  <si>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</si>
  <si>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</si>
  <si>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</si>
  <si>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</si>
  <si>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</si>
  <si>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</si>
  <si>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</si>
  <si>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</si>
  <si>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</si>
  <si>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</si>
  <si>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</si>
  <si>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</si>
  <si>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</si>
  <si>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</si>
  <si>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</si>
  <si>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</si>
  <si>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</si>
  <si>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</si>
  <si>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</si>
  <si>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</si>
  <si>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</si>
  <si>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</si>
  <si>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</si>
  <si>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</si>
  <si>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</si>
  <si>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</si>
  <si>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</si>
  <si>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</si>
  <si>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</si>
  <si>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</si>
  <si>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</si>
  <si>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</si>
  <si>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</si>
  <si>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</si>
  <si>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</si>
  <si>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</si>
  <si>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</si>
  <si>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</si>
  <si>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</si>
  <si>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</si>
  <si>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</si>
  <si>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</si>
  <si>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</si>
  <si>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</si>
  <si>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</si>
  <si>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</si>
  <si>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</si>
  <si>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</si>
  <si>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</si>
  <si>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</si>
  <si>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</si>
  <si>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</si>
  <si>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</si>
  <si>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</si>
  <si>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</si>
  <si>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</si>
  <si>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</si>
  <si>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</si>
  <si>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</si>
  <si>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</si>
  <si>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</si>
  <si>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</si>
  <si>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</si>
  <si>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</si>
  <si>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</si>
  <si>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</si>
  <si>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</si>
  <si>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</si>
  <si>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</si>
  <si>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</si>
  <si>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</si>
  <si>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</si>
  <si>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</si>
  <si>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</si>
  <si>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</si>
  <si>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</si>
  <si>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</si>
  <si>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</si>
  <si>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</si>
  <si>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</si>
  <si>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</si>
  <si>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</si>
  <si>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</si>
  <si>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</si>
  <si>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</si>
  <si>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</si>
  <si>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</si>
  <si>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</si>
  <si>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</si>
  <si>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</si>
  <si>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</si>
  <si>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</si>
  <si>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</si>
  <si>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</si>
  <si>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</si>
  <si>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</si>
  <si>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</si>
  <si>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</si>
  <si>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</si>
  <si>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</si>
  <si>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</si>
  <si>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</si>
  <si>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</si>
  <si>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</si>
  <si>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</si>
  <si>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</si>
  <si>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</si>
  <si>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</si>
  <si>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</si>
  <si>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</si>
  <si>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</si>
  <si>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</si>
  <si>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</si>
  <si>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</si>
  <si>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</si>
  <si>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</si>
  <si>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</si>
  <si>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</si>
  <si>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</si>
  <si>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</si>
  <si>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</si>
  <si>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</si>
  <si>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</si>
  <si>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</si>
  <si>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</si>
  <si>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</si>
  <si>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</si>
  <si>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</si>
  <si>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</si>
  <si>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</si>
  <si>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</si>
  <si>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</si>
  <si>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</si>
  <si>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</si>
  <si>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</si>
  <si>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</si>
  <si>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</si>
  <si>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</si>
  <si>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</si>
  <si>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</si>
  <si>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</si>
  <si>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</si>
  <si>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</si>
  <si>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</si>
  <si>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</si>
  <si>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</si>
  <si>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</si>
  <si>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</si>
  <si>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</si>
  <si>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</si>
  <si>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</si>
  <si>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</si>
  <si>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</si>
  <si>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</si>
  <si>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</si>
  <si>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</si>
  <si>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</si>
  <si>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</si>
  <si>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</si>
  <si>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</si>
  <si>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</si>
  <si>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</si>
  <si>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</si>
  <si>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</si>
  <si>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</si>
  <si>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</si>
  <si>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</si>
  <si>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</si>
  <si>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</si>
  <si>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</si>
  <si>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</si>
  <si>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</si>
  <si>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</si>
  <si>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</si>
  <si>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</si>
  <si>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</si>
  <si>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</si>
  <si>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</si>
  <si>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</si>
  <si>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</si>
  <si>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</si>
  <si>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</si>
  <si>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</si>
  <si>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</si>
  <si>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</si>
  <si>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</si>
  <si>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</si>
  <si>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</si>
  <si>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</si>
  <si>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</si>
  <si>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</si>
  <si>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</si>
  <si>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</si>
  <si>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</si>
  <si>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</si>
  <si>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</si>
  <si>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</si>
  <si>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</si>
  <si>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</si>
  <si>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</si>
  <si>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</si>
  <si>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</si>
  <si>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</si>
  <si>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</si>
  <si>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</si>
  <si>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</si>
  <si>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</si>
  <si>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</si>
  <si>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</si>
  <si>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</si>
  <si>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</si>
  <si>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</si>
  <si>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</si>
  <si>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</si>
  <si>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</si>
  <si>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</si>
  <si>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</si>
  <si>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</si>
  <si>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</si>
  <si>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</si>
  <si>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</si>
  <si>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</si>
  <si>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</si>
  <si>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</si>
  <si>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</si>
  <si>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</si>
  <si>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</si>
  <si>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</si>
  <si>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</si>
  <si>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</si>
  <si>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</si>
  <si>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</si>
  <si>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</si>
  <si>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</si>
  <si>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</si>
  <si>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</si>
  <si>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</si>
  <si>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</si>
  <si>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</si>
  <si>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</si>
  <si>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</si>
  <si>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</si>
  <si>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</si>
  <si>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</si>
  <si>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</si>
  <si>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</si>
  <si>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</si>
  <si>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</si>
  <si>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</si>
  <si>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</si>
  <si>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</si>
  <si>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</si>
  <si>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</si>
  <si>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</si>
  <si>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</si>
  <si>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</si>
  <si>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</si>
  <si>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</si>
  <si>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</si>
  <si>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</si>
  <si>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</si>
  <si>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</si>
  <si>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</si>
  <si>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</si>
  <si>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</si>
  <si>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</si>
  <si>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</si>
  <si>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</si>
  <si>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</si>
  <si>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</si>
  <si>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</si>
  <si>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</si>
  <si>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</si>
  <si>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</si>
  <si>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</si>
  <si>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</si>
  <si>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</si>
  <si>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</si>
  <si>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</si>
  <si>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</si>
  <si>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</si>
  <si>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</si>
  <si>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</si>
  <si>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</si>
  <si>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</si>
  <si>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</si>
  <si>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</si>
  <si>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</si>
  <si>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</si>
  <si>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</si>
  <si>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</si>
  <si>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</si>
  <si>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</si>
  <si>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</si>
  <si>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</si>
  <si>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</si>
  <si>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</si>
  <si>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</si>
  <si>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</si>
  <si>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</si>
  <si>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</si>
  <si>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</si>
  <si>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</si>
  <si>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</si>
  <si>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</si>
  <si>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</si>
  <si>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</si>
  <si>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</si>
  <si>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</si>
  <si>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</si>
  <si>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</si>
  <si>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</si>
  <si>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</si>
  <si>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</si>
  <si>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</si>
  <si>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</si>
  <si>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</si>
  <si>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</si>
  <si>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</si>
  <si>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</si>
  <si>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</si>
  <si>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</si>
  <si>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</si>
  <si>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</si>
  <si>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</si>
  <si>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</si>
  <si>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</si>
  <si>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</si>
  <si>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</si>
  <si>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</si>
  <si>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</si>
  <si>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</si>
  <si>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</si>
  <si>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</si>
  <si>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</si>
  <si>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</si>
  <si>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</si>
  <si>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</si>
  <si>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</si>
  <si>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</si>
  <si>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</si>
  <si>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</si>
  <si>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</si>
  <si>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</si>
  <si>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</si>
  <si>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</si>
  <si>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</si>
  <si>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</si>
  <si>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</si>
  <si>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</si>
  <si>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</si>
  <si>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</si>
  <si>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</si>
  <si>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</si>
  <si>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</si>
  <si>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</si>
  <si>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</si>
  <si>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</si>
  <si>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</si>
  <si>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</si>
  <si>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</si>
  <si>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</si>
  <si>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</si>
  <si>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</si>
  <si>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</si>
  <si>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</si>
  <si>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</si>
  <si>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</si>
  <si>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</si>
  <si>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</si>
  <si>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</si>
  <si>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</si>
  <si>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</si>
  <si>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</si>
  <si>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</si>
  <si>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</si>
  <si>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</si>
  <si>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</si>
  <si>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</si>
  <si>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</si>
  <si>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</si>
  <si>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</si>
  <si>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</si>
  <si>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</si>
  <si>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</si>
  <si>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</si>
  <si>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</si>
  <si>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</si>
  <si>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</si>
  <si>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</si>
  <si>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</si>
  <si>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</si>
  <si>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</si>
  <si>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</si>
  <si>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</si>
  <si>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</si>
  <si>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</si>
  <si>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</si>
  <si>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</si>
  <si>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</si>
  <si>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</si>
  <si>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</si>
  <si>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</si>
  <si>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</si>
  <si>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</si>
  <si>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</si>
  <si>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</si>
  <si>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</si>
  <si>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</si>
  <si>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</si>
  <si>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</si>
  <si>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</si>
  <si>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</si>
  <si>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</si>
  <si>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</si>
  <si>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</si>
  <si>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</si>
  <si>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</si>
  <si>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</si>
  <si>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</si>
  <si>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</si>
  <si>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</si>
  <si>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</si>
  <si>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</si>
  <si>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</si>
  <si>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</si>
  <si>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</si>
  <si>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</si>
  <si>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</si>
  <si>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</si>
  <si>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</si>
  <si>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</si>
  <si>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</si>
  <si>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</si>
  <si>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</si>
  <si>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</si>
  <si>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</si>
  <si>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</si>
  <si>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</si>
  <si>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</si>
  <si>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</si>
  <si>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</si>
  <si>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</si>
  <si>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</si>
  <si>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</si>
  <si>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</si>
  <si>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</si>
  <si>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</si>
  <si>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</si>
  <si>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</si>
  <si>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</si>
  <si>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</si>
  <si>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</si>
  <si>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</si>
  <si>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</si>
  <si>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</si>
  <si>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</si>
  <si>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</si>
  <si>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</si>
  <si>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</si>
  <si>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</si>
  <si>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</si>
  <si>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</si>
  <si>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</si>
  <si>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</si>
  <si>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</si>
  <si>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</si>
  <si>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</si>
  <si>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</si>
  <si>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</si>
  <si>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</si>
  <si>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</si>
  <si>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</si>
  <si>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</si>
  <si>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</si>
  <si>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</si>
  <si>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</si>
  <si>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</si>
  <si>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</si>
  <si>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</si>
  <si>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</si>
  <si>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</si>
  <si>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</si>
  <si>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</si>
  <si>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</si>
  <si>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</si>
  <si>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</si>
  <si>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</si>
  <si>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</si>
  <si>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</si>
  <si>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</si>
  <si>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</si>
  <si>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</si>
  <si>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</si>
  <si>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</si>
  <si>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</si>
  <si>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</si>
  <si>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</si>
  <si>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</si>
  <si>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</si>
  <si>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</si>
  <si>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</si>
  <si>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</si>
  <si>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</si>
  <si>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</si>
  <si>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</si>
  <si>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</si>
  <si>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</si>
  <si>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</si>
  <si>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</si>
  <si>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</si>
  <si>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</si>
  <si>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</si>
  <si>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</si>
  <si>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</si>
  <si>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</si>
  <si>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</si>
  <si>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</si>
  <si>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</si>
  <si>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</si>
  <si>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</si>
  <si>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</si>
  <si>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</si>
  <si>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</si>
  <si>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</si>
  <si>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</si>
  <si>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</si>
  <si>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</si>
  <si>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</si>
  <si>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</si>
  <si>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</si>
  <si>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</si>
  <si>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</si>
  <si>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</si>
  <si>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</si>
  <si>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</si>
  <si>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</si>
  <si>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</si>
  <si>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</si>
  <si>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</si>
  <si>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</si>
  <si>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</si>
  <si>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</si>
  <si>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</si>
  <si>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</si>
  <si>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</si>
  <si>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</si>
  <si>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</si>
  <si>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</si>
  <si>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</si>
  <si>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</si>
  <si>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</si>
  <si>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</si>
  <si>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</si>
  <si>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</si>
  <si>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</si>
  <si>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</si>
  <si>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</si>
  <si>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</si>
  <si>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</si>
  <si>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</si>
  <si>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</si>
  <si>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</si>
  <si>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</si>
  <si>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</si>
  <si>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</si>
  <si>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</si>
  <si>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</si>
  <si>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</si>
  <si>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</si>
  <si>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</si>
  <si>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</si>
  <si>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</si>
  <si>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</si>
  <si>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</si>
  <si>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</si>
  <si>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</si>
  <si>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</si>
  <si>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</si>
  <si>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</si>
  <si>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</si>
  <si>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</si>
  <si>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</si>
  <si>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</si>
  <si>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</si>
  <si>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</si>
  <si>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</si>
  <si>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</si>
  <si>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</si>
  <si>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</si>
  <si>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</si>
  <si>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</si>
  <si>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</si>
  <si>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</si>
  <si>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</si>
  <si>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</si>
  <si>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</si>
  <si>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</si>
  <si>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</si>
  <si>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</si>
  <si>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</si>
  <si>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</si>
  <si>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</si>
  <si>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</si>
  <si>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</si>
  <si>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</si>
  <si>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</si>
  <si>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</si>
  <si>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</si>
  <si>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</si>
  <si>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</si>
  <si>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</si>
  <si>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</si>
  <si>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</si>
  <si>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</si>
  <si>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</si>
  <si>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</si>
  <si>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</si>
  <si>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</si>
  <si>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</si>
  <si>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</si>
  <si>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</si>
  <si>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</si>
  <si>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</si>
  <si>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</si>
  <si>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</si>
  <si>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</si>
  <si>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</si>
  <si>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</si>
  <si>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</si>
  <si>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</si>
  <si>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</si>
  <si>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</si>
  <si>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</si>
  <si>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</si>
  <si>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</si>
  <si>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</si>
  <si>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</si>
  <si>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</si>
  <si>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</si>
  <si>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</si>
  <si>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</si>
  <si>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</si>
  <si>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</si>
  <si>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</si>
  <si>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</si>
  <si>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</si>
  <si>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</si>
  <si>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</si>
  <si>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</si>
  <si>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</si>
  <si>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</si>
  <si>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</si>
  <si>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</si>
  <si>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</si>
  <si>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</si>
  <si>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</si>
  <si>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</si>
  <si>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</si>
  <si>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</si>
  <si>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</si>
  <si>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</si>
  <si>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</si>
  <si>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</si>
  <si>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</si>
  <si>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</si>
  <si>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</si>
  <si>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</si>
  <si>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</si>
  <si>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</si>
  <si>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</si>
  <si>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</si>
  <si>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</si>
  <si>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</si>
  <si>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</si>
  <si>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</si>
  <si>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</si>
  <si>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</si>
  <si>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</si>
  <si>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</si>
  <si>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</si>
  <si>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</si>
  <si>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</si>
  <si>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</si>
  <si>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</si>
  <si>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</si>
  <si>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</si>
  <si>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</si>
  <si>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</si>
  <si>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</si>
  <si>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</si>
  <si>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</si>
  <si>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</si>
  <si>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</si>
  <si>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</si>
  <si>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</si>
  <si>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</si>
  <si>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</si>
  <si>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</si>
  <si>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</si>
  <si>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</si>
  <si>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</si>
  <si>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</si>
  <si>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</si>
  <si>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</si>
  <si>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</si>
  <si>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</si>
  <si>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</si>
  <si>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</si>
  <si>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</si>
  <si>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</si>
  <si>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</si>
  <si>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</si>
  <si>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</si>
  <si>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</si>
  <si>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</si>
  <si>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</si>
  <si>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</si>
  <si>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</si>
  <si>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</si>
  <si>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</si>
  <si>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</si>
  <si>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</si>
  <si>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</si>
  <si>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</si>
  <si>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</si>
  <si>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</si>
  <si>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</si>
  <si>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</si>
  <si>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</si>
  <si>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</si>
  <si>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</si>
  <si>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</si>
  <si>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</si>
  <si>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</si>
  <si>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</si>
  <si>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</si>
  <si>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</si>
  <si>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</si>
  <si>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</si>
  <si>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</si>
  <si>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</si>
  <si>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</si>
  <si>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</si>
  <si>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</si>
  <si>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</si>
  <si>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</si>
  <si>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</si>
  <si>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</si>
  <si>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</si>
  <si>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</si>
  <si>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</si>
  <si>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</si>
  <si>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</si>
  <si>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</si>
  <si>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</si>
  <si>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</si>
  <si>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</si>
  <si>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</si>
  <si>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</si>
  <si>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</si>
  <si>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</si>
  <si>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</si>
  <si>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</si>
  <si>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</si>
  <si>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</si>
  <si>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</si>
  <si>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</si>
  <si>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</si>
  <si>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</si>
  <si>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</si>
  <si>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</si>
  <si>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</si>
  <si>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</si>
  <si>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</si>
  <si>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</si>
  <si>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</si>
  <si>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</si>
  <si>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</si>
  <si>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</si>
  <si>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</si>
  <si>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</si>
  <si>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</si>
  <si>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</si>
  <si>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</si>
  <si>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</si>
  <si>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</si>
  <si>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</si>
  <si>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</si>
  <si>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</si>
  <si>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</si>
  <si>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</si>
  <si>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</si>
  <si>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</si>
  <si>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</si>
  <si>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</si>
  <si>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</si>
  <si>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</si>
  <si>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</si>
  <si>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</si>
  <si>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</si>
  <si>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</si>
  <si>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</si>
  <si>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</si>
  <si>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</si>
  <si>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</si>
  <si>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</si>
  <si>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</si>
  <si>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</si>
  <si>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</si>
  <si>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</si>
  <si>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</si>
  <si>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</si>
  <si>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</si>
  <si>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</si>
  <si>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</si>
  <si>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</si>
  <si>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</si>
  <si>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</si>
  <si>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</si>
  <si>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</si>
  <si>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</si>
  <si>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</si>
  <si>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</si>
  <si>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</si>
  <si>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</si>
  <si>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</si>
  <si>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</si>
  <si>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</si>
  <si>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</si>
  <si>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</si>
  <si>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</si>
  <si>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</si>
  <si>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</si>
  <si>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</si>
  <si>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</si>
  <si>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</si>
  <si>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</si>
  <si>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</si>
  <si>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</si>
  <si>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</si>
  <si>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</si>
  <si>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</si>
  <si>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</si>
  <si>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</si>
  <si>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</si>
  <si>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</si>
  <si>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</si>
  <si>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</si>
  <si>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</si>
  <si>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</si>
  <si>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</si>
  <si>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</si>
  <si>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</si>
  <si>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</si>
  <si>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</si>
  <si>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</si>
  <si>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</si>
  <si>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</si>
  <si>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</si>
  <si>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</si>
  <si>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</si>
  <si>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</si>
  <si>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</si>
  <si>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</si>
  <si>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</si>
  <si>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</si>
  <si>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</si>
  <si>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</si>
  <si>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</si>
  <si>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</si>
  <si>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</si>
  <si>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</si>
  <si>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</si>
  <si>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</si>
  <si>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</si>
  <si>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</si>
  <si>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</si>
  <si>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</si>
  <si>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</si>
  <si>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</si>
  <si>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</si>
  <si>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</si>
  <si>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</si>
  <si>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</si>
  <si>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</si>
  <si>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</si>
  <si>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</si>
  <si>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</si>
  <si>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</si>
  <si>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</si>
  <si>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</si>
  <si>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</si>
  <si>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</si>
  <si>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</si>
  <si>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</si>
  <si>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</si>
  <si>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</si>
  <si>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</si>
  <si>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</si>
  <si>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</si>
  <si>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</si>
  <si>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</si>
  <si>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</si>
  <si>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</si>
  <si>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</si>
  <si>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</si>
  <si>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</si>
  <si>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</si>
  <si>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</si>
  <si>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</si>
  <si>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</si>
  <si>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</si>
  <si>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</si>
  <si>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</si>
  <si>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</si>
  <si>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</si>
  <si>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</si>
  <si>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</si>
  <si>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</si>
  <si>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</si>
  <si>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</si>
  <si>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</si>
  <si>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</si>
  <si>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</si>
  <si>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</si>
  <si>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</si>
  <si>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</si>
  <si>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</si>
  <si>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</si>
  <si>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</si>
  <si>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</si>
  <si>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</si>
  <si>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</si>
  <si>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</si>
  <si>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</si>
  <si>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</si>
  <si>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</si>
  <si>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</si>
  <si>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</si>
  <si>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</si>
  <si>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</si>
  <si>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</si>
  <si>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</si>
  <si>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</si>
  <si>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</si>
  <si>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</si>
  <si>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</si>
  <si>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</si>
  <si>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</si>
  <si>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</si>
  <si>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</si>
  <si>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</si>
  <si>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</si>
  <si>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</si>
  <si>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</si>
  <si>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</si>
  <si>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</si>
  <si>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</si>
  <si>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</si>
  <si>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</si>
  <si>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</si>
  <si>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</si>
  <si>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</si>
  <si>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</si>
  <si>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</si>
  <si>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</si>
  <si>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</si>
  <si>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</si>
  <si>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</si>
  <si>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</si>
  <si>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</si>
  <si>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</si>
  <si>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</si>
  <si>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</si>
  <si>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</si>
  <si>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</si>
  <si>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</si>
  <si>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</si>
  <si>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</si>
  <si>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</si>
  <si>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</si>
  <si>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</si>
  <si>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</si>
  <si>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</si>
  <si>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</si>
  <si>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</si>
  <si>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</si>
  <si>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</si>
  <si>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</si>
  <si>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</si>
  <si>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</si>
  <si>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</si>
  <si>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</si>
  <si>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</si>
  <si>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</si>
  <si>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</si>
  <si>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</si>
  <si>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</si>
  <si>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</si>
  <si>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</si>
  <si>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</si>
  <si>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</si>
  <si>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</si>
  <si>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</si>
  <si>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</si>
  <si>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</si>
  <si>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</si>
  <si>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</si>
  <si>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</si>
  <si>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</si>
  <si>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</si>
  <si>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</si>
  <si>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</si>
  <si>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</si>
  <si>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</si>
  <si>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</si>
  <si>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</si>
  <si>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</si>
  <si>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</si>
  <si>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</si>
  <si>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</si>
  <si>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</si>
  <si>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</si>
  <si>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</si>
  <si>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</si>
  <si>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</si>
  <si>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</si>
  <si>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</si>
  <si>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</si>
  <si>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</si>
  <si>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</si>
  <si>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</si>
  <si>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</si>
  <si>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</si>
  <si>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</si>
  <si>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</si>
  <si>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</si>
  <si>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</si>
  <si>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</si>
  <si>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</si>
  <si>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</si>
  <si>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</si>
  <si>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</si>
  <si>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</si>
  <si>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</si>
  <si>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</si>
  <si>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</si>
  <si>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</si>
  <si>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</si>
  <si>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</si>
  <si>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</si>
  <si>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</si>
  <si>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</si>
  <si>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</si>
  <si>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</si>
  <si>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</si>
  <si>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</si>
  <si>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</si>
  <si>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</si>
  <si>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</si>
  <si>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</si>
  <si>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</si>
  <si>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</si>
  <si>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</si>
  <si>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</si>
  <si>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</si>
  <si>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</si>
  <si>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</si>
  <si>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</si>
  <si>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</si>
  <si>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</si>
  <si>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</si>
  <si>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</si>
  <si>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</si>
  <si>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</si>
  <si>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</si>
  <si>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</si>
  <si>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</si>
  <si>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</si>
  <si>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</si>
  <si>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</si>
  <si>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</si>
  <si>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</si>
  <si>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</si>
  <si>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</si>
  <si>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</si>
  <si>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</si>
  <si>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</si>
  <si>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</si>
  <si>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</si>
  <si>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</si>
  <si>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</si>
  <si>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</si>
  <si>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</si>
  <si>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</si>
  <si>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</si>
  <si>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</si>
  <si>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</si>
  <si>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</si>
  <si>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</si>
  <si>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</si>
  <si>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</si>
  <si>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</si>
  <si>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</si>
  <si>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</si>
  <si>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</si>
  <si>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</si>
  <si>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</si>
  <si>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</si>
  <si>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</si>
  <si>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</si>
  <si>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</si>
  <si>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</si>
  <si>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</si>
  <si>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</si>
  <si>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</si>
  <si>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</si>
  <si>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</si>
  <si>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</si>
  <si>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</si>
  <si>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</si>
  <si>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</si>
  <si>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</si>
  <si>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</si>
  <si>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</si>
  <si>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</si>
  <si>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</si>
  <si>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</si>
  <si>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</si>
  <si>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</si>
  <si>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</si>
  <si>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</si>
  <si>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</si>
  <si>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</si>
  <si>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</si>
  <si>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</si>
  <si>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</si>
  <si>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</si>
  <si>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</si>
  <si>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</si>
  <si>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</si>
  <si>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</si>
  <si>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</si>
  <si>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</si>
  <si>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</si>
  <si>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</si>
  <si>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</si>
  <si>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</si>
  <si>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</si>
  <si>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</si>
  <si>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</si>
  <si>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</si>
  <si>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</si>
  <si>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</si>
  <si>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</si>
  <si>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</si>
  <si>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</si>
  <si>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</si>
  <si>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</si>
  <si>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</si>
  <si>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</si>
  <si>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</si>
  <si>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</si>
  <si>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</si>
  <si>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</si>
  <si>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</si>
  <si>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</si>
  <si>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</si>
  <si>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</si>
  <si>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</si>
  <si>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</si>
  <si>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</si>
  <si>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</si>
  <si>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</si>
  <si>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</si>
  <si>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</si>
  <si>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</si>
  <si>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</si>
  <si>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</si>
  <si>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</si>
  <si>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</si>
  <si>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</si>
  <si>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</si>
  <si>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</si>
  <si>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</si>
  <si>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</si>
  <si>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</si>
  <si>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</si>
  <si>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</si>
  <si>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</si>
  <si>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</si>
  <si>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</si>
  <si>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</si>
  <si>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</si>
  <si>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</si>
  <si>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</si>
  <si>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</si>
  <si>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</si>
  <si>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</si>
  <si>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</si>
  <si>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</si>
  <si>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</si>
  <si>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</si>
  <si>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</si>
  <si>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</si>
  <si>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</si>
  <si>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</si>
  <si>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</si>
  <si>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</si>
  <si>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</si>
  <si>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</si>
  <si>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</si>
  <si>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</si>
  <si>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</si>
  <si>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</si>
  <si>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</si>
  <si>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</si>
  <si>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</si>
  <si>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</si>
  <si>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</si>
  <si>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</si>
  <si>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</si>
  <si>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</si>
  <si>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</si>
  <si>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</si>
  <si>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</si>
  <si>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</si>
  <si>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</si>
  <si>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</si>
  <si>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</si>
  <si>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</si>
  <si>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</si>
  <si>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</si>
  <si>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</si>
  <si>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</si>
  <si>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</si>
  <si>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</si>
  <si>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</si>
  <si>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</si>
  <si>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</si>
  <si>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</si>
  <si>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</si>
  <si>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</si>
  <si>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</si>
  <si>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</si>
  <si>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</si>
  <si>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</si>
  <si>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</si>
  <si>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</si>
  <si>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</si>
  <si>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</si>
  <si>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</si>
  <si>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</si>
  <si>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</si>
  <si>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</si>
  <si>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</si>
  <si>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</si>
  <si>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</si>
  <si>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</si>
  <si>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</si>
  <si>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</si>
  <si>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</si>
  <si>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</si>
  <si>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</si>
  <si>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</si>
  <si>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</si>
  <si>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</si>
  <si>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</si>
  <si>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</si>
  <si>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</si>
  <si>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</si>
  <si>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</si>
  <si>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</si>
  <si>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</si>
  <si>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</si>
  <si>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</si>
  <si>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</si>
  <si>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</si>
  <si>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</si>
  <si>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</si>
  <si>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</si>
  <si>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</si>
  <si>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</si>
  <si>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</si>
  <si>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</si>
  <si>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</si>
  <si>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</si>
  <si>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</si>
  <si>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</si>
  <si>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</si>
  <si>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</si>
  <si>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</si>
  <si>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</si>
  <si>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</si>
  <si>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</si>
  <si>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</si>
  <si>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</si>
  <si>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</si>
  <si>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</si>
  <si>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</si>
  <si>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</si>
  <si>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</si>
  <si>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</si>
  <si>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</si>
  <si>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</si>
  <si>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</si>
  <si>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</si>
  <si>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</si>
  <si>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</si>
  <si>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</si>
  <si>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</si>
  <si>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</si>
  <si>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</si>
  <si>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</si>
  <si>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</si>
  <si>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</si>
  <si>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</si>
  <si>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</si>
  <si>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</si>
  <si>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</si>
  <si>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</si>
  <si>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</si>
  <si>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</si>
  <si>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</si>
  <si>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</si>
  <si>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</si>
  <si>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</si>
  <si>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</si>
  <si>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</si>
  <si>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</si>
  <si>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</si>
  <si>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</si>
  <si>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</si>
  <si>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</si>
  <si>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</si>
  <si>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</si>
  <si>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</si>
  <si>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</si>
  <si>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</si>
  <si>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</si>
  <si>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</si>
  <si>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</si>
  <si>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</si>
  <si>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</si>
  <si>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</si>
  <si>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</si>
  <si>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</si>
  <si>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</si>
  <si>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</si>
  <si>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</si>
  <si>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</si>
  <si>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</si>
  <si>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</si>
  <si>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</si>
  <si>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</si>
  <si>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</si>
  <si>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</si>
  <si>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</si>
  <si>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</si>
  <si>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</si>
  <si>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</si>
  <si>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</si>
  <si>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</si>
  <si>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</si>
  <si>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</si>
  <si>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</si>
  <si>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</si>
  <si>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</si>
  <si>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</si>
  <si>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</si>
  <si>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</si>
  <si>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</si>
  <si>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</si>
  <si>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</si>
  <si>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</si>
  <si>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</si>
  <si>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</si>
  <si>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</si>
  <si>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</si>
  <si>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</si>
  <si>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</si>
  <si>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</si>
  <si>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</si>
  <si>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</si>
  <si>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</si>
  <si>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</si>
  <si>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</si>
  <si>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</si>
  <si>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</si>
  <si>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</si>
  <si>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</si>
  <si>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</si>
  <si>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</si>
  <si>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</si>
  <si>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</si>
  <si>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</si>
  <si>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</si>
  <si>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</si>
  <si>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</si>
  <si>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</si>
  <si>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</si>
  <si>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</si>
  <si>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</si>
  <si>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</si>
  <si>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</si>
  <si>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</si>
  <si>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</si>
  <si>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</si>
  <si>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</si>
  <si>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</si>
  <si>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</si>
  <si>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</si>
  <si>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崔锴</t>
  </si>
  <si>
    <t>郑燚</t>
  </si>
  <si>
    <t>抵押</t>
  </si>
  <si>
    <t>房地产抵押价值</t>
  </si>
  <si>
    <t>北京市</t>
  </si>
  <si>
    <t>企业</t>
  </si>
  <si>
    <t>出让</t>
  </si>
  <si>
    <t>是</t>
  </si>
  <si>
    <t>否</t>
  </si>
  <si>
    <t>复印件</t>
  </si>
  <si>
    <t>办公项目</t>
  </si>
  <si>
    <t>无</t>
  </si>
  <si>
    <t>现房</t>
  </si>
  <si>
    <t>朝阳区光华路15号院1号楼</t>
    <phoneticPr fontId="140" type="noConversion"/>
  </si>
  <si>
    <t>层</t>
    <phoneticPr fontId="140" type="noConversion"/>
  </si>
  <si>
    <t>1号楼10层1001</t>
    <phoneticPr fontId="140" type="noConversion"/>
  </si>
  <si>
    <t>地上</t>
  </si>
  <si>
    <t>建成</t>
    <phoneticPr fontId="3" type="noConversion"/>
  </si>
  <si>
    <t>直线</t>
    <phoneticPr fontId="3" type="noConversion"/>
  </si>
  <si>
    <t>成新度</t>
  </si>
  <si>
    <t>利息：取LPR加浮动点数</t>
  </si>
  <si>
    <t>建筑</t>
    <phoneticPr fontId="3" type="noConversion"/>
  </si>
  <si>
    <t>系数</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</si>
  <si>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</si>
  <si>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</si>
  <si>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</si>
  <si>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</si>
  <si>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</si>
  <si>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</si>
  <si>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收益法</t>
  </si>
  <si>
    <t>好</t>
    <phoneticPr fontId="25" type="noConversion"/>
  </si>
  <si>
    <t>七通</t>
    <phoneticPr fontId="25" type="noConversion"/>
  </si>
  <si>
    <t>较好</t>
    <phoneticPr fontId="25" type="noConversion"/>
  </si>
  <si>
    <t>项目局部</t>
  </si>
  <si>
    <t>总价</t>
  </si>
  <si>
    <t>情况4</t>
  </si>
  <si>
    <t>正常</t>
  </si>
  <si>
    <t>转让取得</t>
  </si>
  <si>
    <t>购房发票</t>
  </si>
  <si>
    <t>建筑面积</t>
  </si>
  <si>
    <t>分摊土地面积</t>
  </si>
  <si>
    <t>建筑物价值</t>
  </si>
  <si>
    <t>办公-基准</t>
  </si>
  <si>
    <t>售价</t>
  </si>
  <si>
    <t>押一</t>
  </si>
  <si>
    <t>按租金收入计税</t>
  </si>
  <si>
    <t>钢混</t>
  </si>
  <si>
    <t>非生产用房</t>
  </si>
  <si>
    <t>中区</t>
  </si>
  <si>
    <t>低区</t>
  </si>
  <si>
    <t>高区</t>
  </si>
  <si>
    <t>普通装修</t>
  </si>
  <si>
    <t>精装修</t>
  </si>
  <si>
    <t>高速公路</t>
  </si>
  <si>
    <t>城市快速路</t>
  </si>
  <si>
    <t>城市主干道</t>
  </si>
  <si>
    <t>城市次干道</t>
  </si>
  <si>
    <t>城市支路</t>
  </si>
  <si>
    <t>塔楼</t>
    <phoneticPr fontId="3" type="noConversion"/>
  </si>
  <si>
    <t>钢混</t>
    <phoneticPr fontId="3" type="noConversion"/>
  </si>
  <si>
    <t>精装修</t>
    <phoneticPr fontId="3" type="noConversion"/>
  </si>
  <si>
    <t>甲级写字楼</t>
    <phoneticPr fontId="3" type="noConversion"/>
  </si>
  <si>
    <t>专业物业</t>
    <phoneticPr fontId="3" type="noConversion"/>
  </si>
  <si>
    <t>普通物业</t>
    <phoneticPr fontId="3" type="noConversion"/>
  </si>
  <si>
    <t>非标层高</t>
    <phoneticPr fontId="3" type="noConversion"/>
  </si>
  <si>
    <t>标准层高</t>
    <phoneticPr fontId="3" type="noConversion"/>
  </si>
  <si>
    <t>300-500</t>
    <phoneticPr fontId="3" type="noConversion"/>
  </si>
  <si>
    <t>100-300</t>
    <phoneticPr fontId="3" type="noConversion"/>
  </si>
  <si>
    <t>500-1000</t>
    <phoneticPr fontId="3" type="noConversion"/>
  </si>
  <si>
    <t>1000-1500</t>
    <phoneticPr fontId="3" type="noConversion"/>
  </si>
  <si>
    <t>1500-2000</t>
    <phoneticPr fontId="3" type="noConversion"/>
  </si>
  <si>
    <t>2000-2500</t>
    <phoneticPr fontId="3" type="noConversion"/>
  </si>
  <si>
    <t>2500-3000</t>
    <phoneticPr fontId="3" type="noConversion"/>
  </si>
  <si>
    <t>普通装修</t>
    <phoneticPr fontId="3" type="noConversion"/>
  </si>
  <si>
    <t>简单装修</t>
    <phoneticPr fontId="3" type="noConversion"/>
  </si>
  <si>
    <t>毛坯</t>
    <phoneticPr fontId="3" type="noConversion"/>
  </si>
  <si>
    <t>楼层</t>
    <phoneticPr fontId="3" type="noConversion"/>
  </si>
  <si>
    <t>高区</t>
    <phoneticPr fontId="25" type="noConversion"/>
  </si>
  <si>
    <t>中区</t>
    <phoneticPr fontId="25" type="noConversion"/>
  </si>
  <si>
    <t>低区</t>
    <phoneticPr fontId="25" type="noConversion"/>
  </si>
  <si>
    <t>装修</t>
    <phoneticPr fontId="3" type="noConversion"/>
  </si>
  <si>
    <t>豪装</t>
    <phoneticPr fontId="25" type="noConversion"/>
  </si>
  <si>
    <t>精装修</t>
    <phoneticPr fontId="25" type="noConversion"/>
  </si>
  <si>
    <t>普通装修</t>
    <phoneticPr fontId="25" type="noConversion"/>
  </si>
  <si>
    <t>实际用途</t>
    <phoneticPr fontId="3" type="noConversion"/>
  </si>
  <si>
    <t>商业</t>
    <phoneticPr fontId="25" type="noConversion"/>
  </si>
  <si>
    <t>办公</t>
    <phoneticPr fontId="25" type="noConversion"/>
  </si>
  <si>
    <r>
      <t>2020</t>
    </r>
    <r>
      <rPr>
        <sz val="10"/>
        <color indexed="8"/>
        <rFont val="宋体"/>
        <family val="3"/>
        <charset val="134"/>
      </rPr>
      <t>年价值</t>
    </r>
    <phoneticPr fontId="25" type="noConversion"/>
  </si>
  <si>
    <t>单价</t>
    <phoneticPr fontId="25" type="noConversion"/>
  </si>
  <si>
    <t>总价</t>
    <phoneticPr fontId="25" type="noConversion"/>
  </si>
  <si>
    <t>自定义容积率</t>
  </si>
  <si>
    <t>不临58条商业街</t>
  </si>
  <si>
    <t>通路</t>
  </si>
  <si>
    <t>通电</t>
  </si>
  <si>
    <t>通讯</t>
  </si>
  <si>
    <t>通上水</t>
  </si>
  <si>
    <t>通下水</t>
  </si>
  <si>
    <t>平整</t>
  </si>
  <si>
    <t>按公示增长率计算</t>
  </si>
  <si>
    <t xml:space="preserve"> </t>
    <phoneticPr fontId="140" type="noConversion"/>
  </si>
  <si>
    <t>负1</t>
    <phoneticPr fontId="140" type="noConversion"/>
  </si>
  <si>
    <r>
      <t>1</t>
    </r>
    <r>
      <rPr>
        <sz val="11"/>
        <color theme="1"/>
        <rFont val="宋体"/>
        <family val="3"/>
        <charset val="134"/>
        <scheme val="minor"/>
      </rPr>
      <t>-101</t>
    </r>
    <phoneticPr fontId="140" type="noConversion"/>
  </si>
  <si>
    <t>独立商业</t>
  </si>
  <si>
    <t>通热</t>
  </si>
  <si>
    <t>燃气</t>
  </si>
  <si>
    <t>好</t>
  </si>
  <si>
    <t>较好</t>
  </si>
  <si>
    <t>一般</t>
  </si>
  <si>
    <t>未包含在土地购买价格中</t>
  </si>
  <si>
    <t>部分缴纳</t>
  </si>
  <si>
    <t>已包含在土地取得成本中</t>
  </si>
  <si>
    <t>需扣减承租人权益</t>
  </si>
  <si>
    <t>成本法</t>
  </si>
  <si>
    <t>亿利广场1号楼租赁台账（2021年）</t>
  </si>
  <si>
    <r>
      <rPr>
        <b/>
        <sz val="12"/>
        <color indexed="8"/>
        <rFont val="宋体"/>
        <family val="3"/>
        <charset val="134"/>
      </rPr>
      <t>项目公司名称</t>
    </r>
  </si>
  <si>
    <r>
      <rPr>
        <b/>
        <sz val="12"/>
        <color indexed="8"/>
        <rFont val="宋体"/>
        <family val="3"/>
        <charset val="134"/>
      </rPr>
      <t>固定资产楼层</t>
    </r>
  </si>
  <si>
    <t>租赁方名称</t>
    <phoneticPr fontId="260" type="noConversion"/>
  </si>
  <si>
    <r>
      <rPr>
        <b/>
        <sz val="12"/>
        <color indexed="8"/>
        <rFont val="宋体"/>
        <family val="3"/>
        <charset val="134"/>
      </rPr>
      <t>租赁房间</t>
    </r>
  </si>
  <si>
    <r>
      <rPr>
        <b/>
        <sz val="12"/>
        <color indexed="8"/>
        <rFont val="宋体"/>
        <family val="3"/>
        <charset val="134"/>
      </rPr>
      <t>租赁期限</t>
    </r>
  </si>
  <si>
    <r>
      <rPr>
        <b/>
        <sz val="12"/>
        <color indexed="8"/>
        <rFont val="宋体"/>
        <family val="3"/>
        <charset val="134"/>
      </rPr>
      <t>租赁面积（</t>
    </r>
    <r>
      <rPr>
        <b/>
        <sz val="12"/>
        <color indexed="8"/>
        <rFont val="Times New Roman"/>
        <family val="1"/>
      </rPr>
      <t>m2</t>
    </r>
    <r>
      <rPr>
        <b/>
        <sz val="12"/>
        <color indexed="8"/>
        <rFont val="宋体"/>
        <family val="3"/>
        <charset val="134"/>
      </rPr>
      <t>）</t>
    </r>
    <phoneticPr fontId="140" type="noConversion"/>
  </si>
  <si>
    <r>
      <rPr>
        <b/>
        <sz val="12"/>
        <color indexed="8"/>
        <rFont val="宋体"/>
        <family val="3"/>
        <charset val="134"/>
      </rPr>
      <t>月租金</t>
    </r>
    <r>
      <rPr>
        <b/>
        <sz val="12"/>
        <color indexed="8"/>
        <rFont val="Times New Roman"/>
        <family val="1"/>
      </rPr>
      <t>(</t>
    </r>
    <r>
      <rPr>
        <b/>
        <sz val="12"/>
        <color indexed="8"/>
        <rFont val="宋体"/>
        <family val="3"/>
        <charset val="134"/>
      </rPr>
      <t>元</t>
    </r>
    <r>
      <rPr>
        <b/>
        <sz val="12"/>
        <color indexed="8"/>
        <rFont val="Times New Roman"/>
        <family val="1"/>
      </rPr>
      <t>)</t>
    </r>
  </si>
  <si>
    <r>
      <rPr>
        <b/>
        <sz val="12"/>
        <color indexed="8"/>
        <rFont val="宋体"/>
        <family val="3"/>
        <charset val="134"/>
      </rPr>
      <t>年租金</t>
    </r>
  </si>
  <si>
    <r>
      <rPr>
        <sz val="11"/>
        <color indexed="8"/>
        <rFont val="宋体"/>
        <family val="3"/>
        <charset val="134"/>
      </rPr>
      <t>北京亿达金盛投资有限公司</t>
    </r>
  </si>
  <si>
    <t>1号楼（1#1层）</t>
  </si>
  <si>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1-4</t>
    </r>
    <r>
      <rPr>
        <sz val="11"/>
        <color rgb="FFFF0000"/>
        <rFont val="宋体"/>
        <family val="3"/>
        <charset val="134"/>
      </rPr>
      <t>月）</t>
    </r>
    <phoneticPr fontId="140" type="noConversion"/>
  </si>
  <si>
    <r>
      <rPr>
        <sz val="11"/>
        <color indexed="8"/>
        <rFont val="Times New Roman"/>
        <family val="1"/>
      </rPr>
      <t>101</t>
    </r>
    <r>
      <rPr>
        <sz val="11"/>
        <color indexed="8"/>
        <rFont val="宋体"/>
        <family val="3"/>
        <charset val="134"/>
      </rPr>
      <t>；</t>
    </r>
    <r>
      <rPr>
        <sz val="11"/>
        <color indexed="8"/>
        <rFont val="Times New Roman"/>
        <family val="1"/>
      </rPr>
      <t>102</t>
    </r>
    <r>
      <rPr>
        <sz val="11"/>
        <color indexed="8"/>
        <rFont val="宋体"/>
        <family val="3"/>
        <charset val="134"/>
      </rPr>
      <t>；</t>
    </r>
    <r>
      <rPr>
        <sz val="11"/>
        <color indexed="8"/>
        <rFont val="Times New Roman"/>
        <family val="1"/>
      </rPr>
      <t>107</t>
    </r>
  </si>
  <si>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5-12</t>
    </r>
    <r>
      <rPr>
        <sz val="11"/>
        <color rgb="FFFF0000"/>
        <rFont val="宋体"/>
        <family val="3"/>
        <charset val="134"/>
      </rPr>
      <t>月）</t>
    </r>
  </si>
  <si>
    <r>
      <rPr>
        <sz val="11"/>
        <color indexed="8"/>
        <rFont val="宋体"/>
        <family val="3"/>
        <charset val="134"/>
      </rPr>
      <t>渤海银行股份有限公司北京分行</t>
    </r>
  </si>
  <si>
    <t>105;203</t>
  </si>
  <si>
    <r>
      <rPr>
        <sz val="11"/>
        <color indexed="8"/>
        <rFont val="宋体"/>
        <family val="3"/>
        <charset val="134"/>
      </rPr>
      <t>北京牧歌汇商贸有限公司</t>
    </r>
  </si>
  <si>
    <r>
      <rPr>
        <sz val="11"/>
        <color indexed="8"/>
        <rFont val="宋体"/>
        <family val="3"/>
        <charset val="134"/>
      </rPr>
      <t>北京星巴克咖啡有限公司</t>
    </r>
  </si>
  <si>
    <r>
      <rPr>
        <sz val="11"/>
        <color indexed="8"/>
        <rFont val="宋体"/>
        <family val="3"/>
        <charset val="134"/>
      </rPr>
      <t>北京邻鲜连锁便利店有限公司</t>
    </r>
  </si>
  <si>
    <t>1号楼（1#2层）</t>
  </si>
  <si>
    <t>亿利洁能股份有限公司</t>
    <phoneticPr fontId="260" type="noConversion"/>
  </si>
  <si>
    <t>201;202;204;205</t>
    <phoneticPr fontId="260" type="noConversion"/>
  </si>
  <si>
    <t>北京亿达瑞祥投资有限公司</t>
    <phoneticPr fontId="260" type="noConversion"/>
  </si>
  <si>
    <t>1号楼（1#10层）</t>
  </si>
  <si>
    <r>
      <rPr>
        <sz val="11"/>
        <color indexed="8"/>
        <rFont val="宋体"/>
        <family val="3"/>
        <charset val="134"/>
      </rPr>
      <t>亿利资源集团有限公司</t>
    </r>
  </si>
  <si>
    <t>1001-1008(exp1006)</t>
  </si>
  <si>
    <r>
      <rPr>
        <sz val="11"/>
        <color indexed="8"/>
        <rFont val="宋体"/>
        <family val="3"/>
        <charset val="134"/>
      </rPr>
      <t>北京亿达瑞祥投资有限公司</t>
    </r>
  </si>
  <si>
    <r>
      <rPr>
        <sz val="11"/>
        <color indexed="8"/>
        <rFont val="宋体"/>
        <family val="3"/>
        <charset val="134"/>
      </rPr>
      <t>北京亿达金源投资有限公司</t>
    </r>
  </si>
  <si>
    <t>1号楼（1#19层）</t>
  </si>
  <si>
    <t>1901-1903</t>
    <phoneticPr fontId="260" type="noConversion"/>
  </si>
  <si>
    <r>
      <rPr>
        <sz val="11"/>
        <color indexed="8"/>
        <rFont val="宋体"/>
        <family val="3"/>
        <charset val="134"/>
      </rPr>
      <t>北京亿达德瑞投资有限公司</t>
    </r>
  </si>
  <si>
    <t>1号楼（1#13层）</t>
  </si>
  <si>
    <r>
      <rPr>
        <sz val="11"/>
        <color indexed="8"/>
        <rFont val="宋体"/>
        <family val="3"/>
        <charset val="134"/>
      </rPr>
      <t>北京华一银河科技有限公司</t>
    </r>
  </si>
  <si>
    <t>1301-1308</t>
    <phoneticPr fontId="140" type="noConversion"/>
  </si>
  <si>
    <t>北京亿达天成投资有限公司</t>
  </si>
  <si>
    <r>
      <rPr>
        <sz val="11"/>
        <color indexed="8"/>
        <rFont val="Times New Roman"/>
        <family val="1"/>
      </rPr>
      <t>1</t>
    </r>
    <r>
      <rPr>
        <sz val="11"/>
        <color indexed="8"/>
        <rFont val="宋体"/>
        <family val="3"/>
        <charset val="134"/>
      </rPr>
      <t>号楼（</t>
    </r>
    <r>
      <rPr>
        <sz val="11"/>
        <color indexed="8"/>
        <rFont val="Times New Roman"/>
        <family val="1"/>
      </rPr>
      <t>1#15</t>
    </r>
    <r>
      <rPr>
        <sz val="11"/>
        <color indexed="8"/>
        <rFont val="宋体"/>
        <family val="3"/>
        <charset val="134"/>
      </rPr>
      <t>层）</t>
    </r>
  </si>
  <si>
    <r>
      <rPr>
        <sz val="11"/>
        <color indexed="8"/>
        <rFont val="宋体"/>
        <family val="3"/>
        <charset val="134"/>
      </rPr>
      <t>北京优业美商业管理有限公司</t>
    </r>
  </si>
  <si>
    <t>1501-1508</t>
  </si>
  <si>
    <t>北京亿达恒新投资有限公司</t>
  </si>
  <si>
    <r>
      <rPr>
        <sz val="11"/>
        <color indexed="8"/>
        <rFont val="Times New Roman"/>
        <family val="1"/>
      </rPr>
      <t>1</t>
    </r>
    <r>
      <rPr>
        <sz val="11"/>
        <color indexed="8"/>
        <rFont val="宋体"/>
        <family val="3"/>
        <charset val="134"/>
      </rPr>
      <t>号楼（</t>
    </r>
    <r>
      <rPr>
        <sz val="11"/>
        <color indexed="8"/>
        <rFont val="Times New Roman"/>
        <family val="1"/>
      </rPr>
      <t>1#16</t>
    </r>
    <r>
      <rPr>
        <sz val="11"/>
        <color indexed="8"/>
        <rFont val="宋体"/>
        <family val="3"/>
        <charset val="134"/>
      </rPr>
      <t>层）</t>
    </r>
  </si>
  <si>
    <t>1601-1608</t>
  </si>
  <si>
    <r>
      <rPr>
        <b/>
        <sz val="11"/>
        <color indexed="8"/>
        <rFont val="宋体"/>
        <family val="3"/>
        <charset val="134"/>
      </rPr>
      <t>合计</t>
    </r>
  </si>
  <si>
    <t>亿利广场5号楼租赁台账（2021年）</t>
  </si>
  <si>
    <r>
      <rPr>
        <b/>
        <sz val="12"/>
        <color indexed="8"/>
        <rFont val="宋体"/>
        <family val="3"/>
        <charset val="134"/>
      </rPr>
      <t>租赁方名称</t>
    </r>
  </si>
  <si>
    <r>
      <rPr>
        <b/>
        <sz val="12"/>
        <color indexed="8"/>
        <rFont val="宋体"/>
        <family val="3"/>
        <charset val="134"/>
      </rPr>
      <t>租用面积（</t>
    </r>
    <r>
      <rPr>
        <b/>
        <sz val="12"/>
        <color indexed="8"/>
        <rFont val="Times New Roman"/>
        <family val="1"/>
      </rPr>
      <t>m2</t>
    </r>
    <r>
      <rPr>
        <b/>
        <sz val="12"/>
        <color indexed="8"/>
        <rFont val="宋体"/>
        <family val="3"/>
        <charset val="134"/>
      </rPr>
      <t>）</t>
    </r>
  </si>
  <si>
    <t>北京亿达嘉诚物业管理有限公司</t>
    <phoneticPr fontId="260" type="noConversion"/>
  </si>
  <si>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</si>
  <si>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r>
      <rPr>
        <sz val="11"/>
        <color rgb="FF000000"/>
        <rFont val="Times New Roman"/>
        <family val="1"/>
      </rPr>
      <t>-102</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</si>
  <si>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</si>
  <si>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r>
      <rPr>
        <sz val="11"/>
        <color indexed="8"/>
        <rFont val="Times New Roman"/>
        <family val="1"/>
      </rPr>
      <t>-201</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</si>
  <si>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</si>
  <si>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r>
      <rPr>
        <sz val="11"/>
        <color indexed="8"/>
        <rFont val="Times New Roman"/>
        <family val="1"/>
      </rPr>
      <t>-301</t>
    </r>
  </si>
  <si>
    <r>
      <rPr>
        <sz val="11"/>
        <color indexed="8"/>
        <rFont val="Times New Roman"/>
        <family val="1"/>
      </rPr>
      <t>5</t>
    </r>
    <r>
      <rPr>
        <sz val="11"/>
        <color indexed="8"/>
        <rFont val="宋体"/>
        <family val="3"/>
        <charset val="134"/>
      </rPr>
      <t>号楼</t>
    </r>
    <r>
      <rPr>
        <sz val="11"/>
        <color indexed="8"/>
        <rFont val="Times New Roman"/>
        <family val="1"/>
      </rPr>
      <t>4</t>
    </r>
    <r>
      <rPr>
        <sz val="11"/>
        <color indexed="8"/>
        <rFont val="宋体"/>
        <family val="3"/>
        <charset val="134"/>
      </rPr>
      <t>层</t>
    </r>
  </si>
  <si>
    <r>
      <rPr>
        <sz val="11"/>
        <color indexed="8"/>
        <rFont val="宋体"/>
        <family val="3"/>
        <charset val="134"/>
      </rPr>
      <t>北京江南赋餐饮有限责任公司</t>
    </r>
    <r>
      <rPr>
        <sz val="11"/>
        <color indexed="8"/>
        <rFont val="Times New Roman"/>
        <family val="1"/>
      </rPr>
      <t/>
    </r>
    <phoneticPr fontId="140" type="noConversion"/>
  </si>
  <si>
    <t>5号楼4层-401</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</si>
  <si>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6</t>
    </r>
    <r>
      <rPr>
        <sz val="11"/>
        <color indexed="8"/>
        <rFont val="宋体"/>
        <family val="3"/>
        <charset val="134"/>
      </rPr>
      <t>幢</t>
    </r>
    <r>
      <rPr>
        <sz val="11"/>
        <color indexed="8"/>
        <rFont val="Times New Roman"/>
        <family val="1"/>
      </rPr>
      <t>1</t>
    </r>
    <r>
      <rPr>
        <sz val="11"/>
        <color indexed="8"/>
        <rFont val="宋体"/>
        <family val="3"/>
        <charset val="134"/>
      </rPr>
      <t>层</t>
    </r>
  </si>
  <si>
    <t>毛盛宇/北京能量满满体育文化有限公司</t>
  </si>
  <si>
    <t>5号楼1层101局部；6幢1层101其他部分</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</si>
  <si>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</si>
  <si>
    <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-101</t>
    </r>
    <r>
      <rPr>
        <sz val="11"/>
        <color indexed="8"/>
        <rFont val="宋体"/>
        <family val="3"/>
        <charset val="134"/>
      </rPr>
      <t/>
    </r>
    <phoneticPr fontId="140" type="noConversion"/>
  </si>
  <si>
    <t xml:space="preserve"> </t>
  </si>
  <si>
    <r>
      <t>2020</t>
    </r>
    <r>
      <rPr>
        <sz val="10"/>
        <color indexed="8"/>
        <rFont val="宋体"/>
        <family val="3"/>
        <charset val="134"/>
      </rPr>
      <t>年高限</t>
    </r>
    <phoneticPr fontId="8" type="noConversion"/>
  </si>
  <si>
    <t>观察</t>
    <phoneticPr fontId="3" type="noConversion"/>
  </si>
  <si>
    <t>综合</t>
    <phoneticPr fontId="3" type="noConversion"/>
  </si>
  <si>
    <t>直线</t>
    <phoneticPr fontId="3" type="noConversion"/>
  </si>
  <si>
    <t>综合</t>
    <phoneticPr fontId="3" type="noConversion"/>
  </si>
  <si>
    <t>与级别开发程度一致</t>
  </si>
  <si>
    <t>3年10%</t>
    <phoneticPr fontId="140" type="noConversion"/>
  </si>
  <si>
    <t>3年6%</t>
    <phoneticPr fontId="140" type="noConversion"/>
  </si>
  <si>
    <t>增长</t>
    <phoneticPr fontId="140" type="noConversion"/>
  </si>
  <si>
    <t>自定义</t>
  </si>
  <si>
    <t>押金</t>
    <phoneticPr fontId="140" type="noConversion"/>
  </si>
  <si>
    <t>非个人房产</t>
  </si>
  <si>
    <t>2016年5月1日后购买</t>
  </si>
  <si>
    <t>拆分价值</t>
    <phoneticPr fontId="3" type="noConversion"/>
  </si>
  <si>
    <t>基准地价</t>
    <phoneticPr fontId="3" type="noConversion"/>
  </si>
  <si>
    <t>分摊土地</t>
    <phoneticPr fontId="3" type="noConversion"/>
  </si>
  <si>
    <t>建筑面积</t>
    <phoneticPr fontId="3" type="noConversion"/>
  </si>
  <si>
    <t>建筑物单价</t>
    <phoneticPr fontId="3" type="noConversion"/>
  </si>
  <si>
    <t>总值</t>
    <phoneticPr fontId="3" type="noConversion"/>
  </si>
  <si>
    <t>单价</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</si>
  <si>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</si>
  <si>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</si>
  <si>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</si>
  <si>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</si>
  <si>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</si>
  <si>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成本比率</t>
  </si>
  <si>
    <t>住宅</t>
  </si>
  <si>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</si>
  <si>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</si>
  <si>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</si>
  <si>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</si>
  <si>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</si>
  <si>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</si>
  <si>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</si>
  <si>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</si>
  <si>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</si>
  <si>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</si>
  <si>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</si>
  <si>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</si>
  <si>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</si>
  <si>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</si>
  <si>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</si>
  <si>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</si>
  <si>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</si>
  <si>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</si>
  <si>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</si>
  <si>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</si>
  <si>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</si>
  <si>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</si>
  <si>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</si>
  <si>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</si>
  <si>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</si>
  <si>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</si>
  <si>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</si>
  <si>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</si>
  <si>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</si>
  <si>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</si>
  <si>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</si>
  <si>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</si>
  <si>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</si>
  <si>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</si>
  <si>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</si>
  <si>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</si>
  <si>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</si>
  <si>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</si>
  <si>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</si>
  <si>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</si>
  <si>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</si>
  <si>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</si>
  <si>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</si>
  <si>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</si>
  <si>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</si>
  <si>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</si>
  <si>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</si>
  <si>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</si>
  <si>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</si>
  <si>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</si>
  <si>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</si>
  <si>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</si>
  <si>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</si>
  <si>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</si>
  <si>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</si>
  <si>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</si>
  <si>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</si>
  <si>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</si>
  <si>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</si>
  <si>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</si>
  <si>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</si>
  <si>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</si>
  <si>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</si>
  <si>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</si>
  <si>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</si>
  <si>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</si>
  <si>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</si>
  <si>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</si>
  <si>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</si>
  <si>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</si>
  <si>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</si>
  <si>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</si>
  <si>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</si>
  <si>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2013-21-P-04673-FU-1</t>
    <phoneticPr fontId="3" type="noConversion"/>
  </si>
  <si>
    <t>国博洋</t>
    <phoneticPr fontId="3" type="noConversion"/>
  </si>
  <si>
    <t>131102198305250217</t>
    <phoneticPr fontId="3" type="noConversion"/>
  </si>
  <si>
    <t>回龙观镇龙乡小区东区</t>
    <phoneticPr fontId="3" type="noConversion"/>
  </si>
  <si>
    <t>1号楼</t>
    <phoneticPr fontId="3" type="noConversion"/>
  </si>
  <si>
    <t>4层1单元</t>
    <phoneticPr fontId="3" type="noConversion"/>
  </si>
  <si>
    <t>三室一厅一卫一厨</t>
    <phoneticPr fontId="3" type="noConversion"/>
  </si>
  <si>
    <t>复式、平层√、跃层、错层</t>
    <phoneticPr fontId="3" type="noConversion"/>
  </si>
  <si>
    <t>北京住房公积金管理中心昌平管理部</t>
    <phoneticPr fontId="3" type="noConversion"/>
  </si>
  <si>
    <t>91162013070186</t>
    <phoneticPr fontId="3" type="noConversion"/>
  </si>
  <si>
    <t>刘宇宁</t>
    <phoneticPr fontId="3" type="noConversion"/>
  </si>
  <si>
    <t>可抵押商品住宅</t>
  </si>
  <si>
    <t>刘朝阳</t>
    <phoneticPr fontId="3" type="noConversion"/>
  </si>
  <si>
    <t>八</t>
    <phoneticPr fontId="3" type="noConversion"/>
  </si>
  <si>
    <t>X京房权证昌字第582000号</t>
    <phoneticPr fontId="3" type="noConversion"/>
  </si>
  <si>
    <t>三</t>
    <phoneticPr fontId="3" type="noConversion"/>
  </si>
  <si>
    <t>李晓芳</t>
    <phoneticPr fontId="3" type="noConversion"/>
  </si>
  <si>
    <t>初审换正式</t>
    <phoneticPr fontId="3" type="noConversion"/>
  </si>
  <si>
    <t>协议</t>
  </si>
  <si>
    <t>C</t>
    <phoneticPr fontId="3" type="noConversion"/>
  </si>
  <si>
    <t>776751</t>
    <phoneticPr fontId="3" type="noConversion"/>
  </si>
  <si>
    <t>陈苏平</t>
    <phoneticPr fontId="3" type="noConversion"/>
  </si>
  <si>
    <t>二手房</t>
  </si>
  <si>
    <t>正常</t>
    <phoneticPr fontId="3" type="noConversion"/>
  </si>
  <si>
    <t>中介</t>
  </si>
  <si>
    <t>不含任何税费</t>
  </si>
  <si>
    <t>李晓芳</t>
  </si>
  <si>
    <t>北京住房公积金管理中心昌平管理部</t>
  </si>
  <si>
    <t>2013-21-P-05017-FU</t>
    <phoneticPr fontId="3" type="noConversion"/>
  </si>
  <si>
    <t>闫春梅</t>
    <phoneticPr fontId="3" type="noConversion"/>
  </si>
  <si>
    <t>510212197406250324</t>
    <phoneticPr fontId="3" type="noConversion"/>
  </si>
  <si>
    <t>13520782280</t>
    <phoneticPr fontId="3" type="noConversion"/>
  </si>
  <si>
    <t>4号楼</t>
    <phoneticPr fontId="3" type="noConversion"/>
  </si>
  <si>
    <t>4层3单元</t>
    <phoneticPr fontId="3" type="noConversion"/>
  </si>
  <si>
    <t>张永建</t>
    <phoneticPr fontId="3" type="noConversion"/>
  </si>
  <si>
    <t>二室一厅一卫一厨</t>
    <phoneticPr fontId="3" type="noConversion"/>
  </si>
  <si>
    <t>91162013070202</t>
    <phoneticPr fontId="3" type="noConversion"/>
  </si>
  <si>
    <t>苏慧岩</t>
    <phoneticPr fontId="3" type="noConversion"/>
  </si>
  <si>
    <t>现房</t>
    <phoneticPr fontId="3" type="noConversion"/>
  </si>
  <si>
    <t>九</t>
    <phoneticPr fontId="3" type="noConversion"/>
  </si>
  <si>
    <t>X京房权证昌字第584740号</t>
    <phoneticPr fontId="3" type="noConversion"/>
  </si>
  <si>
    <t>一</t>
  </si>
  <si>
    <t>史馨璐</t>
    <phoneticPr fontId="3" type="noConversion"/>
  </si>
  <si>
    <t>合同</t>
    <phoneticPr fontId="3" type="noConversion"/>
  </si>
  <si>
    <t>762766</t>
    <phoneticPr fontId="3" type="noConversion"/>
  </si>
  <si>
    <t>二手房</t>
    <phoneticPr fontId="3" type="noConversion"/>
  </si>
  <si>
    <t>中介</t>
    <phoneticPr fontId="3" type="noConversion"/>
  </si>
  <si>
    <t>不含任何税费</t>
    <phoneticPr fontId="3" type="noConversion"/>
  </si>
  <si>
    <t>史馨璐</t>
  </si>
  <si>
    <t>2013-21-P-05638-FU</t>
    <phoneticPr fontId="3" type="noConversion"/>
  </si>
  <si>
    <t>王涛</t>
    <phoneticPr fontId="3" type="noConversion"/>
  </si>
  <si>
    <t>110228198911065913</t>
    <phoneticPr fontId="3" type="noConversion"/>
  </si>
  <si>
    <t>13811201748</t>
    <phoneticPr fontId="3" type="noConversion"/>
  </si>
  <si>
    <t>7号楼</t>
    <phoneticPr fontId="3" type="noConversion"/>
  </si>
  <si>
    <t>5层4单元</t>
    <phoneticPr fontId="3" type="noConversion"/>
  </si>
  <si>
    <t>91162013090120</t>
    <phoneticPr fontId="3" type="noConversion"/>
  </si>
  <si>
    <t>岳士军</t>
    <phoneticPr fontId="3" type="noConversion"/>
  </si>
  <si>
    <t>可抵押商品住宅</t>
    <phoneticPr fontId="3" type="noConversion"/>
  </si>
  <si>
    <t>十</t>
    <phoneticPr fontId="3" type="noConversion"/>
  </si>
  <si>
    <t>刘凡</t>
    <phoneticPr fontId="3" type="noConversion"/>
  </si>
  <si>
    <t>协议</t>
    <phoneticPr fontId="3" type="noConversion"/>
  </si>
  <si>
    <t>陈宝明</t>
    <phoneticPr fontId="3" type="noConversion"/>
  </si>
  <si>
    <t>刘凡</t>
  </si>
  <si>
    <t>2013-21-P-06061-FU</t>
    <phoneticPr fontId="3" type="noConversion"/>
  </si>
  <si>
    <t>卢莹</t>
    <phoneticPr fontId="3" type="noConversion"/>
  </si>
  <si>
    <t>210211198601182723</t>
    <phoneticPr fontId="3" type="noConversion"/>
  </si>
  <si>
    <t>15201657892</t>
    <phoneticPr fontId="3" type="noConversion"/>
  </si>
  <si>
    <t>回龙观镇龙乡小区东区</t>
    <phoneticPr fontId="19" type="noConversion"/>
  </si>
  <si>
    <t>2号楼</t>
    <phoneticPr fontId="3" type="noConversion"/>
  </si>
  <si>
    <t>2层4单元</t>
    <phoneticPr fontId="3" type="noConversion"/>
  </si>
  <si>
    <t>201</t>
    <phoneticPr fontId="3" type="noConversion"/>
  </si>
  <si>
    <t>谢新佑</t>
    <phoneticPr fontId="3" type="noConversion"/>
  </si>
  <si>
    <t>91162013110001</t>
    <phoneticPr fontId="3" type="noConversion"/>
  </si>
  <si>
    <t>十一</t>
    <phoneticPr fontId="3" type="noConversion"/>
  </si>
  <si>
    <t>817856</t>
    <phoneticPr fontId="3" type="noConversion"/>
  </si>
  <si>
    <t>2013-21-P-06105-FU</t>
    <phoneticPr fontId="3" type="noConversion"/>
  </si>
  <si>
    <t>马小川、李冉</t>
    <phoneticPr fontId="3" type="noConversion"/>
  </si>
  <si>
    <t>110108198804125756、110108198802076823</t>
    <phoneticPr fontId="3" type="noConversion"/>
  </si>
  <si>
    <t>15号楼</t>
    <phoneticPr fontId="3" type="noConversion"/>
  </si>
  <si>
    <t>91162013110058</t>
    <phoneticPr fontId="3" type="noConversion"/>
  </si>
  <si>
    <t>十二</t>
    <phoneticPr fontId="3" type="noConversion"/>
  </si>
  <si>
    <t>X京房权证昌字第597994号、X京房权证昌字第597995号</t>
    <phoneticPr fontId="3" type="noConversion"/>
  </si>
  <si>
    <t>二</t>
    <phoneticPr fontId="3" type="noConversion"/>
  </si>
  <si>
    <t>周彤</t>
    <phoneticPr fontId="3" type="noConversion"/>
  </si>
  <si>
    <t>818861</t>
    <phoneticPr fontId="3" type="noConversion"/>
  </si>
  <si>
    <t>马小川、李冉</t>
  </si>
  <si>
    <t>周彤</t>
  </si>
  <si>
    <t>2014-21-P-00118-U-Z</t>
    <phoneticPr fontId="3" type="noConversion"/>
  </si>
  <si>
    <t>王飞、魏乐霞</t>
    <phoneticPr fontId="3" type="noConversion"/>
  </si>
  <si>
    <t>371428198107090536、370522198301250042</t>
    <phoneticPr fontId="3" type="noConversion"/>
  </si>
  <si>
    <t>91162014010240</t>
    <phoneticPr fontId="3" type="noConversion"/>
  </si>
  <si>
    <t>四</t>
    <phoneticPr fontId="3" type="noConversion"/>
  </si>
  <si>
    <t>X京房权证昌字第609640号、X京房权证昌字第609641号</t>
    <phoneticPr fontId="3" type="noConversion"/>
  </si>
  <si>
    <t>一</t>
    <phoneticPr fontId="3" type="noConversion"/>
  </si>
  <si>
    <t>847480</t>
    <phoneticPr fontId="3" type="noConversion"/>
  </si>
  <si>
    <t>高玉琢</t>
    <phoneticPr fontId="3" type="noConversion"/>
  </si>
  <si>
    <t>容积率修正</t>
  </si>
  <si>
    <t>住宅</t>
    <phoneticPr fontId="7"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</si>
  <si>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</si>
  <si>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</si>
  <si>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</si>
  <si>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</si>
  <si>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</si>
  <si>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</si>
  <si>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</si>
  <si>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</si>
  <si>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</si>
  <si>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</si>
  <si>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</si>
  <si>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</si>
  <si>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</si>
  <si>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</si>
  <si>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</si>
  <si>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</si>
  <si>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</si>
  <si>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</si>
  <si>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</si>
  <si>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</si>
  <si>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</si>
  <si>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</si>
  <si>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</si>
  <si>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</si>
  <si>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</si>
  <si>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</si>
  <si>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</si>
  <si>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</si>
  <si>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</si>
  <si>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</si>
  <si>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</si>
  <si>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</si>
  <si>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</si>
  <si>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</si>
  <si>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</si>
  <si>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</si>
  <si>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</si>
  <si>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</si>
  <si>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</si>
  <si>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</si>
  <si>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</si>
  <si>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</si>
  <si>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</si>
  <si>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</si>
  <si>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</si>
  <si>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</si>
  <si>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</si>
  <si>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</si>
  <si>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</si>
  <si>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</si>
  <si>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</si>
  <si>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</si>
  <si>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</si>
  <si>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</si>
  <si>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</si>
  <si>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</si>
  <si>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</si>
  <si>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2013-21-P-05017-FU</t>
  </si>
  <si>
    <t>回龙观镇龙乡小区东区</t>
  </si>
  <si>
    <t>昌平区</t>
  </si>
  <si>
    <t>4号楼4层3单元402</t>
  </si>
  <si>
    <t>涂料</t>
  </si>
  <si>
    <t>外窗：塑钢窗；外门：防盗门</t>
  </si>
  <si>
    <t>PVC吊顶</t>
  </si>
  <si>
    <t>瓷砖</t>
  </si>
  <si>
    <t>地砖</t>
  </si>
  <si>
    <t>木门</t>
  </si>
  <si>
    <t>洗菜池、灶具</t>
  </si>
  <si>
    <t>面盆、座便器</t>
  </si>
  <si>
    <t>水泥地面，涂料墙面</t>
  </si>
  <si>
    <t>市政供水</t>
  </si>
  <si>
    <t>市政排水</t>
  </si>
  <si>
    <t>市政供电</t>
  </si>
  <si>
    <t>集中供暖</t>
  </si>
  <si>
    <t>管道天然气入户</t>
  </si>
  <si>
    <t>有线电视、电话线、宽带入户</t>
  </si>
  <si>
    <t>消防井</t>
  </si>
  <si>
    <t>电表、气表磁卡计量；水表读数计量</t>
  </si>
  <si>
    <t>小区门卫</t>
  </si>
  <si>
    <t>专用停车场位</t>
  </si>
  <si>
    <t>专业物业公司管理</t>
  </si>
  <si>
    <t>标准居住区</t>
  </si>
  <si>
    <t>市级、区级、小区级√、街区级</t>
  </si>
  <si>
    <t>城市主干道、城市次干道√、支路</t>
  </si>
  <si>
    <t>有315、432路等多条公交线路经过</t>
  </si>
  <si>
    <t>利用周围配套设施</t>
  </si>
  <si>
    <t>√</t>
  </si>
  <si>
    <t>多层板楼</t>
  </si>
  <si>
    <t>中</t>
  </si>
  <si>
    <t>七通一平</t>
  </si>
  <si>
    <t>闫笑梅</t>
  </si>
  <si>
    <t>二</t>
  </si>
  <si>
    <t>新增</t>
  </si>
  <si>
    <t>南北</t>
  </si>
  <si>
    <t>2013-21-P-05638-FU</t>
  </si>
  <si>
    <t>7号楼5层4单元501</t>
  </si>
  <si>
    <t>外窗：铝合金窗；外门：防盗门</t>
  </si>
  <si>
    <t>洗菜池、橱柜、灶具</t>
  </si>
  <si>
    <t>楼前后停车</t>
  </si>
  <si>
    <t>有315、607路等多条公交线路经过</t>
  </si>
  <si>
    <t>良</t>
  </si>
  <si>
    <t>九三</t>
  </si>
  <si>
    <t>2013-21-P-06061-FU</t>
  </si>
  <si>
    <t>2号楼2层4单元201</t>
  </si>
  <si>
    <t>外窗：铝合金窗；户门：防盗门</t>
  </si>
  <si>
    <t>有315、629路等多条公交线路经过</t>
  </si>
  <si>
    <t>四</t>
  </si>
  <si>
    <t>2013-21-P-06105-FU</t>
  </si>
  <si>
    <t>15号楼2层4单元201</t>
  </si>
  <si>
    <t>五</t>
  </si>
  <si>
    <t>1996（按六六成新出报告）</t>
  </si>
  <si>
    <t>2014-21-P-00118-U-Z</t>
  </si>
  <si>
    <t>15号楼2层4单元202</t>
  </si>
  <si>
    <t>洗菜池、灶具、橱柜</t>
  </si>
  <si>
    <t>管道燃气入户</t>
  </si>
  <si>
    <t>有315、119路等多条公交线路经过</t>
  </si>
  <si>
    <t>胡晓</t>
  </si>
  <si>
    <t>1996（按六四成新出报告）</t>
  </si>
  <si>
    <t>房屋状况</t>
  </si>
  <si>
    <t>新产权证</t>
    <phoneticPr fontId="19" type="noConversion"/>
  </si>
  <si>
    <t>商贷</t>
    <phoneticPr fontId="19" type="noConversion"/>
  </si>
  <si>
    <t>契税</t>
    <phoneticPr fontId="3" type="noConversion"/>
  </si>
  <si>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</si>
  <si>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</si>
  <si>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</si>
  <si>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</si>
  <si>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</si>
  <si>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</si>
  <si>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</si>
  <si>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</si>
  <si>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</si>
  <si>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</si>
  <si>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</si>
  <si>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</si>
  <si>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</si>
  <si>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</si>
  <si>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</si>
  <si>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</si>
  <si>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</si>
  <si>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房屋性质</t>
    <phoneticPr fontId="3" type="noConversion"/>
  </si>
  <si>
    <t>土地使用类型</t>
    <phoneticPr fontId="3" type="noConversion"/>
  </si>
  <si>
    <t>最高土地使用年限</t>
    <phoneticPr fontId="3" type="noConversion"/>
  </si>
  <si>
    <t>契税类型</t>
    <phoneticPr fontId="3" type="noConversion"/>
  </si>
  <si>
    <t>契税票号</t>
    <phoneticPr fontId="3" type="noConversion"/>
  </si>
  <si>
    <t>是否过户</t>
    <phoneticPr fontId="3" type="noConversion"/>
  </si>
  <si>
    <t>权利价值</t>
  </si>
  <si>
    <t>设定日期</t>
  </si>
  <si>
    <t>约定期限</t>
  </si>
  <si>
    <t>注销日期</t>
  </si>
  <si>
    <t>土地使用年限</t>
  </si>
  <si>
    <t>录入修改人</t>
  </si>
  <si>
    <t>房屋耐用年限</t>
    <phoneticPr fontId="19" type="noConversion"/>
  </si>
  <si>
    <t>剩余使用年限</t>
    <phoneticPr fontId="19" type="noConversion"/>
  </si>
  <si>
    <t>X京房权证昌字第584740号</t>
  </si>
  <si>
    <t>昌平区回龙观镇龙乡小区东区4号楼4层3单元402</t>
  </si>
  <si>
    <t>IV-1-6-67(2)-</t>
  </si>
  <si>
    <t>单独所有</t>
  </si>
  <si>
    <t>4号楼</t>
  </si>
  <si>
    <t>4层3单元402</t>
  </si>
  <si>
    <t>混合</t>
  </si>
  <si>
    <t>X京房权证昌字第365910号</t>
  </si>
  <si>
    <t>闫春梅</t>
  </si>
  <si>
    <t>2013-09-05</t>
  </si>
  <si>
    <t>商品房</t>
  </si>
  <si>
    <t>X京房权证昌字第589843号</t>
  </si>
  <si>
    <t>昌平区回龙观镇龙乡小区东区7号楼5层4单元501</t>
  </si>
  <si>
    <t>IV-1-6-67(1)-</t>
  </si>
  <si>
    <t>私产</t>
  </si>
  <si>
    <t>7号楼</t>
  </si>
  <si>
    <t>5层4单元501</t>
  </si>
  <si>
    <t>X京房权证昌字第584518号</t>
  </si>
  <si>
    <t>王涛</t>
  </si>
  <si>
    <t>2013-10-14</t>
  </si>
  <si>
    <t>三</t>
  </si>
  <si>
    <t>X京房权证昌字第594783号</t>
  </si>
  <si>
    <t>昌平区回龙观镇龙乡小区东区2号楼2层4单元201</t>
  </si>
  <si>
    <t>2号楼</t>
  </si>
  <si>
    <t>2层4单元201</t>
  </si>
  <si>
    <t>X京房权证昌私字第309092号</t>
  </si>
  <si>
    <t>卢莹</t>
  </si>
  <si>
    <t>2013-11-12</t>
  </si>
  <si>
    <t>X京房权证昌字第597994号、X京房权证昌字第597995号</t>
  </si>
  <si>
    <t>昌平区回龙观镇龙乡小区东区15号楼2层4单元201</t>
  </si>
  <si>
    <t>IV-1-6-57(3)-</t>
  </si>
  <si>
    <t>共同共有</t>
  </si>
  <si>
    <t>15号楼</t>
  </si>
  <si>
    <t>X京房权证昌字第585504号</t>
  </si>
  <si>
    <t>2013-12-03</t>
  </si>
  <si>
    <t>2014-21-P-00118-U-Z（商贷）</t>
  </si>
  <si>
    <t>京房权证昌私移字第199612号</t>
  </si>
  <si>
    <t>昌平区回龙观镇龙乡小区东区15号楼</t>
  </si>
  <si>
    <t>IV-1-6-57(3)</t>
  </si>
  <si>
    <t>私有产</t>
  </si>
  <si>
    <t>4单元202</t>
  </si>
  <si>
    <t>居住用地（指二类居住用地）</t>
  </si>
  <si>
    <t>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t>
    <phoneticPr fontId="3" type="noConversion"/>
  </si>
  <si>
    <t>周边有金榜园、龙博苑、育新花园、沁春家园等住宅小区，居住社区成熟度较好。</t>
  </si>
  <si>
    <t>周边有金榜园、龙博苑、育新花园、沁春家园等住宅小区，居住社区成熟度较好。</t>
    <phoneticPr fontId="3" type="noConversion"/>
  </si>
  <si>
    <t>周边有315路、607路、629路等多条公交线路及地铁8号线育新站，综合评价交通便捷度较好</t>
    <phoneticPr fontId="3" type="noConversion"/>
  </si>
  <si>
    <t>城市次干道——建材城西路</t>
    <phoneticPr fontId="41" type="noConversion"/>
  </si>
  <si>
    <t>500-1000米</t>
  </si>
  <si>
    <r>
      <rPr>
        <sz val="10"/>
        <color theme="9" tint="-0.249977111117893"/>
        <rFont val="宋体"/>
        <family val="3"/>
        <charset val="134"/>
      </rPr>
      <t>距上地约</t>
    </r>
    <r>
      <rPr>
        <sz val="10"/>
        <color theme="9" tint="-0.249977111117893"/>
        <rFont val="Arial"/>
        <family val="2"/>
      </rPr>
      <t>5km</t>
    </r>
    <phoneticPr fontId="78" type="noConversion"/>
  </si>
  <si>
    <t>龙乡小区东区</t>
    <phoneticPr fontId="3" type="noConversion"/>
  </si>
  <si>
    <t>昌平区回龙观镇龙乡小区东区6号楼2单元201</t>
    <phoneticPr fontId="3" type="noConversion"/>
  </si>
  <si>
    <t>住宅</t>
    <phoneticPr fontId="25" type="noConversion"/>
  </si>
  <si>
    <t>50-60（含）</t>
  </si>
  <si>
    <t>周边有金榜园、龙博苑、育新花园、沁春家园等住宅小区，居住社区成熟度较好。</t>
    <phoneticPr fontId="25" type="noConversion"/>
  </si>
  <si>
    <r>
      <rPr>
        <sz val="11"/>
        <rFont val="宋体"/>
        <family val="3"/>
        <charset val="134"/>
      </rPr>
      <t>周边有</t>
    </r>
    <r>
      <rPr>
        <sz val="11"/>
        <rFont val="Arial"/>
        <family val="2"/>
      </rPr>
      <t>315</t>
    </r>
    <r>
      <rPr>
        <sz val="11"/>
        <rFont val="宋体"/>
        <family val="3"/>
        <charset val="134"/>
      </rPr>
      <t>路、</t>
    </r>
    <r>
      <rPr>
        <sz val="11"/>
        <rFont val="Arial"/>
        <family val="2"/>
      </rPr>
      <t>607</t>
    </r>
    <r>
      <rPr>
        <sz val="11"/>
        <rFont val="宋体"/>
        <family val="3"/>
        <charset val="134"/>
      </rPr>
      <t>路、</t>
    </r>
    <r>
      <rPr>
        <sz val="11"/>
        <rFont val="Arial"/>
        <family val="2"/>
      </rPr>
      <t>629</t>
    </r>
    <r>
      <rPr>
        <sz val="11"/>
        <rFont val="宋体"/>
        <family val="3"/>
        <charset val="134"/>
      </rPr>
      <t>路等多条公交线路及地铁</t>
    </r>
    <r>
      <rPr>
        <sz val="11"/>
        <rFont val="Arial"/>
        <family val="2"/>
      </rPr>
      <t>8</t>
    </r>
    <r>
      <rPr>
        <sz val="11"/>
        <rFont val="宋体"/>
        <family val="3"/>
        <charset val="134"/>
      </rPr>
      <t>号线育新站，综合评价交通便捷度较好</t>
    </r>
    <phoneticPr fontId="25" type="noConversion"/>
  </si>
  <si>
    <t>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t>
    <phoneticPr fontId="25" type="noConversion"/>
  </si>
  <si>
    <t>七通</t>
  </si>
  <si>
    <t>周边绿化以街区级绿化为主，一般</t>
    <phoneticPr fontId="3" type="noConversion"/>
  </si>
  <si>
    <t>周边绿化以街区级绿化为主，一般</t>
    <phoneticPr fontId="25" type="noConversion"/>
  </si>
  <si>
    <t>3/6</t>
    <phoneticPr fontId="3" type="noConversion"/>
  </si>
  <si>
    <t>4/6</t>
    <phoneticPr fontId="3" type="noConversion"/>
  </si>
  <si>
    <t>2/6</t>
    <phoneticPr fontId="3" type="noConversion"/>
  </si>
  <si>
    <t>5/6</t>
    <phoneticPr fontId="3" type="noConversion"/>
  </si>
  <si>
    <t>1/6</t>
    <phoneticPr fontId="3" type="noConversion"/>
  </si>
  <si>
    <t>6/6</t>
    <phoneticPr fontId="3" type="noConversion"/>
  </si>
  <si>
    <t>1/6</t>
  </si>
  <si>
    <t>南北</t>
    <phoneticPr fontId="140" type="noConversion"/>
  </si>
  <si>
    <t>南</t>
    <phoneticPr fontId="140" type="noConversion"/>
  </si>
  <si>
    <t>东南</t>
    <phoneticPr fontId="140" type="noConversion"/>
  </si>
  <si>
    <t>西南</t>
    <phoneticPr fontId="140" type="noConversion"/>
  </si>
  <si>
    <t>东西</t>
    <phoneticPr fontId="140" type="noConversion"/>
  </si>
  <si>
    <t>东</t>
    <phoneticPr fontId="140" type="noConversion"/>
  </si>
  <si>
    <t>西</t>
    <phoneticPr fontId="140" type="noConversion"/>
  </si>
  <si>
    <t>东北</t>
    <phoneticPr fontId="140" type="noConversion"/>
  </si>
  <si>
    <t>西北</t>
    <phoneticPr fontId="140" type="noConversion"/>
  </si>
  <si>
    <t>北</t>
    <phoneticPr fontId="140" type="noConversion"/>
  </si>
  <si>
    <t>多层板楼</t>
    <phoneticPr fontId="3" type="noConversion"/>
  </si>
  <si>
    <t>高层板楼</t>
    <phoneticPr fontId="3" type="noConversion"/>
  </si>
  <si>
    <t>砖混</t>
    <phoneticPr fontId="3" type="noConversion"/>
  </si>
  <si>
    <t>物业公司管理</t>
    <phoneticPr fontId="3" type="noConversion"/>
  </si>
  <si>
    <t>居委会管理</t>
    <phoneticPr fontId="3" type="noConversion"/>
  </si>
  <si>
    <t>七通</t>
    <phoneticPr fontId="3" type="noConversion"/>
  </si>
  <si>
    <t>六通</t>
    <phoneticPr fontId="3" type="noConversion"/>
  </si>
  <si>
    <t>砖混</t>
  </si>
  <si>
    <t>简单装修</t>
  </si>
  <si>
    <t>建成年代</t>
    <phoneticPr fontId="25" type="noConversion"/>
  </si>
  <si>
    <t>物业公司管理</t>
  </si>
  <si>
    <t>2/6</t>
  </si>
  <si>
    <t>比较法-住宅</t>
  </si>
  <si>
    <t>成本法 (元)</t>
  </si>
  <si>
    <t>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</si>
</sst>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409]d/mmm/yy;@"/>
    <numFmt numFmtId="198" formatCode="#,##0.00_ "/>
    <numFmt numFmtId="199" formatCode="yyyy/mm/dd;@"/>
    <numFmt numFmtId="200" formatCode="0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sz val="11"/>
      <color indexed="8"/>
      <name val="等线"/>
      <family val="3"/>
      <charset val="134"/>
    </font>
    <font>
      <b/>
      <sz val="14"/>
      <color indexed="8"/>
      <name val="宋体"/>
      <family val="3"/>
      <charset val="134"/>
    </font>
    <font>
      <b/>
      <sz val="12"/>
      <color indexed="8"/>
      <name val="Times New Roman"/>
      <family val="1"/>
    </font>
    <font>
      <sz val="9"/>
      <name val="等线"/>
      <family val="3"/>
      <charset val="134"/>
    </font>
    <font>
      <b/>
      <sz val="12"/>
      <color indexed="8"/>
      <name val="Times New Roman"/>
      <family val="3"/>
      <charset val="134"/>
    </font>
    <font>
      <sz val="11"/>
      <color indexed="8"/>
      <name val="Times New Roman"/>
      <family val="1"/>
    </font>
    <font>
      <sz val="11"/>
      <color indexed="8"/>
      <name val="Times New Roman"/>
      <family val="3"/>
      <charset val="134"/>
    </font>
    <font>
      <sz val="11"/>
      <color rgb="FFFF0000"/>
      <name val="Times New Roman"/>
      <family val="1"/>
    </font>
    <font>
      <b/>
      <sz val="11"/>
      <color indexed="8"/>
      <name val="Times New Roman"/>
      <family val="1"/>
    </font>
    <font>
      <sz val="11"/>
      <color rgb="FF000000"/>
      <name val="等线"/>
      <family val="3"/>
      <charset val="134"/>
    </font>
    <font>
      <sz val="11"/>
      <color rgb="FF000000"/>
      <name val="宋体"/>
      <family val="3"/>
      <charset val="134"/>
    </font>
    <font>
      <sz val="11"/>
      <color rgb="FF000000"/>
      <name val="Times New Roman"/>
      <family val="1"/>
    </font>
    <font>
      <b/>
      <sz val="11"/>
      <color indexed="8"/>
      <name val="等线"/>
      <family val="3"/>
      <charset val="134"/>
    </font>
    <font>
      <sz val="12"/>
      <color indexed="8"/>
      <name val="Times New Roman"/>
      <family val="1"/>
    </font>
    <font>
      <b/>
      <sz val="9"/>
      <color indexed="81"/>
      <name val="Times New Roman"/>
      <family val="1"/>
    </font>
    <font>
      <sz val="10"/>
      <name val="Times New Roman"/>
      <family val="1"/>
    </font>
    <font>
      <sz val="10"/>
      <color theme="9" tint="-0.249977111117893"/>
      <name val="Arial"/>
      <family val="3"/>
      <charset val="134"/>
    </font>
    <font>
      <sz val="11"/>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7" fontId="257" fillId="0" borderId="0">
      <alignment vertical="center"/>
    </xf>
    <xf numFmtId="43" fontId="257" fillId="0" borderId="0" applyFont="0" applyFill="0" applyBorder="0" applyAlignment="0" applyProtection="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98" fillId="0" borderId="0" xfId="10">
      <alignment vertical="center"/>
    </xf>
    <xf numFmtId="0" fontId="98" fillId="5" borderId="0" xfId="10" applyFill="1">
      <alignment vertical="center"/>
    </xf>
    <xf numFmtId="0" fontId="256" fillId="0" borderId="0" xfId="10" applyFont="1">
      <alignment vertical="center"/>
    </xf>
    <xf numFmtId="0" fontId="79" fillId="12" borderId="0" xfId="0" applyFont="1" applyFill="1" applyProtection="1">
      <alignment vertical="center"/>
      <protection locked="0"/>
    </xf>
    <xf numFmtId="9" fontId="49" fillId="12" borderId="0" xfId="17" applyFont="1" applyFill="1" applyAlignment="1" applyProtection="1">
      <alignment vertical="center"/>
      <protection locked="0"/>
    </xf>
    <xf numFmtId="49" fontId="232" fillId="0" borderId="10" xfId="0" applyNumberFormat="1" applyFont="1" applyBorder="1" applyAlignment="1" applyProtection="1">
      <alignment vertical="center" wrapText="1"/>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79" fillId="0" borderId="24" xfId="0" applyFont="1" applyBorder="1" applyAlignment="1" applyProtection="1">
      <alignment vertical="center" wrapText="1"/>
      <protection locked="0"/>
    </xf>
    <xf numFmtId="0" fontId="97" fillId="0" borderId="9"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232" fillId="0" borderId="18" xfId="0" applyFont="1" applyBorder="1" applyAlignment="1" applyProtection="1">
      <alignment horizontal="center" vertical="center" wrapText="1"/>
      <protection locked="0"/>
    </xf>
    <xf numFmtId="0" fontId="79" fillId="0" borderId="4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7" borderId="0" xfId="0" applyFont="1" applyFill="1" applyProtection="1">
      <alignment vertical="center"/>
      <protection locked="0"/>
    </xf>
    <xf numFmtId="177" fontId="79" fillId="0" borderId="1" xfId="1" applyNumberFormat="1" applyFont="1" applyBorder="1" applyProtection="1">
      <alignment vertical="center"/>
      <protection locked="0" hidden="1"/>
    </xf>
    <xf numFmtId="2" fontId="49" fillId="12" borderId="0" xfId="0" applyNumberFormat="1" applyFont="1" applyFill="1" applyProtection="1">
      <alignment vertical="center"/>
      <protection locked="0"/>
    </xf>
    <xf numFmtId="197" fontId="257" fillId="0" borderId="0" xfId="18" applyAlignment="1">
      <alignment horizontal="center"/>
    </xf>
    <xf numFmtId="197" fontId="134" fillId="0" borderId="0" xfId="18" applyFont="1" applyAlignment="1">
      <alignment horizontal="center" vertical="center"/>
    </xf>
    <xf numFmtId="197" fontId="134" fillId="0" borderId="0" xfId="18" applyFont="1" applyAlignment="1">
      <alignment horizontal="center" vertical="center" wrapText="1"/>
    </xf>
    <xf numFmtId="197" fontId="259" fillId="7" borderId="1" xfId="18" applyFont="1" applyFill="1" applyBorder="1" applyAlignment="1">
      <alignment horizontal="center" vertical="center" wrapText="1"/>
    </xf>
    <xf numFmtId="197" fontId="183" fillId="7" borderId="1" xfId="18" applyFont="1" applyFill="1" applyBorder="1" applyAlignment="1">
      <alignment horizontal="center" vertical="center" wrapText="1"/>
    </xf>
    <xf numFmtId="197" fontId="261" fillId="7" borderId="1" xfId="18" applyFont="1" applyFill="1" applyBorder="1" applyAlignment="1">
      <alignment horizontal="center" vertical="center" wrapText="1"/>
    </xf>
    <xf numFmtId="197" fontId="134" fillId="7" borderId="0" xfId="18" applyFont="1" applyFill="1" applyAlignment="1">
      <alignment horizontal="center" vertical="center"/>
    </xf>
    <xf numFmtId="197" fontId="263" fillId="7" borderId="1" xfId="18" applyFont="1" applyFill="1" applyBorder="1" applyAlignment="1">
      <alignment horizontal="center" vertical="center" wrapText="1"/>
    </xf>
    <xf numFmtId="198" fontId="262" fillId="7" borderId="1" xfId="18" applyNumberFormat="1" applyFont="1" applyFill="1" applyBorder="1" applyAlignment="1">
      <alignment horizontal="center" vertical="center"/>
    </xf>
    <xf numFmtId="0" fontId="134" fillId="7" borderId="0" xfId="18" applyNumberFormat="1" applyFont="1" applyFill="1" applyAlignment="1">
      <alignment horizontal="center" vertical="center"/>
    </xf>
    <xf numFmtId="197" fontId="262" fillId="0" borderId="1" xfId="18" applyFont="1" applyBorder="1" applyAlignment="1">
      <alignment horizontal="center" vertical="center" wrapText="1"/>
    </xf>
    <xf numFmtId="198" fontId="262" fillId="0" borderId="1" xfId="18" applyNumberFormat="1" applyFont="1" applyBorder="1" applyAlignment="1">
      <alignment horizontal="center" vertical="center"/>
    </xf>
    <xf numFmtId="0" fontId="262" fillId="0" borderId="1" xfId="18" applyNumberFormat="1" applyFont="1" applyBorder="1" applyAlignment="1">
      <alignment horizontal="center" vertical="center"/>
    </xf>
    <xf numFmtId="14" fontId="262" fillId="0" borderId="1" xfId="18" applyNumberFormat="1" applyFont="1" applyBorder="1" applyAlignment="1">
      <alignment horizontal="right" vertical="center"/>
    </xf>
    <xf numFmtId="197" fontId="262" fillId="0" borderId="1" xfId="18" applyFont="1" applyBorder="1" applyAlignment="1">
      <alignment horizontal="center" vertical="center"/>
    </xf>
    <xf numFmtId="197" fontId="134" fillId="0" borderId="1" xfId="18" applyFont="1" applyBorder="1" applyAlignment="1">
      <alignment horizontal="center" vertical="center" wrapText="1"/>
    </xf>
    <xf numFmtId="43" fontId="265" fillId="0" borderId="1" xfId="19" applyFont="1" applyBorder="1" applyAlignment="1">
      <alignment horizontal="center" vertical="center"/>
    </xf>
    <xf numFmtId="198" fontId="265" fillId="0" borderId="1" xfId="18" applyNumberFormat="1" applyFont="1" applyBorder="1" applyAlignment="1">
      <alignment horizontal="center" vertical="center"/>
    </xf>
    <xf numFmtId="197" fontId="259" fillId="0" borderId="1" xfId="18" applyFont="1" applyBorder="1" applyAlignment="1">
      <alignment horizontal="center" vertical="center" wrapText="1"/>
    </xf>
    <xf numFmtId="197" fontId="266" fillId="0" borderId="1" xfId="18" applyFont="1" applyBorder="1" applyAlignment="1">
      <alignment horizontal="center" vertical="center" wrapText="1"/>
    </xf>
    <xf numFmtId="199" fontId="262" fillId="0" borderId="1" xfId="18" applyNumberFormat="1" applyFont="1" applyBorder="1" applyAlignment="1">
      <alignment horizontal="center" vertical="center" wrapText="1"/>
    </xf>
    <xf numFmtId="0" fontId="259" fillId="0" borderId="1" xfId="18" applyNumberFormat="1" applyFont="1" applyBorder="1" applyAlignment="1">
      <alignment horizontal="center" vertical="center" wrapText="1"/>
    </xf>
    <xf numFmtId="43" fontId="262" fillId="0" borderId="1" xfId="19" applyFont="1" applyBorder="1" applyAlignment="1">
      <alignment horizontal="center" vertical="center"/>
    </xf>
    <xf numFmtId="197" fontId="263" fillId="0" borderId="1" xfId="18" applyFont="1" applyBorder="1" applyAlignment="1">
      <alignment horizontal="center" vertical="center" wrapText="1"/>
    </xf>
    <xf numFmtId="43" fontId="262" fillId="0" borderId="1" xfId="19" applyFont="1" applyFill="1" applyBorder="1" applyAlignment="1">
      <alignment horizontal="center" vertical="center"/>
    </xf>
    <xf numFmtId="197" fontId="269" fillId="0" borderId="0" xfId="18" applyFont="1" applyAlignment="1">
      <alignment horizontal="center"/>
    </xf>
    <xf numFmtId="199" fontId="265" fillId="0" borderId="1" xfId="18" applyNumberFormat="1" applyFont="1" applyBorder="1" applyAlignment="1">
      <alignment horizontal="center" vertical="center" wrapText="1"/>
    </xf>
    <xf numFmtId="43" fontId="265" fillId="0" borderId="1" xfId="18" applyNumberFormat="1" applyFont="1" applyBorder="1" applyAlignment="1">
      <alignment horizontal="center" vertical="center"/>
    </xf>
    <xf numFmtId="197" fontId="152" fillId="0" borderId="0" xfId="18" applyFont="1" applyAlignment="1">
      <alignment horizontal="center" vertical="center"/>
    </xf>
    <xf numFmtId="0" fontId="134" fillId="0" borderId="0" xfId="18" applyNumberFormat="1" applyFont="1" applyAlignment="1">
      <alignment horizontal="center" vertical="center"/>
    </xf>
    <xf numFmtId="43" fontId="134" fillId="0" borderId="0" xfId="18" applyNumberFormat="1" applyFont="1" applyAlignment="1">
      <alignment horizontal="center" vertical="center"/>
    </xf>
    <xf numFmtId="9" fontId="49" fillId="12" borderId="0" xfId="0" applyNumberFormat="1" applyFont="1" applyFill="1" applyProtection="1">
      <alignment vertical="center"/>
      <protection locked="0"/>
    </xf>
    <xf numFmtId="0" fontId="79" fillId="20" borderId="0" xfId="0" applyFont="1" applyFill="1" applyProtection="1">
      <alignment vertical="center"/>
      <protection locked="0"/>
    </xf>
    <xf numFmtId="9" fontId="49" fillId="20" borderId="0" xfId="0" applyNumberFormat="1" applyFont="1" applyFill="1" applyProtection="1">
      <alignment vertical="center"/>
      <protection locked="0"/>
    </xf>
    <xf numFmtId="0" fontId="152" fillId="0" borderId="0" xfId="18" applyNumberFormat="1" applyFont="1" applyAlignment="1">
      <alignment horizontal="center" vertical="center"/>
    </xf>
    <xf numFmtId="43" fontId="152" fillId="0" borderId="0" xfId="18" applyNumberFormat="1" applyFont="1" applyAlignment="1">
      <alignment horizontal="center" vertical="center"/>
    </xf>
    <xf numFmtId="0" fontId="55" fillId="6" borderId="0" xfId="0" applyFont="1" applyFill="1" applyAlignment="1">
      <alignment horizontal="left" vertical="center" wrapText="1"/>
    </xf>
    <xf numFmtId="182" fontId="165" fillId="0" borderId="0" xfId="12" applyNumberFormat="1" applyAlignment="1" applyProtection="1">
      <alignment horizontal="left"/>
      <protection locked="0"/>
    </xf>
    <xf numFmtId="9" fontId="49" fillId="7" borderId="5" xfId="0" applyNumberFormat="1" applyFont="1" applyFill="1" applyBorder="1" applyAlignment="1" applyProtection="1">
      <alignment horizontal="center" vertical="center"/>
      <protection locked="0"/>
    </xf>
    <xf numFmtId="10" fontId="46" fillId="7" borderId="1" xfId="0" applyNumberFormat="1" applyFont="1" applyFill="1" applyBorder="1" applyAlignment="1" applyProtection="1">
      <alignment horizontal="center" vertical="center"/>
      <protection locked="0"/>
    </xf>
    <xf numFmtId="49" fontId="19" fillId="21" borderId="1" xfId="0" applyNumberFormat="1" applyFont="1" applyFill="1" applyBorder="1" applyAlignment="1" applyProtection="1">
      <alignment horizontal="left"/>
      <protection locked="0"/>
    </xf>
    <xf numFmtId="0" fontId="19" fillId="21" borderId="1" xfId="0" applyFont="1" applyFill="1" applyBorder="1" applyAlignment="1" applyProtection="1">
      <alignment horizontal="center"/>
      <protection locked="0"/>
    </xf>
    <xf numFmtId="49" fontId="19" fillId="21" borderId="1" xfId="0" applyNumberFormat="1" applyFont="1" applyFill="1" applyBorder="1" applyAlignment="1" applyProtection="1">
      <alignment horizontal="center"/>
      <protection locked="0"/>
    </xf>
    <xf numFmtId="0" fontId="19" fillId="21" borderId="1" xfId="0" applyFont="1" applyFill="1" applyBorder="1" applyAlignment="1" applyProtection="1">
      <protection locked="0"/>
    </xf>
    <xf numFmtId="0" fontId="19" fillId="21" borderId="1" xfId="0" applyFont="1" applyFill="1" applyBorder="1" applyAlignment="1" applyProtection="1">
      <alignment horizontal="right"/>
      <protection locked="0"/>
    </xf>
    <xf numFmtId="0" fontId="19" fillId="21" borderId="1" xfId="0" applyFont="1" applyFill="1" applyBorder="1" applyAlignment="1" applyProtection="1">
      <alignment horizontal="left"/>
      <protection locked="0"/>
    </xf>
    <xf numFmtId="182" fontId="19" fillId="21" borderId="1" xfId="0" applyNumberFormat="1" applyFont="1" applyFill="1" applyBorder="1" applyAlignment="1" applyProtection="1">
      <alignment horizontal="right"/>
      <protection locked="0"/>
    </xf>
    <xf numFmtId="0" fontId="194" fillId="21" borderId="1" xfId="0" applyFont="1" applyFill="1" applyBorder="1" applyAlignment="1" applyProtection="1">
      <alignment horizontal="left"/>
      <protection locked="0"/>
    </xf>
    <xf numFmtId="0" fontId="194" fillId="21" borderId="1" xfId="0" applyFont="1" applyFill="1" applyBorder="1" applyAlignment="1" applyProtection="1">
      <protection locked="0"/>
    </xf>
    <xf numFmtId="31" fontId="19" fillId="21" borderId="1" xfId="0" applyNumberFormat="1" applyFont="1" applyFill="1" applyBorder="1" applyAlignment="1" applyProtection="1">
      <protection locked="0"/>
    </xf>
    <xf numFmtId="0" fontId="186" fillId="21" borderId="1" xfId="0" applyFont="1" applyFill="1" applyBorder="1" applyAlignment="1" applyProtection="1">
      <alignment horizontal="center"/>
      <protection locked="0"/>
    </xf>
    <xf numFmtId="0" fontId="186" fillId="21" borderId="5" xfId="0" applyFont="1" applyFill="1" applyBorder="1" applyAlignment="1" applyProtection="1">
      <alignment horizontal="center"/>
      <protection locked="0"/>
    </xf>
    <xf numFmtId="0" fontId="83" fillId="21" borderId="1" xfId="0" applyFont="1" applyFill="1" applyBorder="1" applyAlignment="1" applyProtection="1">
      <alignment horizontal="center"/>
      <protection locked="0"/>
    </xf>
    <xf numFmtId="0" fontId="83" fillId="21" borderId="1" xfId="0" applyFont="1" applyFill="1" applyBorder="1" applyAlignment="1">
      <alignment horizontal="center"/>
    </xf>
    <xf numFmtId="0" fontId="19" fillId="22" borderId="1" xfId="0" applyFont="1" applyFill="1" applyBorder="1" applyAlignment="1" applyProtection="1">
      <protection locked="0"/>
    </xf>
    <xf numFmtId="49" fontId="19" fillId="22" borderId="1" xfId="0" applyNumberFormat="1" applyFont="1" applyFill="1" applyBorder="1" applyAlignment="1" applyProtection="1">
      <protection locked="0"/>
    </xf>
    <xf numFmtId="200" fontId="19" fillId="22" borderId="1" xfId="0" applyNumberFormat="1" applyFont="1" applyFill="1" applyBorder="1" applyAlignment="1" applyProtection="1">
      <protection locked="0"/>
    </xf>
    <xf numFmtId="179"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184" fontId="83" fillId="21" borderId="1" xfId="0" applyNumberFormat="1" applyFont="1" applyFill="1" applyBorder="1" applyAlignment="1" applyProtection="1">
      <alignment horizontal="center"/>
      <protection locked="0"/>
    </xf>
    <xf numFmtId="184" fontId="186" fillId="21" borderId="1" xfId="0" applyNumberFormat="1" applyFont="1" applyFill="1" applyBorder="1" applyAlignment="1" applyProtection="1">
      <alignment horizontal="center"/>
      <protection locked="0"/>
    </xf>
    <xf numFmtId="0" fontId="83" fillId="23" borderId="1" xfId="0" applyFont="1" applyFill="1" applyBorder="1" applyAlignment="1" applyProtection="1">
      <alignment horizontal="center"/>
      <protection locked="0"/>
    </xf>
    <xf numFmtId="0" fontId="19" fillId="0" borderId="1" xfId="0" applyFont="1" applyBorder="1" applyAlignment="1" applyProtection="1">
      <protection locked="0"/>
    </xf>
    <xf numFmtId="49" fontId="83" fillId="21" borderId="1" xfId="0" applyNumberFormat="1" applyFont="1" applyFill="1" applyBorder="1" applyAlignment="1" applyProtection="1">
      <alignment horizontal="center"/>
      <protection locked="0"/>
    </xf>
    <xf numFmtId="0" fontId="83" fillId="21" borderId="1" xfId="0" applyFont="1" applyFill="1" applyBorder="1" applyAlignment="1" applyProtection="1">
      <alignment horizontal="right"/>
      <protection locked="0"/>
    </xf>
    <xf numFmtId="0" fontId="83" fillId="21" borderId="1" xfId="0" applyFont="1" applyFill="1" applyBorder="1" applyAlignment="1" applyProtection="1">
      <protection locked="0"/>
    </xf>
    <xf numFmtId="182" fontId="83" fillId="21" borderId="1" xfId="0" applyNumberFormat="1" applyFont="1" applyFill="1" applyBorder="1" applyAlignment="1" applyProtection="1">
      <alignment horizontal="right"/>
      <protection locked="0"/>
    </xf>
    <xf numFmtId="31" fontId="83" fillId="21" borderId="1" xfId="0" applyNumberFormat="1" applyFont="1" applyFill="1" applyBorder="1" applyAlignment="1" applyProtection="1">
      <alignment horizontal="center"/>
      <protection locked="0"/>
    </xf>
    <xf numFmtId="0" fontId="83" fillId="22" borderId="1" xfId="0" applyFont="1" applyFill="1" applyBorder="1" applyAlignment="1" applyProtection="1">
      <alignment horizontal="center"/>
      <protection locked="0"/>
    </xf>
    <xf numFmtId="46" fontId="83" fillId="22" borderId="1" xfId="0" applyNumberFormat="1" applyFont="1" applyFill="1" applyBorder="1" applyAlignment="1" applyProtection="1">
      <alignment horizontal="center"/>
      <protection locked="0"/>
    </xf>
    <xf numFmtId="49" fontId="83" fillId="22" borderId="1" xfId="0" applyNumberFormat="1" applyFont="1" applyFill="1" applyBorder="1" applyAlignment="1" applyProtection="1">
      <alignment horizontal="center"/>
      <protection locked="0"/>
    </xf>
    <xf numFmtId="200" fontId="83" fillId="22" borderId="1" xfId="0" applyNumberFormat="1" applyFont="1" applyFill="1" applyBorder="1" applyAlignment="1" applyProtection="1">
      <alignment horizontal="center"/>
      <protection locked="0"/>
    </xf>
    <xf numFmtId="179" fontId="83" fillId="22" borderId="1" xfId="0" applyNumberFormat="1" applyFont="1" applyFill="1" applyBorder="1" applyAlignment="1" applyProtection="1">
      <alignment horizontal="center"/>
      <protection locked="0"/>
    </xf>
    <xf numFmtId="31" fontId="83" fillId="22" borderId="1" xfId="0" applyNumberFormat="1" applyFont="1" applyFill="1" applyBorder="1" applyAlignment="1" applyProtection="1">
      <alignment horizontal="center"/>
      <protection locked="0"/>
    </xf>
    <xf numFmtId="0" fontId="83" fillId="0" borderId="1" xfId="0" applyFont="1" applyBorder="1" applyAlignment="1" applyProtection="1">
      <alignment horizontal="center"/>
      <protection locked="0"/>
    </xf>
    <xf numFmtId="0" fontId="19" fillId="7" borderId="1" xfId="0" applyFont="1" applyFill="1" applyBorder="1">
      <alignment vertical="center"/>
    </xf>
    <xf numFmtId="177" fontId="19" fillId="7" borderId="1" xfId="0" quotePrefix="1" applyNumberFormat="1" applyFont="1" applyFill="1" applyBorder="1" applyAlignment="1">
      <alignment horizontal="left" vertical="center"/>
    </xf>
    <xf numFmtId="0" fontId="19" fillId="7" borderId="1" xfId="0" quotePrefix="1" applyFont="1" applyFill="1" applyBorder="1">
      <alignment vertical="center"/>
    </xf>
    <xf numFmtId="179" fontId="19" fillId="7" borderId="1" xfId="0" applyNumberFormat="1" applyFont="1" applyFill="1" applyBorder="1" applyAlignment="1">
      <alignment horizontal="right" vertical="center"/>
    </xf>
    <xf numFmtId="2" fontId="19" fillId="7" borderId="1" xfId="0" applyNumberFormat="1" applyFont="1" applyFill="1" applyBorder="1">
      <alignment vertical="center"/>
    </xf>
    <xf numFmtId="182" fontId="19" fillId="7" borderId="1" xfId="0" applyNumberFormat="1" applyFont="1" applyFill="1" applyBorder="1" applyAlignment="1">
      <alignment horizontal="right" vertical="center"/>
    </xf>
    <xf numFmtId="9" fontId="19" fillId="7" borderId="1" xfId="0" applyNumberFormat="1" applyFont="1" applyFill="1" applyBorder="1">
      <alignment vertical="center"/>
    </xf>
    <xf numFmtId="182" fontId="19" fillId="7" borderId="1" xfId="0" applyNumberFormat="1" applyFont="1" applyFill="1" applyBorder="1">
      <alignment vertical="center"/>
    </xf>
    <xf numFmtId="0" fontId="19" fillId="7" borderId="1" xfId="0" applyFont="1" applyFill="1" applyBorder="1" applyProtection="1">
      <alignment vertical="center"/>
      <protection locked="0"/>
    </xf>
    <xf numFmtId="31" fontId="19" fillId="7" borderId="1" xfId="0" applyNumberFormat="1" applyFont="1" applyFill="1" applyBorder="1">
      <alignment vertical="center"/>
    </xf>
    <xf numFmtId="193" fontId="19" fillId="7" borderId="1" xfId="0" applyNumberFormat="1" applyFont="1" applyFill="1" applyBorder="1" applyAlignment="1">
      <alignment horizontal="center" vertical="center"/>
    </xf>
    <xf numFmtId="49" fontId="19" fillId="7" borderId="1" xfId="0" applyNumberFormat="1" applyFont="1" applyFill="1" applyBorder="1">
      <alignment vertical="center"/>
    </xf>
    <xf numFmtId="200" fontId="19" fillId="7" borderId="1" xfId="0" applyNumberFormat="1" applyFont="1" applyFill="1" applyBorder="1">
      <alignment vertical="center"/>
    </xf>
    <xf numFmtId="179" fontId="19" fillId="7" borderId="1" xfId="0" applyNumberFormat="1" applyFont="1" applyFill="1" applyBorder="1">
      <alignment vertical="center"/>
    </xf>
    <xf numFmtId="184" fontId="19" fillId="7" borderId="1" xfId="0" applyNumberFormat="1" applyFont="1" applyFill="1" applyBorder="1" applyProtection="1">
      <alignment vertical="center"/>
      <protection locked="0"/>
    </xf>
    <xf numFmtId="0" fontId="272" fillId="7" borderId="0" xfId="0" applyFont="1" applyFill="1" applyAlignment="1"/>
    <xf numFmtId="0" fontId="19" fillId="7" borderId="0" xfId="0" applyFont="1" applyFill="1" applyProtection="1">
      <alignment vertical="center"/>
      <protection locked="0"/>
    </xf>
    <xf numFmtId="0" fontId="19" fillId="7" borderId="0" xfId="0" applyFont="1" applyFill="1">
      <alignment vertical="center"/>
    </xf>
    <xf numFmtId="0" fontId="19" fillId="7" borderId="1" xfId="0" applyFont="1" applyFill="1" applyBorder="1" applyAlignment="1">
      <alignment horizontal="left" vertical="center"/>
    </xf>
    <xf numFmtId="49" fontId="19" fillId="7" borderId="1" xfId="0" quotePrefix="1" applyNumberFormat="1" applyFont="1" applyFill="1" applyBorder="1">
      <alignment vertical="center"/>
    </xf>
    <xf numFmtId="49" fontId="19" fillId="7" borderId="1" xfId="0" applyNumberFormat="1" applyFont="1" applyFill="1" applyBorder="1" applyAlignment="1">
      <alignment horizontal="center" vertical="center"/>
    </xf>
    <xf numFmtId="0" fontId="19" fillId="7" borderId="1" xfId="0" applyFont="1" applyFill="1" applyBorder="1" applyAlignment="1">
      <alignment horizontal="center" vertical="center"/>
    </xf>
    <xf numFmtId="0" fontId="19" fillId="7" borderId="1" xfId="0" applyFont="1" applyFill="1" applyBorder="1" applyAlignment="1">
      <alignment horizontal="right" vertical="center"/>
    </xf>
    <xf numFmtId="184" fontId="19" fillId="7" borderId="1" xfId="0" applyNumberFormat="1" applyFont="1" applyFill="1" applyBorder="1">
      <alignment vertical="center"/>
    </xf>
    <xf numFmtId="0" fontId="19" fillId="7" borderId="1" xfId="0" applyFont="1" applyFill="1" applyBorder="1" applyAlignment="1">
      <alignment horizontal="left"/>
    </xf>
    <xf numFmtId="0" fontId="19" fillId="7" borderId="1" xfId="0" applyFont="1" applyFill="1" applyBorder="1" applyAlignment="1"/>
    <xf numFmtId="49" fontId="19" fillId="7" borderId="1" xfId="0" applyNumberFormat="1" applyFont="1" applyFill="1" applyBorder="1" applyAlignment="1"/>
    <xf numFmtId="0" fontId="19" fillId="7" borderId="1" xfId="0" applyFont="1" applyFill="1" applyBorder="1" applyAlignment="1">
      <alignment horizontal="right"/>
    </xf>
    <xf numFmtId="1" fontId="19" fillId="7" borderId="1" xfId="0" applyNumberFormat="1" applyFont="1" applyFill="1" applyBorder="1" applyAlignment="1">
      <alignment horizontal="right"/>
    </xf>
    <xf numFmtId="2" fontId="19" fillId="7" borderId="1" xfId="0" applyNumberFormat="1" applyFont="1" applyFill="1" applyBorder="1" applyAlignment="1">
      <alignment horizontal="right"/>
    </xf>
    <xf numFmtId="182" fontId="19" fillId="7" borderId="1" xfId="0" applyNumberFormat="1" applyFont="1" applyFill="1" applyBorder="1" applyAlignment="1">
      <alignment horizontal="right"/>
    </xf>
    <xf numFmtId="9" fontId="19" fillId="7" borderId="1" xfId="0" applyNumberFormat="1" applyFont="1" applyFill="1" applyBorder="1" applyAlignment="1">
      <alignment horizontal="right"/>
    </xf>
    <xf numFmtId="0" fontId="19" fillId="7" borderId="1" xfId="0" applyFont="1" applyFill="1" applyBorder="1" applyAlignment="1" applyProtection="1">
      <alignment horizontal="right"/>
      <protection locked="0"/>
    </xf>
    <xf numFmtId="0" fontId="19" fillId="7" borderId="1" xfId="0" quotePrefix="1" applyFont="1" applyFill="1" applyBorder="1" applyAlignment="1"/>
    <xf numFmtId="0" fontId="19" fillId="7" borderId="1" xfId="0" applyFont="1" applyFill="1" applyBorder="1" applyAlignment="1" applyProtection="1">
      <protection locked="0"/>
    </xf>
    <xf numFmtId="31" fontId="19" fillId="7" borderId="1" xfId="0" applyNumberFormat="1" applyFont="1" applyFill="1" applyBorder="1" applyAlignment="1"/>
    <xf numFmtId="193" fontId="19" fillId="7" borderId="1" xfId="0" applyNumberFormat="1" applyFont="1" applyFill="1" applyBorder="1" applyAlignment="1">
      <alignment horizontal="center"/>
    </xf>
    <xf numFmtId="0" fontId="19" fillId="7" borderId="1" xfId="0" applyFont="1" applyFill="1" applyBorder="1" applyAlignment="1" applyProtection="1">
      <alignment horizontal="center"/>
      <protection locked="0"/>
    </xf>
    <xf numFmtId="49" fontId="19" fillId="7" borderId="1" xfId="0" applyNumberFormat="1" applyFont="1" applyFill="1" applyBorder="1" applyAlignment="1" applyProtection="1">
      <protection locked="0"/>
    </xf>
    <xf numFmtId="200" fontId="19" fillId="7" borderId="1" xfId="0" applyNumberFormat="1" applyFont="1" applyFill="1" applyBorder="1" applyAlignment="1" applyProtection="1">
      <protection locked="0"/>
    </xf>
    <xf numFmtId="179" fontId="19" fillId="7" borderId="1" xfId="0" applyNumberFormat="1" applyFont="1" applyFill="1" applyBorder="1" applyAlignment="1" applyProtection="1">
      <protection locked="0"/>
    </xf>
    <xf numFmtId="31" fontId="19" fillId="7" borderId="1" xfId="0" applyNumberFormat="1" applyFont="1" applyFill="1" applyBorder="1" applyAlignment="1" applyProtection="1">
      <protection locked="0"/>
    </xf>
    <xf numFmtId="184" fontId="19" fillId="7" borderId="1" xfId="0" applyNumberFormat="1" applyFont="1" applyFill="1" applyBorder="1" applyAlignment="1" applyProtection="1">
      <protection locked="0"/>
    </xf>
    <xf numFmtId="0" fontId="19" fillId="7" borderId="0" xfId="0" applyFont="1" applyFill="1" applyAlignment="1" applyProtection="1">
      <protection locked="0"/>
    </xf>
    <xf numFmtId="0" fontId="19" fillId="13" borderId="1" xfId="0" applyFont="1" applyFill="1" applyBorder="1">
      <alignment vertical="center"/>
    </xf>
    <xf numFmtId="49" fontId="19" fillId="13" borderId="1" xfId="0" applyNumberFormat="1" applyFont="1" applyFill="1" applyBorder="1">
      <alignment vertical="center"/>
    </xf>
    <xf numFmtId="0" fontId="19" fillId="13" borderId="1" xfId="0" applyFont="1" applyFill="1" applyBorder="1" applyAlignment="1">
      <alignment horizontal="right" vertical="center"/>
    </xf>
    <xf numFmtId="1" fontId="19" fillId="13" borderId="1" xfId="0" applyNumberFormat="1" applyFont="1" applyFill="1" applyBorder="1">
      <alignment vertical="center"/>
    </xf>
    <xf numFmtId="2" fontId="19" fillId="13" borderId="1" xfId="0" applyNumberFormat="1" applyFont="1" applyFill="1" applyBorder="1" applyAlignment="1">
      <alignment horizontal="right" vertical="center"/>
    </xf>
    <xf numFmtId="182" fontId="19" fillId="13" borderId="1" xfId="0" applyNumberFormat="1" applyFont="1" applyFill="1" applyBorder="1">
      <alignment vertical="center"/>
    </xf>
    <xf numFmtId="9" fontId="19" fillId="13" borderId="1" xfId="0" applyNumberFormat="1" applyFont="1" applyFill="1" applyBorder="1">
      <alignment vertical="center"/>
    </xf>
    <xf numFmtId="182" fontId="19" fillId="13" borderId="1" xfId="0" applyNumberFormat="1" applyFont="1" applyFill="1" applyBorder="1" applyAlignment="1">
      <alignment horizontal="right" vertical="center"/>
    </xf>
    <xf numFmtId="0" fontId="19" fillId="13" borderId="1" xfId="0" applyFont="1" applyFill="1" applyBorder="1" applyProtection="1">
      <alignment vertical="center"/>
      <protection locked="0"/>
    </xf>
    <xf numFmtId="31" fontId="19" fillId="13" borderId="1" xfId="0" applyNumberFormat="1" applyFont="1" applyFill="1" applyBorder="1">
      <alignment vertical="center"/>
    </xf>
    <xf numFmtId="49" fontId="19" fillId="13" borderId="1" xfId="0" applyNumberFormat="1" applyFont="1" applyFill="1" applyBorder="1" applyProtection="1">
      <alignment vertical="center"/>
      <protection locked="0"/>
    </xf>
    <xf numFmtId="200" fontId="19" fillId="13" borderId="1" xfId="0" applyNumberFormat="1" applyFont="1" applyFill="1" applyBorder="1" applyProtection="1">
      <alignment vertical="center"/>
      <protection locked="0"/>
    </xf>
    <xf numFmtId="179" fontId="19" fillId="13" borderId="1" xfId="0" applyNumberFormat="1" applyFont="1" applyFill="1" applyBorder="1" applyProtection="1">
      <alignment vertical="center"/>
      <protection locked="0"/>
    </xf>
    <xf numFmtId="31" fontId="19" fillId="13" borderId="1" xfId="0" applyNumberFormat="1" applyFont="1" applyFill="1" applyBorder="1" applyProtection="1">
      <alignment vertical="center"/>
      <protection locked="0"/>
    </xf>
    <xf numFmtId="184" fontId="19" fillId="13" borderId="1" xfId="0" applyNumberFormat="1" applyFont="1" applyFill="1" applyBorder="1">
      <alignment vertical="center"/>
    </xf>
    <xf numFmtId="184" fontId="19" fillId="13" borderId="1" xfId="0" applyNumberFormat="1" applyFont="1" applyFill="1" applyBorder="1" applyProtection="1">
      <alignment vertical="center"/>
      <protection locked="0"/>
    </xf>
    <xf numFmtId="0" fontId="272" fillId="13" borderId="0" xfId="0" applyFont="1" applyFill="1" applyAlignment="1"/>
    <xf numFmtId="0" fontId="19" fillId="13" borderId="0" xfId="0" applyFont="1" applyFill="1" applyProtection="1">
      <alignment vertical="center"/>
      <protection locked="0"/>
    </xf>
    <xf numFmtId="0" fontId="19" fillId="13" borderId="1" xfId="0" applyFont="1" applyFill="1" applyBorder="1" applyAlignment="1">
      <alignment horizontal="left" vertical="center"/>
    </xf>
    <xf numFmtId="177" fontId="19" fillId="13" borderId="1" xfId="0" applyNumberFormat="1" applyFont="1" applyFill="1" applyBorder="1" applyAlignment="1">
      <alignment horizontal="left" vertical="center"/>
    </xf>
    <xf numFmtId="179" fontId="19" fillId="13" borderId="1" xfId="0" applyNumberFormat="1" applyFont="1" applyFill="1" applyBorder="1" applyAlignment="1">
      <alignment horizontal="right" vertical="center"/>
    </xf>
    <xf numFmtId="179" fontId="19" fillId="13" borderId="1" xfId="0" applyNumberFormat="1" applyFont="1" applyFill="1" applyBorder="1">
      <alignment vertical="center"/>
    </xf>
    <xf numFmtId="1" fontId="19" fillId="13" borderId="1" xfId="0" applyNumberFormat="1" applyFont="1" applyFill="1" applyBorder="1" applyAlignment="1">
      <alignment horizontal="right" vertical="center"/>
    </xf>
    <xf numFmtId="0" fontId="19" fillId="13" borderId="1" xfId="0" quotePrefix="1" applyFont="1" applyFill="1" applyBorder="1">
      <alignment vertical="center"/>
    </xf>
    <xf numFmtId="0" fontId="19" fillId="13" borderId="1" xfId="0" applyFont="1" applyFill="1" applyBorder="1" applyAlignment="1">
      <alignment horizontal="center" vertical="center"/>
    </xf>
    <xf numFmtId="200" fontId="19" fillId="13" borderId="1" xfId="0" applyNumberFormat="1" applyFont="1" applyFill="1" applyBorder="1">
      <alignment vertical="center"/>
    </xf>
    <xf numFmtId="0" fontId="19" fillId="13" borderId="0" xfId="0" applyFont="1" applyFill="1">
      <alignment vertical="center"/>
    </xf>
    <xf numFmtId="9" fontId="19" fillId="13" borderId="1" xfId="0" applyNumberFormat="1" applyFont="1" applyFill="1" applyBorder="1" applyAlignment="1">
      <alignment horizontal="right" vertical="center"/>
    </xf>
    <xf numFmtId="0" fontId="272" fillId="13" borderId="0" xfId="0" applyFont="1" applyFill="1">
      <alignment vertical="center"/>
    </xf>
    <xf numFmtId="0" fontId="83" fillId="21" borderId="1" xfId="0" applyFont="1" applyFill="1" applyBorder="1" applyAlignment="1">
      <alignment horizontal="left"/>
    </xf>
    <xf numFmtId="49" fontId="83" fillId="21" borderId="1" xfId="0" applyNumberFormat="1" applyFont="1" applyFill="1" applyBorder="1" applyAlignment="1">
      <alignment horizontal="center"/>
    </xf>
    <xf numFmtId="9" fontId="83" fillId="21" borderId="1" xfId="0" applyNumberFormat="1" applyFont="1" applyFill="1" applyBorder="1" applyAlignment="1">
      <alignment horizontal="center"/>
    </xf>
    <xf numFmtId="0" fontId="83" fillId="21" borderId="1" xfId="0" applyFont="1" applyFill="1" applyBorder="1" applyAlignment="1">
      <alignment horizontal="right"/>
    </xf>
    <xf numFmtId="0" fontId="19" fillId="0" borderId="0" xfId="0" applyFont="1" applyAlignment="1">
      <alignment horizontal="left"/>
    </xf>
    <xf numFmtId="0" fontId="83" fillId="21" borderId="13" xfId="0" applyFont="1" applyFill="1" applyBorder="1" applyAlignment="1">
      <alignment horizontal="left"/>
    </xf>
    <xf numFmtId="49" fontId="83" fillId="21" borderId="13" xfId="0" applyNumberFormat="1" applyFont="1" applyFill="1" applyBorder="1" applyAlignment="1">
      <alignment horizontal="center"/>
    </xf>
    <xf numFmtId="0" fontId="83" fillId="21" borderId="13" xfId="0" applyFont="1" applyFill="1" applyBorder="1" applyAlignment="1">
      <alignment horizontal="center"/>
    </xf>
    <xf numFmtId="9" fontId="83" fillId="21" borderId="13" xfId="0" applyNumberFormat="1" applyFont="1" applyFill="1" applyBorder="1" applyAlignment="1">
      <alignment horizontal="center"/>
    </xf>
    <xf numFmtId="0" fontId="83" fillId="21" borderId="13" xfId="0" applyFont="1" applyFill="1" applyBorder="1" applyAlignment="1">
      <alignment horizontal="right"/>
    </xf>
    <xf numFmtId="0" fontId="83" fillId="21" borderId="1" xfId="0" applyFont="1" applyFill="1" applyBorder="1" applyAlignment="1"/>
    <xf numFmtId="0" fontId="19" fillId="24" borderId="1" xfId="0" applyFont="1" applyFill="1" applyBorder="1" applyAlignment="1" applyProtection="1">
      <alignment horizontal="center"/>
      <protection locked="0"/>
    </xf>
    <xf numFmtId="0" fontId="19" fillId="24" borderId="1" xfId="0" applyFont="1" applyFill="1" applyBorder="1" applyAlignment="1" applyProtection="1">
      <protection locked="0"/>
    </xf>
    <xf numFmtId="49" fontId="83" fillId="21" borderId="1" xfId="0" applyNumberFormat="1" applyFont="1" applyFill="1" applyBorder="1" applyAlignment="1" applyProtection="1">
      <protection locked="0"/>
    </xf>
    <xf numFmtId="0" fontId="19" fillId="25" borderId="1" xfId="0" applyFont="1" applyFill="1" applyBorder="1" applyAlignment="1" applyProtection="1">
      <protection locked="0"/>
    </xf>
    <xf numFmtId="0" fontId="0" fillId="13" borderId="0" xfId="0" applyFill="1">
      <alignment vertical="center"/>
    </xf>
    <xf numFmtId="0" fontId="19" fillId="13" borderId="1" xfId="0" applyFont="1" applyFill="1" applyBorder="1" applyAlignment="1"/>
    <xf numFmtId="0" fontId="19" fillId="13" borderId="0" xfId="0" applyFont="1" applyFill="1" applyAlignment="1"/>
    <xf numFmtId="0" fontId="19" fillId="7" borderId="0" xfId="0" applyFont="1" applyFill="1" applyAlignment="1"/>
    <xf numFmtId="0" fontId="273" fillId="0" borderId="32" xfId="0" applyFont="1" applyBorder="1" applyAlignment="1" applyProtection="1">
      <alignment horizontal="center" vertical="center" wrapText="1"/>
      <protection locked="0"/>
    </xf>
    <xf numFmtId="0" fontId="134" fillId="0" borderId="51" xfId="0" applyFont="1" applyBorder="1" applyAlignment="1" applyProtection="1">
      <alignment horizontal="center" vertical="center" wrapText="1"/>
      <protection locked="0"/>
    </xf>
    <xf numFmtId="49" fontId="97" fillId="0" borderId="40" xfId="0" applyNumberFormat="1" applyFont="1" applyBorder="1" applyAlignment="1" applyProtection="1">
      <alignment horizontal="center" vertical="center" wrapText="1"/>
      <protection locked="0"/>
    </xf>
    <xf numFmtId="49" fontId="97" fillId="0" borderId="39" xfId="0" applyNumberFormat="1" applyFont="1" applyBorder="1" applyAlignment="1" applyProtection="1">
      <alignment horizontal="center" vertical="center" wrapText="1"/>
      <protection locked="0"/>
    </xf>
    <xf numFmtId="49" fontId="274" fillId="0" borderId="14" xfId="0" applyNumberFormat="1" applyFont="1" applyBorder="1" applyAlignment="1" applyProtection="1">
      <alignment horizontal="center" vertical="center" wrapText="1"/>
      <protection locked="0"/>
    </xf>
    <xf numFmtId="49" fontId="274" fillId="0" borderId="35" xfId="0" applyNumberFormat="1" applyFont="1" applyBorder="1" applyAlignment="1" applyProtection="1">
      <alignment horizontal="center" vertical="center" wrapText="1"/>
      <protection locked="0"/>
    </xf>
    <xf numFmtId="49" fontId="97" fillId="0" borderId="11" xfId="0" applyNumberFormat="1" applyFont="1" applyBorder="1" applyAlignment="1" applyProtection="1">
      <alignment horizontal="center" vertical="center" wrapText="1"/>
      <protection locked="0"/>
    </xf>
    <xf numFmtId="49" fontId="97" fillId="0" borderId="22" xfId="0" applyNumberFormat="1" applyFont="1" applyBorder="1" applyAlignment="1" applyProtection="1">
      <alignment horizontal="center" vertical="center" wrapText="1"/>
      <protection locked="0"/>
    </xf>
    <xf numFmtId="49" fontId="97" fillId="0" borderId="14" xfId="0" applyNumberFormat="1" applyFont="1" applyBorder="1" applyAlignment="1" applyProtection="1">
      <alignment horizontal="center" vertical="center" wrapText="1"/>
      <protection locked="0"/>
    </xf>
    <xf numFmtId="49" fontId="97" fillId="0" borderId="35" xfId="0" applyNumberFormat="1" applyFont="1" applyBorder="1" applyAlignment="1" applyProtection="1">
      <alignment horizontal="center" vertical="center" wrapText="1"/>
      <protection locked="0"/>
    </xf>
    <xf numFmtId="49" fontId="134" fillId="0" borderId="41" xfId="0" applyNumberFormat="1" applyFont="1" applyBorder="1" applyAlignment="1" applyProtection="1">
      <alignment horizontal="center" vertical="center" wrapText="1"/>
      <protection locked="0"/>
    </xf>
    <xf numFmtId="0" fontId="267" fillId="0" borderId="44" xfId="0" applyFont="1" applyBorder="1" applyAlignment="1" applyProtection="1">
      <alignment horizontal="center" vertical="center" wrapText="1"/>
      <protection locked="0"/>
    </xf>
    <xf numFmtId="0" fontId="134" fillId="0" borderId="0" xfId="0" applyFont="1" applyAlignment="1" applyProtection="1">
      <alignment horizontal="center" vertical="center"/>
      <protection locked="0"/>
    </xf>
    <xf numFmtId="0" fontId="134" fillId="6" borderId="5" xfId="0" applyFont="1" applyFill="1" applyBorder="1" applyAlignment="1">
      <alignment horizontal="center" vertical="center" wrapText="1"/>
    </xf>
    <xf numFmtId="186" fontId="46" fillId="0" borderId="37" xfId="0" applyNumberFormat="1" applyFont="1" applyBorder="1" applyAlignment="1" applyProtection="1">
      <alignment horizontal="center" vertical="center" wrapText="1"/>
      <protection locked="0"/>
    </xf>
    <xf numFmtId="17" fontId="0" fillId="0" borderId="0" xfId="0" applyNumberFormat="1">
      <alignment vertical="center"/>
    </xf>
    <xf numFmtId="0" fontId="79" fillId="6" borderId="21" xfId="0" applyFont="1" applyFill="1" applyBorder="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197" fontId="152" fillId="0" borderId="1" xfId="18" applyFont="1" applyBorder="1" applyAlignment="1">
      <alignment horizontal="center" vertical="center"/>
    </xf>
    <xf numFmtId="197" fontId="258" fillId="13" borderId="1" xfId="18" applyFont="1" applyFill="1" applyBorder="1" applyAlignment="1">
      <alignment horizontal="center" vertical="center"/>
    </xf>
    <xf numFmtId="197" fontId="259" fillId="7" borderId="1" xfId="18" applyFont="1" applyFill="1" applyBorder="1" applyAlignment="1">
      <alignment horizontal="center" vertical="center" wrapText="1"/>
    </xf>
    <xf numFmtId="197" fontId="262" fillId="0" borderId="1" xfId="18" applyFont="1" applyBorder="1" applyAlignment="1">
      <alignment horizontal="center" vertical="center" wrapText="1"/>
    </xf>
    <xf numFmtId="197" fontId="262" fillId="0" borderId="1" xfId="18" applyFont="1" applyBorder="1" applyAlignment="1">
      <alignment horizontal="center" vertical="center"/>
    </xf>
    <xf numFmtId="0" fontId="262" fillId="7" borderId="1" xfId="18" applyNumberFormat="1" applyFont="1" applyFill="1" applyBorder="1" applyAlignment="1">
      <alignment horizontal="center" vertical="center"/>
    </xf>
    <xf numFmtId="14" fontId="262" fillId="7" borderId="1" xfId="18" applyNumberFormat="1" applyFont="1" applyFill="1" applyBorder="1" applyAlignment="1">
      <alignment horizontal="right" vertical="center"/>
    </xf>
    <xf numFmtId="198" fontId="262" fillId="0" borderId="13" xfId="18" applyNumberFormat="1" applyFont="1" applyBorder="1" applyAlignment="1">
      <alignment horizontal="center" vertical="center"/>
    </xf>
    <xf numFmtId="198" fontId="262" fillId="0" borderId="2" xfId="18" applyNumberFormat="1" applyFont="1" applyBorder="1" applyAlignment="1">
      <alignment horizontal="center" vertical="center"/>
    </xf>
    <xf numFmtId="197" fontId="262" fillId="0" borderId="13" xfId="18" applyFont="1" applyBorder="1" applyAlignment="1">
      <alignment horizontal="center" vertical="center"/>
    </xf>
    <xf numFmtId="197" fontId="262" fillId="0" borderId="2" xfId="18" applyFont="1" applyBorder="1" applyAlignment="1">
      <alignment horizontal="center" vertical="center"/>
    </xf>
    <xf numFmtId="197" fontId="265" fillId="0" borderId="1" xfId="18" applyFont="1" applyBorder="1" applyAlignment="1">
      <alignment horizontal="center" vertical="center"/>
    </xf>
    <xf numFmtId="197" fontId="258" fillId="13" borderId="4" xfId="18" applyFont="1" applyFill="1" applyBorder="1" applyAlignment="1">
      <alignment horizontal="center" vertical="center"/>
    </xf>
    <xf numFmtId="197" fontId="258" fillId="13" borderId="60" xfId="18" applyFont="1" applyFill="1" applyBorder="1" applyAlignment="1">
      <alignment horizontal="center" vertical="center"/>
    </xf>
    <xf numFmtId="197" fontId="259" fillId="0" borderId="1" xfId="18" applyFont="1" applyBorder="1" applyAlignment="1">
      <alignment horizontal="center" vertical="center" wrapText="1"/>
    </xf>
    <xf numFmtId="197" fontId="266" fillId="0" borderId="13" xfId="18" applyFont="1" applyBorder="1" applyAlignment="1">
      <alignment horizontal="center" vertical="center" wrapText="1"/>
    </xf>
    <xf numFmtId="197" fontId="266" fillId="0" borderId="15" xfId="18" applyFont="1" applyBorder="1" applyAlignment="1">
      <alignment horizontal="center" vertical="center" wrapText="1"/>
    </xf>
    <xf numFmtId="197" fontId="266" fillId="0" borderId="2" xfId="18" applyFont="1" applyBorder="1" applyAlignment="1">
      <alignment horizontal="center"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111" fillId="6" borderId="1" xfId="0" applyFont="1" applyFill="1" applyBorder="1" applyAlignment="1">
      <alignment horizontal="center"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83" fillId="21" borderId="1" xfId="0" applyFont="1" applyFill="1" applyBorder="1" applyAlignment="1">
      <alignment horizontal="center"/>
    </xf>
    <xf numFmtId="0" fontId="19" fillId="24" borderId="1" xfId="0" applyFont="1" applyFill="1" applyBorder="1" applyAlignment="1" applyProtection="1">
      <alignment horizontal="center"/>
      <protection locked="0"/>
    </xf>
    <xf numFmtId="0" fontId="19" fillId="25" borderId="1" xfId="0" applyFont="1" applyFill="1" applyBorder="1" applyAlignment="1" applyProtection="1">
      <alignment horizontal="center"/>
      <protection locked="0"/>
    </xf>
  </cellXfs>
  <cellStyles count="20">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2 3" xfId="18"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19" xr:uid="{00000000-0005-0000-0000-000013000000}"/>
  </cellStyles>
  <dxfs count="16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560851</xdr:colOff>
      <xdr:row>21</xdr:row>
      <xdr:rowOff>85286</xdr:rowOff>
    </xdr:to>
    <xdr:pic>
      <xdr:nvPicPr>
        <xdr:cNvPr id="8" name="图片 7">
          <a:extLst>
            <a:ext uri="{FF2B5EF4-FFF2-40B4-BE49-F238E27FC236}">
              <a16:creationId xmlns:a16="http://schemas.microsoft.com/office/drawing/2014/main" id="{C8830030-20D9-2CFE-4D6B-CD7032B1198A}"/>
            </a:ext>
          </a:extLst>
        </xdr:cNvPr>
        <xdr:cNvPicPr>
          <a:picLocks noChangeAspect="1"/>
        </xdr:cNvPicPr>
      </xdr:nvPicPr>
      <xdr:blipFill>
        <a:blip xmlns:r="http://schemas.openxmlformats.org/officeDocument/2006/relationships" r:embed="rId1"/>
        <a:stretch>
          <a:fillRect/>
        </a:stretch>
      </xdr:blipFill>
      <xdr:spPr>
        <a:xfrm>
          <a:off x="685800" y="171450"/>
          <a:ext cx="8990476" cy="3514286"/>
        </a:xfrm>
        <a:prstGeom prst="rect">
          <a:avLst/>
        </a:prstGeom>
      </xdr:spPr>
    </xdr:pic>
    <xdr:clientData/>
  </xdr:twoCellAnchor>
  <xdr:twoCellAnchor editAs="oneCell">
    <xdr:from>
      <xdr:col>14</xdr:col>
      <xdr:colOff>371475</xdr:colOff>
      <xdr:row>1</xdr:row>
      <xdr:rowOff>17858</xdr:rowOff>
    </xdr:from>
    <xdr:to>
      <xdr:col>21</xdr:col>
      <xdr:colOff>303172</xdr:colOff>
      <xdr:row>21</xdr:row>
      <xdr:rowOff>103735</xdr:rowOff>
    </xdr:to>
    <xdr:pic>
      <xdr:nvPicPr>
        <xdr:cNvPr id="9" name="图片 8">
          <a:extLst>
            <a:ext uri="{FF2B5EF4-FFF2-40B4-BE49-F238E27FC236}">
              <a16:creationId xmlns:a16="http://schemas.microsoft.com/office/drawing/2014/main" id="{9D785C79-6355-B287-F804-F8791E56F143}"/>
            </a:ext>
          </a:extLst>
        </xdr:cNvPr>
        <xdr:cNvPicPr>
          <a:picLocks noChangeAspect="1"/>
        </xdr:cNvPicPr>
      </xdr:nvPicPr>
      <xdr:blipFill>
        <a:blip xmlns:r="http://schemas.openxmlformats.org/officeDocument/2006/relationships" r:embed="rId2"/>
        <a:stretch>
          <a:fillRect/>
        </a:stretch>
      </xdr:blipFill>
      <xdr:spPr>
        <a:xfrm>
          <a:off x="9972675" y="189308"/>
          <a:ext cx="5503822" cy="3514877"/>
        </a:xfrm>
        <a:prstGeom prst="rect">
          <a:avLst/>
        </a:prstGeom>
      </xdr:spPr>
    </xdr:pic>
    <xdr:clientData/>
  </xdr:twoCellAnchor>
  <xdr:twoCellAnchor editAs="oneCell">
    <xdr:from>
      <xdr:col>23</xdr:col>
      <xdr:colOff>0</xdr:colOff>
      <xdr:row>2</xdr:row>
      <xdr:rowOff>0</xdr:rowOff>
    </xdr:from>
    <xdr:to>
      <xdr:col>28</xdr:col>
      <xdr:colOff>219075</xdr:colOff>
      <xdr:row>20</xdr:row>
      <xdr:rowOff>104775</xdr:rowOff>
    </xdr:to>
    <xdr:pic>
      <xdr:nvPicPr>
        <xdr:cNvPr id="2" name="图片 1">
          <a:extLst>
            <a:ext uri="{FF2B5EF4-FFF2-40B4-BE49-F238E27FC236}">
              <a16:creationId xmlns:a16="http://schemas.microsoft.com/office/drawing/2014/main" id="{8A9EAA65-1205-473D-8E38-B2DBBC2AF0F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97425" y="342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57</xdr:row>
      <xdr:rowOff>0</xdr:rowOff>
    </xdr:from>
    <xdr:to>
      <xdr:col>5</xdr:col>
      <xdr:colOff>349828</xdr:colOff>
      <xdr:row>78</xdr:row>
      <xdr:rowOff>0</xdr:rowOff>
    </xdr:to>
    <xdr:pic>
      <xdr:nvPicPr>
        <xdr:cNvPr id="3" name="图片 2">
          <a:extLst>
            <a:ext uri="{FF2B5EF4-FFF2-40B4-BE49-F238E27FC236}">
              <a16:creationId xmlns:a16="http://schemas.microsoft.com/office/drawing/2014/main" id="{8160719F-1F45-B105-307C-760D81205EEC}"/>
            </a:ext>
          </a:extLst>
        </xdr:cNvPr>
        <xdr:cNvPicPr>
          <a:picLocks noChangeAspect="1"/>
        </xdr:cNvPicPr>
      </xdr:nvPicPr>
      <xdr:blipFill>
        <a:blip xmlns:r="http://schemas.openxmlformats.org/officeDocument/2006/relationships" r:embed="rId4"/>
        <a:stretch>
          <a:fillRect/>
        </a:stretch>
      </xdr:blipFill>
      <xdr:spPr>
        <a:xfrm>
          <a:off x="1" y="9563100"/>
          <a:ext cx="4683702" cy="3600450"/>
        </a:xfrm>
        <a:prstGeom prst="rect">
          <a:avLst/>
        </a:prstGeom>
      </xdr:spPr>
    </xdr:pic>
    <xdr:clientData/>
  </xdr:twoCellAnchor>
  <xdr:twoCellAnchor editAs="oneCell">
    <xdr:from>
      <xdr:col>5</xdr:col>
      <xdr:colOff>257175</xdr:colOff>
      <xdr:row>57</xdr:row>
      <xdr:rowOff>50333</xdr:rowOff>
    </xdr:from>
    <xdr:to>
      <xdr:col>10</xdr:col>
      <xdr:colOff>213794</xdr:colOff>
      <xdr:row>77</xdr:row>
      <xdr:rowOff>47625</xdr:rowOff>
    </xdr:to>
    <xdr:pic>
      <xdr:nvPicPr>
        <xdr:cNvPr id="4" name="图片 3">
          <a:extLst>
            <a:ext uri="{FF2B5EF4-FFF2-40B4-BE49-F238E27FC236}">
              <a16:creationId xmlns:a16="http://schemas.microsoft.com/office/drawing/2014/main" id="{8AA61F28-5A95-6974-B4FB-2C94C5E88B13}"/>
            </a:ext>
          </a:extLst>
        </xdr:cNvPr>
        <xdr:cNvPicPr>
          <a:picLocks noChangeAspect="1"/>
        </xdr:cNvPicPr>
      </xdr:nvPicPr>
      <xdr:blipFill>
        <a:blip xmlns:r="http://schemas.openxmlformats.org/officeDocument/2006/relationships" r:embed="rId5"/>
        <a:stretch>
          <a:fillRect/>
        </a:stretch>
      </xdr:blipFill>
      <xdr:spPr>
        <a:xfrm>
          <a:off x="4591050" y="9613433"/>
          <a:ext cx="3395144" cy="3426292"/>
        </a:xfrm>
        <a:prstGeom prst="rect">
          <a:avLst/>
        </a:prstGeom>
      </xdr:spPr>
    </xdr:pic>
    <xdr:clientData/>
  </xdr:twoCellAnchor>
  <xdr:twoCellAnchor editAs="oneCell">
    <xdr:from>
      <xdr:col>10</xdr:col>
      <xdr:colOff>61017</xdr:colOff>
      <xdr:row>57</xdr:row>
      <xdr:rowOff>114300</xdr:rowOff>
    </xdr:from>
    <xdr:to>
      <xdr:col>17</xdr:col>
      <xdr:colOff>27855</xdr:colOff>
      <xdr:row>76</xdr:row>
      <xdr:rowOff>59377</xdr:rowOff>
    </xdr:to>
    <xdr:pic>
      <xdr:nvPicPr>
        <xdr:cNvPr id="5" name="图片 4">
          <a:extLst>
            <a:ext uri="{FF2B5EF4-FFF2-40B4-BE49-F238E27FC236}">
              <a16:creationId xmlns:a16="http://schemas.microsoft.com/office/drawing/2014/main" id="{5353BE6E-4782-7ABF-3CE9-D8B2E903605D}"/>
            </a:ext>
          </a:extLst>
        </xdr:cNvPr>
        <xdr:cNvPicPr>
          <a:picLocks noChangeAspect="1"/>
        </xdr:cNvPicPr>
      </xdr:nvPicPr>
      <xdr:blipFill>
        <a:blip xmlns:r="http://schemas.openxmlformats.org/officeDocument/2006/relationships" r:embed="rId6"/>
        <a:stretch>
          <a:fillRect/>
        </a:stretch>
      </xdr:blipFill>
      <xdr:spPr>
        <a:xfrm>
          <a:off x="7833417" y="9677400"/>
          <a:ext cx="4796013" cy="3202627"/>
        </a:xfrm>
        <a:prstGeom prst="rect">
          <a:avLst/>
        </a:prstGeom>
      </xdr:spPr>
    </xdr:pic>
    <xdr:clientData/>
  </xdr:twoCellAnchor>
  <xdr:twoCellAnchor editAs="oneCell">
    <xdr:from>
      <xdr:col>17</xdr:col>
      <xdr:colOff>219075</xdr:colOff>
      <xdr:row>58</xdr:row>
      <xdr:rowOff>0</xdr:rowOff>
    </xdr:from>
    <xdr:to>
      <xdr:col>23</xdr:col>
      <xdr:colOff>486903</xdr:colOff>
      <xdr:row>75</xdr:row>
      <xdr:rowOff>94806</xdr:rowOff>
    </xdr:to>
    <xdr:pic>
      <xdr:nvPicPr>
        <xdr:cNvPr id="6" name="图片 5">
          <a:extLst>
            <a:ext uri="{FF2B5EF4-FFF2-40B4-BE49-F238E27FC236}">
              <a16:creationId xmlns:a16="http://schemas.microsoft.com/office/drawing/2014/main" id="{88B239DD-F408-E0CA-3B4C-D9EF4A0BD50E}"/>
            </a:ext>
          </a:extLst>
        </xdr:cNvPr>
        <xdr:cNvPicPr>
          <a:picLocks noChangeAspect="1"/>
        </xdr:cNvPicPr>
      </xdr:nvPicPr>
      <xdr:blipFill>
        <a:blip xmlns:r="http://schemas.openxmlformats.org/officeDocument/2006/relationships" r:embed="rId7"/>
        <a:stretch>
          <a:fillRect/>
        </a:stretch>
      </xdr:blipFill>
      <xdr:spPr>
        <a:xfrm>
          <a:off x="12820650" y="9734550"/>
          <a:ext cx="5163678" cy="3009456"/>
        </a:xfrm>
        <a:prstGeom prst="rect">
          <a:avLst/>
        </a:prstGeom>
      </xdr:spPr>
    </xdr:pic>
    <xdr:clientData/>
  </xdr:twoCellAnchor>
  <xdr:twoCellAnchor editAs="oneCell">
    <xdr:from>
      <xdr:col>23</xdr:col>
      <xdr:colOff>504825</xdr:colOff>
      <xdr:row>57</xdr:row>
      <xdr:rowOff>92463</xdr:rowOff>
    </xdr:from>
    <xdr:to>
      <xdr:col>30</xdr:col>
      <xdr:colOff>218257</xdr:colOff>
      <xdr:row>74</xdr:row>
      <xdr:rowOff>9087</xdr:rowOff>
    </xdr:to>
    <xdr:pic>
      <xdr:nvPicPr>
        <xdr:cNvPr id="7" name="图片 6">
          <a:extLst>
            <a:ext uri="{FF2B5EF4-FFF2-40B4-BE49-F238E27FC236}">
              <a16:creationId xmlns:a16="http://schemas.microsoft.com/office/drawing/2014/main" id="{5EE29CD1-1AD3-E1B1-ADC4-422870CCC9FF}"/>
            </a:ext>
          </a:extLst>
        </xdr:cNvPr>
        <xdr:cNvPicPr>
          <a:picLocks noChangeAspect="1"/>
        </xdr:cNvPicPr>
      </xdr:nvPicPr>
      <xdr:blipFill>
        <a:blip xmlns:r="http://schemas.openxmlformats.org/officeDocument/2006/relationships" r:embed="rId8"/>
        <a:stretch>
          <a:fillRect/>
        </a:stretch>
      </xdr:blipFill>
      <xdr:spPr>
        <a:xfrm>
          <a:off x="18002250" y="9655563"/>
          <a:ext cx="5285557" cy="2831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86135\Desktop\&#24037;&#20316;-&#24247;&#27491;\&#36807;&#31243;\&#65288;&#27979;&#31639;&#34920;&#65289;&#20159;&#21033;&#29983;&#24577;&#24191;&#22330;-&#21150;&#20844;-2020&#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86135\Desktop\&#24037;&#20316;-&#24247;&#27491;\&#36807;&#31243;\&#65288;&#27979;&#31639;&#34920;&#65289;&#20159;&#21033;&#29983;&#24577;&#24191;&#22330;-&#21830;&#19994;-2020&#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86135\Desktop\&#24037;&#20316;-&#24247;&#27491;\&#65288;&#27979;&#31639;&#34920;&#65289;&#20159;&#21033;&#29983;&#24577;&#24191;&#22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办公-基准</v>
          </cell>
        </row>
        <row r="20">
          <cell r="C20" t="str">
            <v>办公-其他</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t="str">
            <v>城市支路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塔楼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v>0</v>
          </cell>
          <cell r="E108">
            <v>0</v>
          </cell>
          <cell r="F108">
            <v>0</v>
          </cell>
          <cell r="G108">
            <v>0</v>
          </cell>
          <cell r="H108">
            <v>0</v>
          </cell>
          <cell r="I108">
            <v>0</v>
          </cell>
          <cell r="J108">
            <v>0</v>
          </cell>
          <cell r="K108">
            <v>0</v>
          </cell>
          <cell r="L108">
            <v>0</v>
          </cell>
          <cell r="M108">
            <v>0</v>
          </cell>
        </row>
        <row r="113">
          <cell r="B113" t="str">
            <v>写字楼等级</v>
          </cell>
          <cell r="C113" t="str">
            <v>甲级写字楼</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7"/>
      <sheetData sheetId="28">
        <row r="5">
          <cell r="A5">
            <v>0</v>
          </cell>
          <cell r="B5" t="str">
            <v>楼层</v>
          </cell>
          <cell r="C5" t="str">
            <v>高</v>
          </cell>
          <cell r="D5" t="str">
            <v>中</v>
          </cell>
          <cell r="E5" t="str">
            <v>低</v>
          </cell>
          <cell r="F5">
            <v>0</v>
          </cell>
          <cell r="G5">
            <v>0</v>
          </cell>
          <cell r="H5">
            <v>0</v>
          </cell>
          <cell r="I5">
            <v>0</v>
          </cell>
          <cell r="J5">
            <v>0</v>
          </cell>
          <cell r="K5">
            <v>0</v>
          </cell>
          <cell r="L5">
            <v>0</v>
          </cell>
          <cell r="M5">
            <v>0</v>
          </cell>
          <cell r="N5">
            <v>0</v>
          </cell>
          <cell r="O5">
            <v>0</v>
          </cell>
          <cell r="P5">
            <v>0</v>
          </cell>
          <cell r="Q5">
            <v>0</v>
          </cell>
          <cell r="R5">
            <v>0</v>
          </cell>
          <cell r="S5">
            <v>0</v>
          </cell>
          <cell r="T5">
            <v>2</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v>
          </cell>
          <cell r="C7" t="str">
            <v>豪装</v>
          </cell>
          <cell r="D7" t="str">
            <v>精装修</v>
          </cell>
          <cell r="E7" t="str">
            <v>普通装修</v>
          </cell>
          <cell r="F7">
            <v>0</v>
          </cell>
          <cell r="G7">
            <v>0</v>
          </cell>
          <cell r="H7">
            <v>0</v>
          </cell>
          <cell r="I7">
            <v>0</v>
          </cell>
          <cell r="J7">
            <v>0</v>
          </cell>
          <cell r="K7">
            <v>0</v>
          </cell>
          <cell r="L7">
            <v>0</v>
          </cell>
          <cell r="M7">
            <v>0</v>
          </cell>
          <cell r="N7">
            <v>0</v>
          </cell>
          <cell r="O7">
            <v>0</v>
          </cell>
          <cell r="P7">
            <v>0</v>
          </cell>
          <cell r="Q7">
            <v>0</v>
          </cell>
          <cell r="R7">
            <v>0</v>
          </cell>
          <cell r="S7">
            <v>0</v>
          </cell>
          <cell r="T7">
            <v>2</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实际用途</v>
          </cell>
          <cell r="C9" t="str">
            <v>商业</v>
          </cell>
          <cell r="D9" t="str">
            <v>办公</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10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29"/>
      <sheetData sheetId="30"/>
      <sheetData sheetId="31"/>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8">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收益法-办公"/>
      <sheetName val="收益法-商业"/>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约"/>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6">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2021年】1号楼&amp;5号楼租赁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0</v>
          </cell>
          <cell r="H14" t="str">
            <v>——</v>
          </cell>
          <cell r="I14">
            <v>114182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v>15279.679999999998</v>
          </cell>
          <cell r="S22">
            <v>114499</v>
          </cell>
        </row>
      </sheetData>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xml"/><Relationship Id="rId1" Type="http://schemas.openxmlformats.org/officeDocument/2006/relationships/printerSettings" Target="../printerSettings/printerSettings39.bin"/><Relationship Id="rId4"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39" customWidth="1"/>
    <col min="2" max="2" width="81" style="1255" customWidth="1"/>
    <col min="3" max="16384" width="9" style="1248"/>
  </cols>
  <sheetData>
    <row r="1" spans="1:2" s="1242" customFormat="1" ht="16.5" thickBot="1">
      <c r="A1" s="1241" t="s">
        <v>1127</v>
      </c>
      <c r="B1" s="1240" t="s">
        <v>1206</v>
      </c>
    </row>
    <row r="2" spans="1:2" s="1245" customFormat="1" ht="15" thickTop="1">
      <c r="A2" s="1243" t="s">
        <v>1128</v>
      </c>
      <c r="B2" s="1244" t="str">
        <f>'预评函-封皮'!B37:I37</f>
        <v>北京市房地产抵押价值预评估</v>
      </c>
    </row>
    <row r="3" spans="1:2">
      <c r="A3" s="1246" t="s">
        <v>1129</v>
      </c>
      <c r="B3" s="1247">
        <f>'预评函-封皮'!B40</f>
        <v>0</v>
      </c>
    </row>
    <row r="4" spans="1:2">
      <c r="A4" s="1246" t="s">
        <v>1130</v>
      </c>
      <c r="B4" s="1247" t="str">
        <f ca="1">'预评函-封皮'!B46</f>
        <v>崔锴（注册号：0)、郑燚（注册号：0)</v>
      </c>
    </row>
    <row r="5" spans="1:2" s="1242" customFormat="1" ht="15" thickBot="1">
      <c r="A5" s="1249" t="s">
        <v>1131</v>
      </c>
      <c r="B5" s="1250" t="str">
        <f>'预评函-封皮'!B49</f>
        <v>康正预评字号</v>
      </c>
    </row>
    <row r="6" spans="1:2" s="1245" customFormat="1" ht="15" thickTop="1">
      <c r="A6" s="1243" t="s">
        <v>1132</v>
      </c>
      <c r="B6" s="1244" t="str">
        <f>'预评函-1'!A4</f>
        <v>受贵公司委托，我公司对北京市房地产抵押价值进行了预评估。</v>
      </c>
    </row>
    <row r="7" spans="1:2">
      <c r="A7" s="1246" t="s">
        <v>1172</v>
      </c>
      <c r="B7" s="1247" t="str">
        <f>'预评函-1'!A7</f>
        <v>估价对象为北京市房地产，为所有。根据《国有土地使用证》[]，估价对象（分摊）出让国有建设用地使用权面积为0平方米，建筑面积为69.52平方米。</v>
      </c>
    </row>
    <row r="8" spans="1:2">
      <c r="A8" s="1246" t="s">
        <v>1173</v>
      </c>
      <c r="B8" s="1247" t="str">
        <f>'预评函-1'!A8</f>
        <v>估价对象简述。项目推广名，项目类型（用途），估价对象分布，各用途面积明细情况：XX用途建筑面积XX平方米，XX用途建筑面积XX平方米，……。复杂面积清单需设‘附表’列示：抵押物清单详见附表</v>
      </c>
    </row>
    <row r="9" spans="1:2">
      <c r="A9" s="1246" t="s">
        <v>1174</v>
      </c>
      <c r="B9" s="1247" t="str">
        <f>'预评函-1'!A10</f>
        <v>估价对象为北京市房地产,属开发建设的办公项目，该项目尚在开发建设中。根据《国有土地使用证》[]，估价对象（分摊）出让国有建设用地使用权面积为0平方米，规划建筑面积为69.52平方米。</v>
      </c>
    </row>
    <row r="10" spans="1:2">
      <c r="A10" s="1246" t="s">
        <v>1175</v>
      </c>
      <c r="B10" s="12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6" t="s">
        <v>1133</v>
      </c>
      <c r="B11" s="12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246" t="s">
        <v>1134</v>
      </c>
      <c r="B12" s="1247" t="str">
        <f>'预评函-1'!A15</f>
        <v>2014年2月15日（评估专业人员实地查勘之日）</v>
      </c>
    </row>
    <row r="13" spans="1:2">
      <c r="A13" s="1246" t="s">
        <v>1135</v>
      </c>
      <c r="B13" s="1247" t="str">
        <f>'预评函-1'!A18</f>
        <v>本次估价的“房地产价值”是指在正常市场情况下，在价值时点2014年2月15日，估价对象规划用途为，土地取得方式为出让，出让国有建设用地使用权剩余土地使用年限为48.5，假定未设立法定优先受偿款下的房地产市场价值。</v>
      </c>
    </row>
    <row r="14" spans="1:2">
      <c r="A14" s="1246" t="s">
        <v>1136</v>
      </c>
      <c r="B14" s="1247" t="str">
        <f>'预评函-1'!A19</f>
        <v>其中，“出让国有建设用地使用权价值”是指估价对象用途为，实际开发程度为宗地红线外“七通”（即、、、、、、）、红线内场地平整条件下，剩余土地使用年限为48.5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246" t="s">
        <v>1137</v>
      </c>
      <c r="B15" s="1247" t="str">
        <f>'预评函-1'!A20</f>
        <v>本次估价的“房地产抵押价值”是指估价对象在价值时点的“房地产价值”扣减估价师于价值时点所知悉的法定优先受偿款后的余额。</v>
      </c>
    </row>
    <row r="16" spans="1:2">
      <c r="A16" s="1246" t="s">
        <v>1138</v>
      </c>
      <c r="B16" s="12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6" t="s">
        <v>1139</v>
      </c>
      <c r="B17" s="12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42" customFormat="1" ht="15" thickBot="1">
      <c r="A18" s="1249" t="s">
        <v>1140</v>
      </c>
      <c r="B18" s="1250" t="str">
        <f>'预评函-1'!A24</f>
        <v>本次评估采用的主估价方法为比较法和成本法。</v>
      </c>
    </row>
    <row r="19" spans="1:2" s="1245" customFormat="1" ht="15" thickTop="1">
      <c r="A19" s="1243" t="s">
        <v>1141</v>
      </c>
      <c r="B19" s="12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6" t="s">
        <v>1142</v>
      </c>
      <c r="B20" s="1247">
        <f ca="1">'预评函-2'!D5</f>
        <v>1959560</v>
      </c>
    </row>
    <row r="21" spans="1:2">
      <c r="A21" s="1246" t="s">
        <v>1143</v>
      </c>
      <c r="B21" s="1247">
        <f ca="1">'预评函-2'!D7</f>
        <v>281869965</v>
      </c>
    </row>
    <row r="22" spans="1:2">
      <c r="A22" s="1246" t="s">
        <v>1144</v>
      </c>
      <c r="B22" s="1247" t="str">
        <f ca="1">'预评函-2'!D6</f>
        <v>壹佰玖拾伍亿玖仟伍佰陆拾万元整</v>
      </c>
    </row>
    <row r="23" spans="1:2">
      <c r="A23" s="1246" t="s">
        <v>1195</v>
      </c>
      <c r="B23" s="1247" t="str">
        <f>'预评函-2'!B8</f>
        <v>2.估价师知悉的法定优先受偿款</v>
      </c>
    </row>
    <row r="24" spans="1:2">
      <c r="A24" s="1246" t="s">
        <v>1201</v>
      </c>
      <c r="B24" s="1247">
        <f>'预评函-2'!D8</f>
        <v>0</v>
      </c>
    </row>
    <row r="25" spans="1:2">
      <c r="A25" s="1246" t="s">
        <v>1145</v>
      </c>
      <c r="B25" s="1247" t="str">
        <f>'预评函-2'!D9</f>
        <v>零元整</v>
      </c>
    </row>
    <row r="26" spans="1:2">
      <c r="A26" s="1246" t="s">
        <v>1146</v>
      </c>
      <c r="B26" s="1247">
        <f>'预评函-2'!D10</f>
        <v>0</v>
      </c>
    </row>
    <row r="27" spans="1:2">
      <c r="A27" s="1246" t="s">
        <v>1147</v>
      </c>
      <c r="B27" s="1247">
        <f>'预评函-2'!D11</f>
        <v>0</v>
      </c>
    </row>
    <row r="28" spans="1:2">
      <c r="A28" s="1246" t="s">
        <v>1148</v>
      </c>
      <c r="B28" s="1247">
        <f>'预评函-2'!D12</f>
        <v>0</v>
      </c>
    </row>
    <row r="29" spans="1:2">
      <c r="A29" s="1246" t="s">
        <v>1199</v>
      </c>
      <c r="B29" s="1247" t="str">
        <f>'预评函-2'!B13</f>
        <v>3.房地产抵押价值</v>
      </c>
    </row>
    <row r="30" spans="1:2">
      <c r="A30" s="1246" t="s">
        <v>1200</v>
      </c>
      <c r="B30" s="1247">
        <f ca="1">'预评函-2'!D13</f>
        <v>1959560</v>
      </c>
    </row>
    <row r="31" spans="1:2">
      <c r="A31" s="1246" t="s">
        <v>1182</v>
      </c>
      <c r="B31" s="1247">
        <f ca="1">'预评函-2'!D15</f>
        <v>281869965</v>
      </c>
    </row>
    <row r="32" spans="1:2">
      <c r="A32" s="1246" t="s">
        <v>1149</v>
      </c>
      <c r="B32" s="1247" t="str">
        <f ca="1">'预评函-2'!D14</f>
        <v>壹佰玖拾伍亿玖仟伍佰陆拾万元整</v>
      </c>
    </row>
    <row r="33" spans="1:2">
      <c r="A33" s="1246" t="s">
        <v>1184</v>
      </c>
      <c r="B33" s="1247" t="str">
        <f>'预评函-2'!B16</f>
        <v>——</v>
      </c>
    </row>
    <row r="34" spans="1:2">
      <c r="A34" s="1246" t="s">
        <v>1202</v>
      </c>
      <c r="B34" s="1247" t="str">
        <f>'预评函-2'!D16</f>
        <v>——</v>
      </c>
    </row>
    <row r="35" spans="1:2">
      <c r="A35" s="1246" t="s">
        <v>1183</v>
      </c>
      <c r="B35" s="1247" t="str">
        <f>'预评函-2'!D18</f>
        <v>——</v>
      </c>
    </row>
    <row r="36" spans="1:2">
      <c r="A36" s="1246" t="s">
        <v>1150</v>
      </c>
      <c r="B36" s="1247" t="e">
        <f>'预评函-2'!D17</f>
        <v>#VALUE!</v>
      </c>
    </row>
    <row r="37" spans="1:2">
      <c r="A37" s="1246" t="s">
        <v>1185</v>
      </c>
      <c r="B37" s="1247" t="str">
        <f>'预评函-2'!B19</f>
        <v>4.抵押净值</v>
      </c>
    </row>
    <row r="38" spans="1:2">
      <c r="A38" s="1246" t="s">
        <v>1203</v>
      </c>
      <c r="B38" s="1247">
        <f ca="1">'预评函-2'!D19</f>
        <v>770918</v>
      </c>
    </row>
    <row r="39" spans="1:2">
      <c r="A39" s="1246" t="s">
        <v>1151</v>
      </c>
      <c r="B39" s="1247">
        <f ca="1">'预评函-2'!D21</f>
        <v>110891542</v>
      </c>
    </row>
    <row r="40" spans="1:2">
      <c r="A40" s="1246" t="s">
        <v>1152</v>
      </c>
      <c r="B40" s="1247" t="str">
        <f ca="1">'预评函-2'!D20</f>
        <v>柒拾柒亿零玖佰壹拾捌万元整</v>
      </c>
    </row>
    <row r="41" spans="1:2">
      <c r="A41" s="1246" t="s">
        <v>1198</v>
      </c>
      <c r="B41" s="1247" t="str">
        <f>'预评函-3'!A4</f>
        <v>北京市房地产</v>
      </c>
    </row>
    <row r="42" spans="1:2">
      <c r="A42" s="1246" t="s">
        <v>1196</v>
      </c>
      <c r="B42" s="1247" t="str">
        <f>'预评函-3'!B2</f>
        <v>建筑面积</v>
      </c>
    </row>
    <row r="43" spans="1:2">
      <c r="A43" s="1246" t="s">
        <v>1197</v>
      </c>
      <c r="B43" s="1247">
        <f>'预评函-3'!B4</f>
        <v>69.52</v>
      </c>
    </row>
    <row r="44" spans="1:2">
      <c r="A44" s="1246" t="s">
        <v>1181</v>
      </c>
      <c r="B44" s="1247" t="str">
        <f>'预评函-3'!C2</f>
        <v>(分摊)土地面积</v>
      </c>
    </row>
    <row r="45" spans="1:2">
      <c r="A45" s="1246" t="s">
        <v>1153</v>
      </c>
      <c r="B45" s="1247">
        <f>'预评函-3'!C4</f>
        <v>0</v>
      </c>
    </row>
    <row r="46" spans="1:2">
      <c r="A46" s="1246" t="s">
        <v>1179</v>
      </c>
      <c r="B46" s="1247" t="str">
        <f>'预评函-3'!D2</f>
        <v>出让国有建设用地使用权价值</v>
      </c>
    </row>
    <row r="47" spans="1:2">
      <c r="A47" s="1246" t="s">
        <v>1154</v>
      </c>
      <c r="B47" s="1247">
        <f ca="1">'预评函-3'!D4</f>
        <v>1959560</v>
      </c>
    </row>
    <row r="48" spans="1:2">
      <c r="A48" s="1246" t="s">
        <v>1155</v>
      </c>
      <c r="B48" s="1247">
        <f ca="1">'预评函-3'!E4</f>
        <v>281869965</v>
      </c>
    </row>
    <row r="49" spans="1:2">
      <c r="A49" s="1246" t="s">
        <v>1156</v>
      </c>
      <c r="B49" s="1247" t="str">
        <f ca="1">'预评函-3'!D5</f>
        <v>壹佰玖拾伍亿玖仟伍佰陆拾万元整</v>
      </c>
    </row>
    <row r="50" spans="1:2">
      <c r="A50" s="1246" t="s">
        <v>1180</v>
      </c>
      <c r="B50" s="1247" t="str">
        <f>'预评函-3'!F2</f>
        <v>建筑物价值</v>
      </c>
    </row>
    <row r="51" spans="1:2">
      <c r="A51" s="1246" t="s">
        <v>1157</v>
      </c>
      <c r="B51" s="1247">
        <f ca="1">'预评函-3'!F4</f>
        <v>0</v>
      </c>
    </row>
    <row r="52" spans="1:2">
      <c r="A52" s="1246" t="s">
        <v>1158</v>
      </c>
      <c r="B52" s="1247">
        <f ca="1">'预评函-3'!G4</f>
        <v>0</v>
      </c>
    </row>
    <row r="53" spans="1:2">
      <c r="A53" s="1246" t="s">
        <v>1186</v>
      </c>
      <c r="B53" s="1247" t="str">
        <f ca="1">'预评函-3'!F5</f>
        <v>零元整</v>
      </c>
    </row>
    <row r="54" spans="1:2">
      <c r="A54" s="1246" t="s">
        <v>1204</v>
      </c>
      <c r="B54" s="1247" t="str">
        <f>'预评函-3'!A8</f>
        <v>房地产抵押价值</v>
      </c>
    </row>
    <row r="55" spans="1:2">
      <c r="A55" s="1246" t="s">
        <v>1187</v>
      </c>
      <c r="B55" s="1247" t="str">
        <f>'预评函-3'!A10</f>
        <v/>
      </c>
    </row>
    <row r="56" spans="1:2">
      <c r="A56" s="1246" t="s">
        <v>1188</v>
      </c>
      <c r="B56" s="1247" t="str">
        <f>'预评函-3'!A12</f>
        <v>抵押净值</v>
      </c>
    </row>
    <row r="57" spans="1:2" s="1242" customFormat="1" ht="15" thickBot="1">
      <c r="A57" s="1249" t="s">
        <v>1205</v>
      </c>
      <c r="B57" s="1250" t="str">
        <f>'预评函-3'!A6</f>
        <v>估价师知悉的法定优先受偿款</v>
      </c>
    </row>
    <row r="58" spans="1:2" s="1245" customFormat="1" ht="15" thickTop="1">
      <c r="A58" s="1243" t="s">
        <v>1159</v>
      </c>
      <c r="B58" s="1244" t="str">
        <f>'预评函-4'!A12</f>
        <v>2.本《评估意见函》仅供金融机构进行内部审核使用，不做其他目的之用。</v>
      </c>
    </row>
    <row r="59" spans="1:2">
      <c r="A59" s="1246" t="s">
        <v>1160</v>
      </c>
      <c r="B59" s="1247" t="str">
        <f>'预评函-4'!A13</f>
        <v>3.抵押双方在办理抵押登记手续时，应使用本公司出具的正式《房地产评估报告》，特提醒报告使用者注意。</v>
      </c>
    </row>
    <row r="60" spans="1:2">
      <c r="A60" s="1246" t="s">
        <v>1161</v>
      </c>
      <c r="B60" s="1247" t="str">
        <f>'预评函-4'!A14</f>
        <v>4.本次评估估价师所知悉的法定优先受偿款情况说明如下：</v>
      </c>
    </row>
    <row r="61" spans="1:2">
      <c r="A61" s="1246" t="s">
        <v>1162</v>
      </c>
      <c r="B61" s="124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46" t="s">
        <v>1163</v>
      </c>
      <c r="B62" s="1247" t="str">
        <f>'预评函-4'!A16</f>
        <v>（2）根据《工程款支付情况说明》，截至价值时点，估价对象不存在应付未付工程款项。（只要没有施工方盖章的，均“设定”进行表述）</v>
      </c>
    </row>
    <row r="63" spans="1:2">
      <c r="A63" s="1246" t="s">
        <v>1164</v>
      </c>
      <c r="B63" s="12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6" t="s">
        <v>1176</v>
      </c>
      <c r="B64" s="1247" t="str">
        <f>'预评函-4'!A18</f>
        <v>故，本次评估不存在估价师知悉的法定优先受偿款</v>
      </c>
    </row>
    <row r="65" spans="1:2">
      <c r="A65" s="1246" t="s">
        <v>1165</v>
      </c>
      <c r="B65" s="12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6" t="s">
        <v>1166</v>
      </c>
      <c r="B66" s="1247" t="str">
        <f>'预评函-4'!A20</f>
        <v>——</v>
      </c>
    </row>
    <row r="67" spans="1:2">
      <c r="A67" s="1246" t="s">
        <v>1177</v>
      </c>
      <c r="B67" s="1247" t="str">
        <f>'预评函-4'!A21</f>
        <v>——</v>
      </c>
    </row>
    <row r="68" spans="1:2">
      <c r="A68" s="1246" t="s">
        <v>1178</v>
      </c>
      <c r="B68" s="1247" t="str">
        <f>'预评函-4'!A22</f>
        <v>8.其他需特殊说明事项：无（注意调整序号）</v>
      </c>
    </row>
    <row r="69" spans="1:2" s="1242" customFormat="1" ht="15" thickBot="1">
      <c r="A69" s="1249" t="s">
        <v>1167</v>
      </c>
      <c r="B69" s="1251">
        <f>'预评函-4'!C31</f>
        <v>42551</v>
      </c>
    </row>
    <row r="70" spans="1:2" ht="15" thickTop="1">
      <c r="A70" s="1252" t="s">
        <v>1168</v>
      </c>
      <c r="B70" s="1253" t="str">
        <f>'预评函-4'!A4</f>
        <v>崔锴</v>
      </c>
    </row>
    <row r="71" spans="1:2">
      <c r="A71" s="1246" t="s">
        <v>1169</v>
      </c>
      <c r="B71" s="1247">
        <f ca="1">'预评函-4'!B4</f>
        <v>0</v>
      </c>
    </row>
    <row r="72" spans="1:2">
      <c r="A72" s="1246" t="s">
        <v>1170</v>
      </c>
      <c r="B72" s="1254" t="str">
        <f>'预评函-4'!A5</f>
        <v>郑燚</v>
      </c>
    </row>
    <row r="73" spans="1:2" s="1242" customFormat="1" ht="15" thickBot="1">
      <c r="A73" s="1249" t="s">
        <v>1171</v>
      </c>
      <c r="B73" s="1250">
        <f ca="1">'预评函-4'!B5</f>
        <v>0</v>
      </c>
    </row>
    <row r="74" spans="1:2" ht="15" thickTop="1">
      <c r="A74" s="1239" t="s">
        <v>1207</v>
      </c>
      <c r="B74" s="125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593" customWidth="1"/>
    <col min="2" max="2" width="23.25" style="1550" customWidth="1"/>
    <col min="3" max="3" width="13" style="1590" customWidth="1"/>
    <col min="4" max="4" width="5.75" style="1588" customWidth="1"/>
    <col min="5" max="5" width="7.125" style="1588" customWidth="1"/>
    <col min="6" max="6" width="10.625" style="1588" customWidth="1"/>
    <col min="7" max="7" width="7.5" style="1588" customWidth="1"/>
    <col min="8" max="8" width="9" style="1590" customWidth="1"/>
    <col min="9" max="9" width="11.625" style="1590" customWidth="1"/>
    <col min="10" max="10" width="9" style="1590" customWidth="1"/>
    <col min="11" max="19" width="9" style="1588" customWidth="1"/>
    <col min="20" max="23" width="9" style="1590" customWidth="1"/>
    <col min="24" max="24" width="21.125" style="1550" customWidth="1"/>
    <col min="25" max="16384" width="9" style="1550"/>
  </cols>
  <sheetData>
    <row r="1" spans="1:23" s="1585" customFormat="1" ht="27">
      <c r="A1" s="1581" t="s">
        <v>71</v>
      </c>
      <c r="B1" s="1582" t="s">
        <v>1594</v>
      </c>
      <c r="C1" s="1583" t="s">
        <v>759</v>
      </c>
      <c r="D1" s="1583" t="s">
        <v>1595</v>
      </c>
      <c r="E1" s="1583" t="s">
        <v>1596</v>
      </c>
      <c r="F1" s="1583" t="s">
        <v>1597</v>
      </c>
      <c r="G1" s="1583" t="s">
        <v>1598</v>
      </c>
      <c r="H1" s="1583" t="s">
        <v>1599</v>
      </c>
      <c r="I1" s="1583" t="s">
        <v>1600</v>
      </c>
      <c r="J1" s="1583" t="s">
        <v>1601</v>
      </c>
      <c r="K1" s="1583" t="s">
        <v>1602</v>
      </c>
      <c r="L1" s="1583" t="s">
        <v>1603</v>
      </c>
      <c r="M1" s="1583" t="s">
        <v>1604</v>
      </c>
      <c r="N1" s="1583" t="s">
        <v>1605</v>
      </c>
      <c r="O1" s="1583" t="s">
        <v>1606</v>
      </c>
      <c r="P1" s="1584" t="s">
        <v>753</v>
      </c>
      <c r="Q1" s="1584" t="s">
        <v>1053</v>
      </c>
      <c r="R1" s="1583" t="s">
        <v>1047</v>
      </c>
      <c r="S1" s="1583" t="s">
        <v>1607</v>
      </c>
      <c r="T1" s="1584" t="s">
        <v>1608</v>
      </c>
      <c r="U1" s="1583" t="s">
        <v>1609</v>
      </c>
      <c r="V1" s="1583" t="s">
        <v>1610</v>
      </c>
      <c r="W1" s="1583" t="s">
        <v>755</v>
      </c>
    </row>
    <row r="2" spans="1:23">
      <c r="A2" s="1586" t="s">
        <v>22</v>
      </c>
      <c r="B2" s="1586" t="s">
        <v>1611</v>
      </c>
      <c r="C2" s="1587" t="s">
        <v>760</v>
      </c>
      <c r="D2" s="1588" t="s">
        <v>1612</v>
      </c>
      <c r="E2" s="1588" t="s">
        <v>1613</v>
      </c>
      <c r="F2" s="1588" t="s">
        <v>1614</v>
      </c>
      <c r="G2" s="1588">
        <v>40</v>
      </c>
      <c r="H2" s="1588" t="s">
        <v>1614</v>
      </c>
      <c r="I2" s="1588" t="s">
        <v>1615</v>
      </c>
      <c r="J2" s="1588" t="s">
        <v>1616</v>
      </c>
      <c r="K2" s="1588" t="s">
        <v>1617</v>
      </c>
      <c r="L2" s="1588" t="s">
        <v>1617</v>
      </c>
      <c r="M2" s="1588" t="s">
        <v>1617</v>
      </c>
      <c r="N2" s="1588" t="s">
        <v>1617</v>
      </c>
      <c r="O2" s="1588" t="s">
        <v>1617</v>
      </c>
      <c r="P2" s="1588" t="s">
        <v>1617</v>
      </c>
      <c r="Q2" s="1588" t="s">
        <v>1617</v>
      </c>
      <c r="R2" s="1588" t="s">
        <v>1049</v>
      </c>
      <c r="S2" s="1588" t="s">
        <v>1617</v>
      </c>
      <c r="T2" s="1588" t="s">
        <v>1618</v>
      </c>
      <c r="U2" s="1588" t="s">
        <v>1617</v>
      </c>
      <c r="V2" s="1588" t="s">
        <v>1619</v>
      </c>
      <c r="W2" s="1588" t="s">
        <v>1617</v>
      </c>
    </row>
    <row r="3" spans="1:23">
      <c r="A3" s="1586" t="s">
        <v>1620</v>
      </c>
      <c r="B3" s="1589" t="s">
        <v>1054</v>
      </c>
      <c r="C3" s="1587" t="s">
        <v>761</v>
      </c>
      <c r="D3" s="1588" t="s">
        <v>1621</v>
      </c>
      <c r="E3" s="1588" t="s">
        <v>16</v>
      </c>
      <c r="F3" s="1588" t="s">
        <v>1622</v>
      </c>
      <c r="G3" s="1588">
        <v>50</v>
      </c>
      <c r="H3" s="1588" t="s">
        <v>1622</v>
      </c>
      <c r="I3" s="1588" t="s">
        <v>1623</v>
      </c>
      <c r="J3" s="1588" t="s">
        <v>1624</v>
      </c>
      <c r="K3" s="1588" t="s">
        <v>1625</v>
      </c>
      <c r="L3" s="1588" t="s">
        <v>1625</v>
      </c>
      <c r="M3" s="1588" t="s">
        <v>1625</v>
      </c>
      <c r="N3" s="1588" t="s">
        <v>1625</v>
      </c>
      <c r="O3" s="1588" t="s">
        <v>1625</v>
      </c>
      <c r="P3" s="1588" t="s">
        <v>1625</v>
      </c>
      <c r="Q3" s="1588" t="s">
        <v>1625</v>
      </c>
      <c r="R3" s="1588" t="s">
        <v>1048</v>
      </c>
      <c r="S3" s="1588" t="s">
        <v>1625</v>
      </c>
      <c r="T3" s="1588" t="s">
        <v>1626</v>
      </c>
      <c r="U3" s="1588" t="s">
        <v>1625</v>
      </c>
      <c r="V3" s="1588" t="s">
        <v>1627</v>
      </c>
      <c r="W3" s="1588" t="s">
        <v>1625</v>
      </c>
    </row>
    <row r="4" spans="1:23">
      <c r="A4" s="1586" t="s">
        <v>1628</v>
      </c>
      <c r="B4" s="1586" t="s">
        <v>1629</v>
      </c>
      <c r="C4" s="1587" t="s">
        <v>762</v>
      </c>
      <c r="D4" s="1588" t="s">
        <v>836</v>
      </c>
      <c r="E4" s="1588" t="s">
        <v>1630</v>
      </c>
      <c r="F4" s="1588" t="s">
        <v>1631</v>
      </c>
      <c r="G4" s="1588">
        <v>70</v>
      </c>
      <c r="H4" s="1588" t="s">
        <v>1631</v>
      </c>
      <c r="I4" s="1588" t="s">
        <v>1632</v>
      </c>
      <c r="K4" s="1588" t="s">
        <v>1633</v>
      </c>
      <c r="L4" s="1588" t="s">
        <v>1633</v>
      </c>
      <c r="M4" s="1588" t="s">
        <v>1633</v>
      </c>
      <c r="N4" s="1588" t="s">
        <v>1633</v>
      </c>
      <c r="O4" s="1588" t="s">
        <v>1633</v>
      </c>
      <c r="P4" s="1588" t="s">
        <v>1633</v>
      </c>
      <c r="Q4" s="1588" t="s">
        <v>1633</v>
      </c>
      <c r="R4" s="1588" t="s">
        <v>1050</v>
      </c>
      <c r="S4" s="1588" t="s">
        <v>1633</v>
      </c>
      <c r="T4" s="1588" t="s">
        <v>1634</v>
      </c>
      <c r="U4" s="1588" t="s">
        <v>1633</v>
      </c>
      <c r="W4" s="1588" t="s">
        <v>1633</v>
      </c>
    </row>
    <row r="5" spans="1:23">
      <c r="A5" s="1586" t="s">
        <v>1635</v>
      </c>
      <c r="B5" s="1586" t="s">
        <v>1636</v>
      </c>
      <c r="C5" s="1587" t="s">
        <v>763</v>
      </c>
      <c r="F5" s="1588" t="s">
        <v>1637</v>
      </c>
      <c r="H5" s="1588" t="s">
        <v>1638</v>
      </c>
      <c r="I5" s="1588" t="s">
        <v>1639</v>
      </c>
      <c r="K5" s="1588" t="s">
        <v>1640</v>
      </c>
      <c r="L5" s="1588" t="s">
        <v>1640</v>
      </c>
      <c r="M5" s="1588" t="s">
        <v>1640</v>
      </c>
      <c r="N5" s="1588" t="s">
        <v>1640</v>
      </c>
      <c r="O5" s="1588" t="s">
        <v>1640</v>
      </c>
      <c r="P5" s="1588" t="s">
        <v>1640</v>
      </c>
      <c r="Q5" s="1588" t="s">
        <v>1640</v>
      </c>
      <c r="R5" s="1588" t="s">
        <v>1051</v>
      </c>
      <c r="S5" s="1588" t="s">
        <v>1640</v>
      </c>
      <c r="T5" s="1588" t="s">
        <v>1641</v>
      </c>
      <c r="U5" s="1588" t="s">
        <v>1640</v>
      </c>
      <c r="W5" s="1588" t="s">
        <v>1640</v>
      </c>
    </row>
    <row r="6" spans="1:23">
      <c r="A6" s="1586" t="s">
        <v>1642</v>
      </c>
      <c r="B6" s="1589" t="s">
        <v>1055</v>
      </c>
      <c r="C6" s="1591" t="s">
        <v>30</v>
      </c>
      <c r="F6" s="1588" t="s">
        <v>1638</v>
      </c>
      <c r="H6" s="1588" t="s">
        <v>1643</v>
      </c>
      <c r="I6" s="1588" t="s">
        <v>1644</v>
      </c>
      <c r="K6" s="1588" t="s">
        <v>1645</v>
      </c>
      <c r="L6" s="1588" t="s">
        <v>1645</v>
      </c>
      <c r="M6" s="1588" t="s">
        <v>1645</v>
      </c>
      <c r="N6" s="1588" t="s">
        <v>1645</v>
      </c>
      <c r="O6" s="1588" t="s">
        <v>1645</v>
      </c>
      <c r="P6" s="1588" t="s">
        <v>1645</v>
      </c>
      <c r="Q6" s="1588" t="s">
        <v>1645</v>
      </c>
      <c r="R6" s="1588" t="s">
        <v>1052</v>
      </c>
      <c r="S6" s="1588" t="s">
        <v>1645</v>
      </c>
      <c r="T6" s="1588"/>
      <c r="U6" s="1588" t="s">
        <v>1645</v>
      </c>
      <c r="W6" s="1588" t="s">
        <v>1645</v>
      </c>
    </row>
    <row r="7" spans="1:23">
      <c r="A7" s="1586" t="s">
        <v>1646</v>
      </c>
      <c r="B7" s="1589" t="s">
        <v>1056</v>
      </c>
      <c r="C7" s="1587" t="s">
        <v>31</v>
      </c>
      <c r="F7" s="1588" t="s">
        <v>1647</v>
      </c>
      <c r="H7" s="1588" t="s">
        <v>1648</v>
      </c>
      <c r="I7" s="1588" t="s">
        <v>1649</v>
      </c>
    </row>
    <row r="8" spans="1:23">
      <c r="A8" s="1586" t="s">
        <v>1650</v>
      </c>
      <c r="B8" s="1586" t="s">
        <v>1651</v>
      </c>
      <c r="C8" s="1587" t="s">
        <v>764</v>
      </c>
      <c r="F8" s="1588" t="s">
        <v>1652</v>
      </c>
      <c r="H8" s="1588"/>
      <c r="I8" s="1588" t="s">
        <v>1653</v>
      </c>
    </row>
    <row r="9" spans="1:23">
      <c r="A9" s="1586" t="s">
        <v>1654</v>
      </c>
      <c r="B9" s="1586" t="s">
        <v>1655</v>
      </c>
      <c r="C9" s="1587" t="s">
        <v>765</v>
      </c>
      <c r="F9" s="1588" t="s">
        <v>1656</v>
      </c>
      <c r="H9" s="1588"/>
    </row>
    <row r="10" spans="1:23">
      <c r="A10" s="1586" t="s">
        <v>1657</v>
      </c>
      <c r="B10" s="1586" t="s">
        <v>1658</v>
      </c>
      <c r="C10" s="1587" t="s">
        <v>766</v>
      </c>
      <c r="F10" s="1588" t="s">
        <v>16</v>
      </c>
    </row>
    <row r="11" spans="1:23">
      <c r="A11" s="1586" t="s">
        <v>1659</v>
      </c>
      <c r="B11" s="1586" t="s">
        <v>1660</v>
      </c>
      <c r="C11" s="1587" t="s">
        <v>767</v>
      </c>
    </row>
    <row r="12" spans="1:23">
      <c r="A12" s="1586" t="s">
        <v>1661</v>
      </c>
      <c r="B12" s="1586" t="s">
        <v>1662</v>
      </c>
      <c r="C12" s="1587" t="s">
        <v>768</v>
      </c>
    </row>
    <row r="13" spans="1:23">
      <c r="A13" s="1586" t="s">
        <v>1663</v>
      </c>
      <c r="B13" s="1586" t="s">
        <v>1664</v>
      </c>
      <c r="C13" s="1587" t="s">
        <v>769</v>
      </c>
    </row>
    <row r="14" spans="1:23">
      <c r="A14" s="1586" t="s">
        <v>1665</v>
      </c>
      <c r="B14" s="1586" t="s">
        <v>1666</v>
      </c>
      <c r="C14" s="1588" t="s">
        <v>16</v>
      </c>
    </row>
    <row r="15" spans="1:23">
      <c r="A15" s="1586" t="s">
        <v>1667</v>
      </c>
      <c r="B15" s="1586" t="s">
        <v>1668</v>
      </c>
      <c r="C15" s="1587"/>
    </row>
    <row r="16" spans="1:23">
      <c r="A16" s="1586" t="s">
        <v>1669</v>
      </c>
      <c r="B16" s="1586" t="s">
        <v>756</v>
      </c>
      <c r="C16" s="1587"/>
    </row>
    <row r="17" spans="1:3">
      <c r="A17" s="1586" t="s">
        <v>1670</v>
      </c>
      <c r="B17" s="1586" t="s">
        <v>2962</v>
      </c>
      <c r="C17" s="1587"/>
    </row>
    <row r="18" spans="1:3">
      <c r="A18" s="1586" t="s">
        <v>1671</v>
      </c>
      <c r="B18" s="1586" t="s">
        <v>3107</v>
      </c>
      <c r="C18" s="1587"/>
    </row>
    <row r="19" spans="1:3">
      <c r="A19" s="1586" t="s">
        <v>1672</v>
      </c>
      <c r="B19" s="1586" t="s">
        <v>757</v>
      </c>
      <c r="C19" s="1587"/>
    </row>
    <row r="20" spans="1:3">
      <c r="A20" s="1586" t="s">
        <v>1673</v>
      </c>
      <c r="B20" s="1586" t="s">
        <v>757</v>
      </c>
      <c r="C20" s="1587"/>
    </row>
    <row r="21" spans="1:3">
      <c r="A21" s="1586" t="s">
        <v>1674</v>
      </c>
      <c r="B21" s="1586" t="s">
        <v>757</v>
      </c>
      <c r="C21" s="1587"/>
    </row>
    <row r="22" spans="1:3">
      <c r="A22" s="1586" t="s">
        <v>1675</v>
      </c>
      <c r="B22" s="1586" t="s">
        <v>757</v>
      </c>
      <c r="C22" s="1587"/>
    </row>
    <row r="23" spans="1:3">
      <c r="A23" s="1586" t="s">
        <v>1676</v>
      </c>
      <c r="B23" s="1586" t="s">
        <v>757</v>
      </c>
      <c r="C23" s="1587"/>
    </row>
    <row r="24" spans="1:3">
      <c r="A24" s="1586" t="s">
        <v>1677</v>
      </c>
      <c r="B24" s="1586" t="s">
        <v>757</v>
      </c>
      <c r="C24" s="1587"/>
    </row>
    <row r="25" spans="1:3">
      <c r="A25" s="1586" t="s">
        <v>1678</v>
      </c>
      <c r="B25" s="1586" t="s">
        <v>757</v>
      </c>
      <c r="C25" s="1587"/>
    </row>
    <row r="26" spans="1:3">
      <c r="A26" s="1586" t="s">
        <v>1679</v>
      </c>
      <c r="B26" s="1586" t="s">
        <v>757</v>
      </c>
      <c r="C26" s="1587"/>
    </row>
    <row r="27" spans="1:3">
      <c r="A27" s="1586" t="s">
        <v>757</v>
      </c>
      <c r="B27" s="1586" t="s">
        <v>757</v>
      </c>
      <c r="C27" s="1587"/>
    </row>
    <row r="28" spans="1:3">
      <c r="A28" s="1586" t="s">
        <v>757</v>
      </c>
      <c r="B28" s="1586" t="s">
        <v>757</v>
      </c>
      <c r="C28" s="1587"/>
    </row>
    <row r="29" spans="1:3">
      <c r="A29" s="1586" t="s">
        <v>757</v>
      </c>
      <c r="B29" s="1586" t="s">
        <v>757</v>
      </c>
      <c r="C29" s="1587"/>
    </row>
    <row r="30" spans="1:3">
      <c r="A30" s="1586" t="s">
        <v>757</v>
      </c>
      <c r="B30" s="1586" t="s">
        <v>757</v>
      </c>
      <c r="C30" s="1587"/>
    </row>
    <row r="31" spans="1:3">
      <c r="A31" s="1586" t="s">
        <v>757</v>
      </c>
      <c r="B31" s="1586" t="s">
        <v>757</v>
      </c>
      <c r="C31" s="1587"/>
    </row>
    <row r="32" spans="1:3">
      <c r="A32" s="1586" t="s">
        <v>757</v>
      </c>
      <c r="B32" s="1586" t="s">
        <v>757</v>
      </c>
      <c r="C32" s="1587"/>
    </row>
    <row r="33" spans="1:3">
      <c r="A33" s="1586" t="s">
        <v>757</v>
      </c>
      <c r="B33" s="1586" t="s">
        <v>757</v>
      </c>
      <c r="C33" s="1587"/>
    </row>
    <row r="34" spans="1:3">
      <c r="A34" s="1586" t="s">
        <v>757</v>
      </c>
      <c r="B34" s="1586" t="s">
        <v>757</v>
      </c>
      <c r="C34" s="1587"/>
    </row>
    <row r="35" spans="1:3">
      <c r="A35" s="1586" t="s">
        <v>757</v>
      </c>
      <c r="B35" s="1586" t="s">
        <v>757</v>
      </c>
      <c r="C35" s="1587"/>
    </row>
    <row r="36" spans="1:3">
      <c r="A36" s="1586" t="s">
        <v>757</v>
      </c>
      <c r="B36" s="1586" t="s">
        <v>757</v>
      </c>
      <c r="C36" s="1587"/>
    </row>
    <row r="37" spans="1:3">
      <c r="A37" s="1586" t="s">
        <v>757</v>
      </c>
      <c r="B37" s="1586" t="s">
        <v>757</v>
      </c>
      <c r="C37" s="1587"/>
    </row>
    <row r="38" spans="1:3">
      <c r="A38" s="1586" t="s">
        <v>757</v>
      </c>
      <c r="B38" s="1586" t="s">
        <v>757</v>
      </c>
      <c r="C38" s="1587"/>
    </row>
    <row r="39" spans="1:3">
      <c r="A39" s="1586" t="s">
        <v>757</v>
      </c>
      <c r="B39" s="1586" t="s">
        <v>757</v>
      </c>
      <c r="C39" s="1587"/>
    </row>
    <row r="40" spans="1:3">
      <c r="A40" s="1586" t="s">
        <v>757</v>
      </c>
      <c r="B40" s="1586" t="s">
        <v>757</v>
      </c>
      <c r="C40" s="1587"/>
    </row>
    <row r="41" spans="1:3">
      <c r="A41" s="1586" t="s">
        <v>757</v>
      </c>
      <c r="B41" s="1586" t="s">
        <v>757</v>
      </c>
      <c r="C41" s="1587"/>
    </row>
    <row r="42" spans="1:3">
      <c r="A42" s="1586" t="s">
        <v>757</v>
      </c>
      <c r="B42" s="1586" t="s">
        <v>757</v>
      </c>
      <c r="C42" s="1587"/>
    </row>
    <row r="43" spans="1:3">
      <c r="A43" s="1586" t="s">
        <v>757</v>
      </c>
      <c r="B43" s="1586" t="s">
        <v>757</v>
      </c>
      <c r="C43" s="1587"/>
    </row>
    <row r="44" spans="1:3">
      <c r="A44" s="1586" t="s">
        <v>757</v>
      </c>
      <c r="B44" s="1586" t="s">
        <v>757</v>
      </c>
      <c r="C44" s="1587"/>
    </row>
    <row r="45" spans="1:3">
      <c r="A45" s="1586" t="s">
        <v>757</v>
      </c>
      <c r="B45" s="1586" t="s">
        <v>757</v>
      </c>
      <c r="C45" s="1587"/>
    </row>
    <row r="46" spans="1:3">
      <c r="A46" s="1586" t="s">
        <v>757</v>
      </c>
      <c r="B46" s="1586" t="s">
        <v>757</v>
      </c>
      <c r="C46" s="1587"/>
    </row>
    <row r="47" spans="1:3">
      <c r="A47" s="1586" t="s">
        <v>757</v>
      </c>
      <c r="B47" s="1586" t="s">
        <v>757</v>
      </c>
      <c r="C47" s="1587"/>
    </row>
    <row r="48" spans="1:3">
      <c r="A48" s="1586" t="s">
        <v>757</v>
      </c>
      <c r="B48" s="1586" t="s">
        <v>757</v>
      </c>
      <c r="C48" s="1587"/>
    </row>
    <row r="49" spans="1:4">
      <c r="A49" s="1586" t="s">
        <v>757</v>
      </c>
      <c r="B49" s="1586" t="s">
        <v>757</v>
      </c>
      <c r="C49" s="1587"/>
    </row>
    <row r="50" spans="1:4">
      <c r="A50" s="1586" t="s">
        <v>757</v>
      </c>
      <c r="B50" s="1586" t="s">
        <v>757</v>
      </c>
      <c r="C50" s="1587"/>
    </row>
    <row r="51" spans="1:4">
      <c r="A51" s="1592" t="s">
        <v>825</v>
      </c>
      <c r="B51" s="1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92" t="s">
        <v>1192</v>
      </c>
    </row>
    <row r="52" spans="1:4">
      <c r="A52" s="1592" t="s">
        <v>826</v>
      </c>
      <c r="B52" s="1592" t="s">
        <v>827</v>
      </c>
      <c r="C52" s="1590" t="s">
        <v>828</v>
      </c>
      <c r="D52" s="1590" t="s">
        <v>829</v>
      </c>
    </row>
    <row r="53" spans="1:4">
      <c r="A53" s="3175" t="s">
        <v>830</v>
      </c>
      <c r="B53" s="1592" t="s">
        <v>831</v>
      </c>
      <c r="C53" s="1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5"/>
      <c r="B54" s="1592" t="s">
        <v>832</v>
      </c>
      <c r="C54" s="1590" t="s">
        <v>1189</v>
      </c>
    </row>
    <row r="55" spans="1:4">
      <c r="A55" s="3175"/>
      <c r="B55" s="1592" t="s">
        <v>833</v>
      </c>
      <c r="C55" s="1590" t="s">
        <v>1190</v>
      </c>
    </row>
    <row r="56" spans="1:4">
      <c r="A56" s="3175"/>
      <c r="B56" s="1592" t="s">
        <v>834</v>
      </c>
      <c r="C56" s="1590" t="s">
        <v>1194</v>
      </c>
    </row>
    <row r="57" spans="1:4">
      <c r="A57" s="3175"/>
      <c r="B57" s="1592" t="s">
        <v>835</v>
      </c>
      <c r="C57" s="1590" t="s">
        <v>1191</v>
      </c>
    </row>
    <row r="58" spans="1:4">
      <c r="A58" s="1588"/>
      <c r="B58" s="1590"/>
    </row>
    <row r="59" spans="1:4">
      <c r="A59" s="1588"/>
      <c r="B59" s="1590"/>
    </row>
    <row r="60" spans="1:4">
      <c r="A60" s="1588"/>
      <c r="B60" s="1590"/>
    </row>
    <row r="61" spans="1:4">
      <c r="A61" s="1588"/>
      <c r="B61" s="1590"/>
    </row>
    <row r="62" spans="1:4">
      <c r="A62" s="1588"/>
      <c r="B62" s="1590"/>
    </row>
    <row r="63" spans="1:4">
      <c r="A63" s="1588"/>
      <c r="B63" s="1590"/>
    </row>
    <row r="64" spans="1:4">
      <c r="A64" s="1588"/>
      <c r="B64" s="1590"/>
    </row>
    <row r="65" spans="1:2">
      <c r="A65" s="1588"/>
      <c r="B65" s="1590"/>
    </row>
    <row r="66" spans="1:2">
      <c r="A66" s="1588"/>
      <c r="B66" s="1590"/>
    </row>
    <row r="67" spans="1:2">
      <c r="A67" s="1588"/>
      <c r="B67" s="1590"/>
    </row>
    <row r="68" spans="1:2">
      <c r="A68" s="1588"/>
      <c r="B68" s="1590"/>
    </row>
    <row r="69" spans="1:2">
      <c r="A69" s="1588"/>
      <c r="B69" s="1590"/>
    </row>
    <row r="70" spans="1:2">
      <c r="A70" s="1588"/>
      <c r="B70" s="1590"/>
    </row>
    <row r="71" spans="1:2">
      <c r="A71" s="1588"/>
      <c r="B71" s="1590"/>
    </row>
    <row r="72" spans="1:2">
      <c r="A72" s="1588"/>
      <c r="B72" s="1590"/>
    </row>
    <row r="73" spans="1:2">
      <c r="A73" s="1588"/>
      <c r="B73" s="1590"/>
    </row>
    <row r="74" spans="1:2">
      <c r="A74" s="1588"/>
      <c r="B74" s="1590"/>
    </row>
    <row r="75" spans="1:2">
      <c r="A75" s="1588"/>
      <c r="B75" s="1590"/>
    </row>
    <row r="76" spans="1:2">
      <c r="A76" s="1588"/>
      <c r="B76" s="1590"/>
    </row>
    <row r="77" spans="1:2">
      <c r="A77" s="1588"/>
      <c r="B77" s="1590"/>
    </row>
    <row r="78" spans="1:2">
      <c r="A78" s="1588"/>
      <c r="B78" s="1590"/>
    </row>
    <row r="79" spans="1:2">
      <c r="A79" s="1588"/>
      <c r="B79" s="1590"/>
    </row>
    <row r="80" spans="1:2">
      <c r="A80" s="1588"/>
      <c r="B80" s="1590"/>
    </row>
    <row r="81" spans="1:2">
      <c r="A81" s="1588"/>
      <c r="B81" s="1590"/>
    </row>
    <row r="82" spans="1:2">
      <c r="A82" s="1588"/>
      <c r="B82" s="1590"/>
    </row>
    <row r="83" spans="1:2">
      <c r="A83" s="1588"/>
      <c r="B83" s="1590"/>
    </row>
    <row r="84" spans="1:2">
      <c r="A84" s="1588"/>
      <c r="B84" s="1590"/>
    </row>
    <row r="85" spans="1:2">
      <c r="A85" s="1588"/>
      <c r="B85" s="1590"/>
    </row>
    <row r="86" spans="1:2">
      <c r="A86" s="1588"/>
      <c r="B86" s="1590"/>
    </row>
    <row r="87" spans="1:2">
      <c r="A87" s="1588"/>
      <c r="B87" s="1590"/>
    </row>
    <row r="88" spans="1:2">
      <c r="A88" s="1588"/>
      <c r="B88" s="1590"/>
    </row>
    <row r="89" spans="1:2">
      <c r="A89" s="1588"/>
      <c r="B89" s="1590"/>
    </row>
    <row r="90" spans="1:2">
      <c r="A90" s="1588"/>
      <c r="B90" s="1590"/>
    </row>
    <row r="91" spans="1:2">
      <c r="A91" s="1588"/>
      <c r="B91" s="1590"/>
    </row>
    <row r="92" spans="1:2">
      <c r="A92" s="1588"/>
      <c r="B92" s="1590"/>
    </row>
    <row r="93" spans="1:2">
      <c r="A93" s="1588"/>
      <c r="B93" s="1590"/>
    </row>
    <row r="94" spans="1:2">
      <c r="A94" s="1588"/>
      <c r="B94" s="1590"/>
    </row>
    <row r="95" spans="1:2">
      <c r="A95" s="1588"/>
      <c r="B95" s="1590"/>
    </row>
    <row r="96" spans="1:2">
      <c r="A96" s="1588"/>
      <c r="B96" s="1590"/>
    </row>
    <row r="97" spans="1:2">
      <c r="A97" s="1588"/>
      <c r="B97" s="1590"/>
    </row>
    <row r="98" spans="1:2">
      <c r="A98" s="1588"/>
      <c r="B98" s="1590"/>
    </row>
    <row r="99" spans="1:2">
      <c r="A99" s="1588"/>
      <c r="B99" s="1590"/>
    </row>
    <row r="100" spans="1:2">
      <c r="A100" s="1588"/>
      <c r="B100" s="1590"/>
    </row>
    <row r="101" spans="1:2">
      <c r="A101" s="1588"/>
      <c r="B101" s="1590"/>
    </row>
    <row r="102" spans="1:2">
      <c r="A102" s="1588"/>
      <c r="B102" s="1590"/>
    </row>
    <row r="103" spans="1:2">
      <c r="A103" s="1588"/>
      <c r="B103" s="1590"/>
    </row>
    <row r="104" spans="1:2">
      <c r="A104" s="1588"/>
      <c r="B104" s="1590"/>
    </row>
    <row r="105" spans="1:2">
      <c r="A105" s="1588"/>
      <c r="B105" s="1590"/>
    </row>
    <row r="106" spans="1:2">
      <c r="A106" s="1588"/>
      <c r="B106" s="1590"/>
    </row>
    <row r="107" spans="1:2">
      <c r="A107" s="1588"/>
      <c r="B107" s="1590"/>
    </row>
    <row r="108" spans="1:2">
      <c r="A108" s="1588"/>
      <c r="B108" s="1590"/>
    </row>
    <row r="109" spans="1:2">
      <c r="A109" s="1588"/>
      <c r="B109" s="1590"/>
    </row>
    <row r="110" spans="1:2">
      <c r="A110" s="1588"/>
      <c r="B110" s="1590"/>
    </row>
    <row r="111" spans="1:2">
      <c r="A111" s="1588"/>
      <c r="B111" s="1590"/>
    </row>
    <row r="112" spans="1:2">
      <c r="A112" s="1588"/>
      <c r="B112" s="1590"/>
    </row>
    <row r="113" spans="1:2">
      <c r="A113" s="1588"/>
      <c r="B113" s="1590"/>
    </row>
    <row r="114" spans="1:2">
      <c r="A114" s="1588"/>
      <c r="B114" s="1590"/>
    </row>
    <row r="115" spans="1:2">
      <c r="A115" s="1588"/>
      <c r="B115" s="1590"/>
    </row>
    <row r="116" spans="1:2">
      <c r="A116" s="1588"/>
      <c r="B116" s="1590"/>
    </row>
    <row r="117" spans="1:2">
      <c r="A117" s="1588"/>
      <c r="B117" s="1590"/>
    </row>
    <row r="118" spans="1:2">
      <c r="A118" s="1588"/>
      <c r="B118" s="1590"/>
    </row>
    <row r="119" spans="1:2">
      <c r="A119" s="1588"/>
      <c r="B119" s="1590"/>
    </row>
    <row r="120" spans="1:2">
      <c r="A120" s="1588"/>
      <c r="B120" s="1590"/>
    </row>
    <row r="121" spans="1:2">
      <c r="A121" s="1588"/>
      <c r="B121" s="1590"/>
    </row>
    <row r="122" spans="1:2">
      <c r="A122" s="1588"/>
      <c r="B122" s="1590"/>
    </row>
    <row r="123" spans="1:2">
      <c r="A123" s="1588"/>
      <c r="B123" s="1590"/>
    </row>
    <row r="124" spans="1:2">
      <c r="A124" s="1588"/>
      <c r="B124" s="1590"/>
    </row>
    <row r="125" spans="1:2">
      <c r="A125" s="1588"/>
      <c r="B125" s="1590"/>
    </row>
    <row r="126" spans="1:2">
      <c r="A126" s="1588"/>
      <c r="B126" s="1590"/>
    </row>
    <row r="127" spans="1:2">
      <c r="A127" s="1588"/>
      <c r="B127" s="159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I7" sqref="I7"/>
    </sheetView>
  </sheetViews>
  <sheetFormatPr defaultColWidth="10" defaultRowHeight="12.75"/>
  <cols>
    <col min="1" max="1" width="16.875" style="1763" customWidth="1"/>
    <col min="2" max="2" width="10" style="1763" customWidth="1"/>
    <col min="3" max="3" width="11.5" style="1763" customWidth="1"/>
    <col min="4" max="4" width="10" style="1763" customWidth="1"/>
    <col min="5" max="5" width="12.625" style="1763" customWidth="1"/>
    <col min="6" max="6" width="10" style="1763" customWidth="1"/>
    <col min="7" max="7" width="10.75" style="1763" customWidth="1"/>
    <col min="8" max="8" width="10" style="1763" customWidth="1"/>
    <col min="9" max="9" width="11.125" style="1613" customWidth="1"/>
    <col min="10" max="10" width="10" style="1761" customWidth="1"/>
    <col min="11" max="11" width="10" style="2586" customWidth="1"/>
    <col min="12" max="13" width="10" style="2587" customWidth="1"/>
    <col min="14" max="14" width="10" style="1761" customWidth="1"/>
    <col min="15" max="15" width="10" style="12" customWidth="1"/>
    <col min="16" max="17" width="10" style="1761"/>
    <col min="18" max="18" width="10" style="1761" customWidth="1"/>
    <col min="19" max="30" width="10" style="1761"/>
    <col min="31" max="16384" width="10" style="1763"/>
  </cols>
  <sheetData>
    <row r="1" spans="1:28" ht="13.5" thickBot="1">
      <c r="A1" s="2354" t="s">
        <v>2841</v>
      </c>
      <c r="B1" s="3183" t="str">
        <f>IF(B10="北京市","北京市",C10)&amp;F10&amp;IF(结果表!G1="在建","出让国有建设用地使用权及在建建筑物",IF(结果表!G1="土地","出让国有建设用地使用权",))&amp;B9&amp;"预评估"</f>
        <v>北京市房地产抵押价值预评估</v>
      </c>
      <c r="C1" s="3184"/>
      <c r="D1" s="3184"/>
      <c r="E1" s="3184"/>
      <c r="F1" s="3184"/>
      <c r="G1" s="3184"/>
      <c r="H1" s="3184"/>
      <c r="I1" s="3185"/>
      <c r="J1" s="2421"/>
      <c r="K1" s="2356"/>
      <c r="L1" s="2357"/>
      <c r="M1" s="2357"/>
      <c r="N1" s="2355"/>
      <c r="O1" s="1611"/>
      <c r="P1" s="2355"/>
      <c r="Q1" s="2355"/>
      <c r="R1" s="2355"/>
      <c r="S1" s="1706" t="str">
        <f>IF(B10="北京市","北京市",C10)&amp;F10&amp;IF(结果表!G1="在建","出让国有建设用地使用权及在建建筑物房地产抵押价值",IF(结果表!G1="土地","出让国有建设用地使用权抵押价值",B9))</f>
        <v>北京市房地产抵押价值</v>
      </c>
      <c r="T1" s="1763"/>
      <c r="U1" s="1763"/>
      <c r="V1" s="1763"/>
      <c r="W1" s="1763"/>
      <c r="X1" s="1763"/>
      <c r="Y1" s="1763"/>
      <c r="Z1" s="1763"/>
      <c r="AA1" s="1763"/>
      <c r="AB1" s="1763"/>
    </row>
    <row r="2" spans="1:28">
      <c r="A2" s="2355" t="s">
        <v>2842</v>
      </c>
      <c r="B2" s="127"/>
      <c r="D2" s="2623"/>
      <c r="E2" s="2614"/>
      <c r="F2" s="2614"/>
      <c r="G2" s="2615"/>
      <c r="H2" s="2615"/>
      <c r="I2" s="2615"/>
      <c r="J2" s="2421"/>
      <c r="K2" s="2356"/>
      <c r="L2" s="2357"/>
      <c r="M2" s="2357"/>
      <c r="N2" s="2355"/>
      <c r="O2" s="1611"/>
      <c r="P2" s="2355"/>
      <c r="Q2" s="2355"/>
      <c r="R2" s="2355"/>
      <c r="S2" s="1706" t="str">
        <f>IF(B10="北京市","北京市",C10)&amp;F10&amp;IF(结果表!G1="在建","出让国有建设用地使用权及在建建筑物房地产",IF(结果表!G1="土地","出让国有建设用地使用权","房地产"))</f>
        <v>北京市房地产</v>
      </c>
      <c r="T2" s="1763"/>
      <c r="U2" s="1763"/>
      <c r="V2" s="1763"/>
      <c r="W2" s="1763"/>
      <c r="X2" s="1763"/>
      <c r="Y2" s="1763"/>
      <c r="Z2" s="1763"/>
      <c r="AA2" s="1763"/>
      <c r="AB2" s="1763"/>
    </row>
    <row r="3" spans="1:28">
      <c r="A3" s="300" t="s">
        <v>2843</v>
      </c>
      <c r="B3" s="2358">
        <v>41685</v>
      </c>
      <c r="C3" s="2359" t="s">
        <v>2844</v>
      </c>
      <c r="D3" s="2358">
        <f>B3</f>
        <v>41685</v>
      </c>
      <c r="E3" s="2615"/>
      <c r="F3" s="2615"/>
      <c r="G3" s="2615"/>
      <c r="H3" s="2615"/>
      <c r="I3" s="2615"/>
      <c r="J3" s="2421"/>
      <c r="K3" s="2356"/>
      <c r="L3" s="2357"/>
      <c r="M3" s="2357"/>
      <c r="N3" s="2355"/>
      <c r="O3" s="1611"/>
      <c r="P3" s="2355"/>
      <c r="Q3" s="2355"/>
      <c r="R3" s="2355"/>
      <c r="S3" s="1706"/>
      <c r="T3" s="1763"/>
      <c r="U3" s="1763"/>
      <c r="V3" s="1763"/>
      <c r="W3" s="1763"/>
      <c r="X3" s="1763"/>
      <c r="Y3" s="1763"/>
      <c r="Z3" s="1763"/>
      <c r="AA3" s="1763"/>
      <c r="AB3" s="1763"/>
    </row>
    <row r="4" spans="1:28" ht="13.5" thickBot="1">
      <c r="A4" s="1152" t="s">
        <v>2845</v>
      </c>
      <c r="B4" s="2360" t="s">
        <v>3110</v>
      </c>
      <c r="C4" s="2361">
        <f ca="1">SUMIF(注册房地产估价师,B4,估价师及机构信息!B3:B24)</f>
        <v>0</v>
      </c>
      <c r="D4" s="2360" t="s">
        <v>3111</v>
      </c>
      <c r="E4" s="2361">
        <f ca="1">SUMIF(注册房地产估价师,D4,估价师及机构信息!B3:B24)</f>
        <v>0</v>
      </c>
      <c r="F4" s="2360"/>
      <c r="G4" s="2361">
        <f>SUMIF(注册房地产估价师,F4,估价师及机构信息!B3:B24)</f>
        <v>0</v>
      </c>
      <c r="H4" s="2360"/>
      <c r="I4" s="2361">
        <f>SUMIF(注册房地产估价师,H4,估价师及机构信息!B3:B24)</f>
        <v>0</v>
      </c>
      <c r="J4" s="2421"/>
      <c r="K4" s="2362" t="str">
        <f ca="1">CONCATENATE(B4,"（注册号：",C4,")、",D4,"（注册号：",E4,")")</f>
        <v>崔锴（注册号：0)、郑燚（注册号：0)</v>
      </c>
      <c r="L4" s="2357"/>
      <c r="M4" s="2357"/>
      <c r="N4" s="2355"/>
      <c r="O4" s="1611"/>
      <c r="P4" s="2355"/>
      <c r="Q4" s="2355"/>
      <c r="R4" s="2355"/>
      <c r="S4" s="1706"/>
      <c r="T4" s="1763"/>
      <c r="U4" s="1763"/>
      <c r="V4" s="1763"/>
      <c r="W4" s="1763"/>
      <c r="X4" s="1763"/>
      <c r="Y4" s="1763"/>
      <c r="Z4" s="1763"/>
      <c r="AA4" s="1763"/>
      <c r="AB4" s="1763"/>
    </row>
    <row r="5" spans="1:28" ht="13.5" thickTop="1">
      <c r="A5" s="2363" t="s">
        <v>2846</v>
      </c>
      <c r="B5" s="2364"/>
      <c r="C5" s="2365"/>
      <c r="D5" s="2366"/>
      <c r="E5" s="2615"/>
      <c r="F5" s="2615"/>
      <c r="G5" s="2615"/>
      <c r="H5" s="2615"/>
      <c r="I5" s="2615"/>
      <c r="J5" s="2421"/>
      <c r="K5" s="2362" t="str">
        <f>IF(F4="——","",IF(H4="——",F4&amp;"（注册号："&amp;G4&amp;")",CONCATENATE(F4,"（注册号：",G4,")、",H4,"（注册号：",I4,")")))</f>
        <v>（注册号：0)、（注册号：0)</v>
      </c>
      <c r="L5" s="2357"/>
      <c r="M5" s="2357"/>
      <c r="N5" s="2355"/>
      <c r="O5" s="1611"/>
      <c r="P5" s="2355"/>
      <c r="Q5" s="2355"/>
      <c r="R5" s="2355"/>
      <c r="S5" s="1763"/>
      <c r="T5" s="1763"/>
      <c r="U5" s="1763"/>
      <c r="V5" s="1763"/>
      <c r="W5" s="1763"/>
      <c r="X5" s="1763"/>
      <c r="Y5" s="1763"/>
      <c r="Z5" s="1763"/>
      <c r="AA5" s="1763"/>
      <c r="AB5" s="1763"/>
    </row>
    <row r="6" spans="1:28">
      <c r="A6" s="2367" t="s">
        <v>2847</v>
      </c>
      <c r="B6" s="2368"/>
      <c r="C6" s="2369"/>
      <c r="D6" s="2370"/>
      <c r="E6" s="2614"/>
      <c r="F6" s="2615"/>
      <c r="G6" s="2615"/>
      <c r="H6" s="2615"/>
      <c r="I6" s="2615"/>
      <c r="J6" s="2421"/>
      <c r="K6" s="2573" t="str">
        <f>IF(COUNTIF(B6,"*上海银行*"),"上海银行","")</f>
        <v/>
      </c>
      <c r="L6" s="2571"/>
      <c r="M6" s="2571"/>
      <c r="N6" s="2421"/>
      <c r="O6" s="1814"/>
      <c r="P6" s="2421"/>
      <c r="Q6" s="2421"/>
      <c r="R6" s="2421"/>
    </row>
    <row r="7" spans="1:28">
      <c r="A7" s="2367" t="s">
        <v>2848</v>
      </c>
      <c r="B7" s="2371"/>
      <c r="C7" s="2369"/>
      <c r="D7" s="2370"/>
      <c r="E7" s="2614"/>
      <c r="F7" s="2615"/>
      <c r="G7" s="2615"/>
      <c r="H7" s="2615"/>
      <c r="I7" s="2615"/>
      <c r="J7" s="2421"/>
      <c r="K7" s="2574"/>
      <c r="L7" s="2571"/>
      <c r="M7" s="2571"/>
      <c r="N7" s="2421"/>
      <c r="O7" s="1814"/>
      <c r="P7" s="2421"/>
      <c r="Q7" s="2421"/>
      <c r="R7" s="2421"/>
    </row>
    <row r="8" spans="1:28">
      <c r="A8" s="2372" t="s">
        <v>2849</v>
      </c>
      <c r="B8" s="2373" t="s">
        <v>3112</v>
      </c>
      <c r="C8" s="2374"/>
      <c r="D8" s="3186" t="s">
        <v>2850</v>
      </c>
      <c r="E8" s="2375" t="s">
        <v>3113</v>
      </c>
      <c r="F8" s="2376"/>
      <c r="G8" s="2615"/>
      <c r="H8" s="2615"/>
      <c r="I8" s="2615"/>
      <c r="J8" s="2421"/>
      <c r="K8" s="2572"/>
      <c r="L8" s="2571"/>
      <c r="M8" s="2571"/>
      <c r="N8" s="2421"/>
      <c r="O8" s="1814"/>
      <c r="P8" s="2421"/>
      <c r="Q8" s="2421"/>
      <c r="R8" s="2421"/>
    </row>
    <row r="9" spans="1:28" ht="13.5" thickBot="1">
      <c r="A9" s="2377" t="s">
        <v>2851</v>
      </c>
      <c r="B9" s="2378" t="s">
        <v>3113</v>
      </c>
      <c r="C9" s="2379"/>
      <c r="D9" s="3187"/>
      <c r="E9" s="2378" t="s">
        <v>1193</v>
      </c>
      <c r="F9" s="2380"/>
      <c r="G9" s="2616"/>
      <c r="H9" s="2616"/>
      <c r="I9" s="2616"/>
      <c r="J9" s="2421"/>
      <c r="K9" s="2574"/>
      <c r="L9" s="2571"/>
      <c r="M9" s="2571"/>
      <c r="N9" s="2421"/>
      <c r="O9" s="1814"/>
      <c r="P9" s="2421"/>
      <c r="Q9" s="2421"/>
      <c r="R9" s="2421"/>
    </row>
    <row r="10" spans="1:28" ht="13.5" thickTop="1">
      <c r="A10" s="2381" t="s">
        <v>2852</v>
      </c>
      <c r="B10" s="2382" t="s">
        <v>3114</v>
      </c>
      <c r="C10" s="2383"/>
      <c r="D10" s="2366"/>
      <c r="E10" s="2384" t="s">
        <v>2853</v>
      </c>
      <c r="F10" s="2617"/>
      <c r="G10" s="2618"/>
      <c r="H10" s="2619"/>
      <c r="I10" s="2620"/>
      <c r="J10" s="2421"/>
      <c r="K10" s="2574"/>
      <c r="L10" s="2571"/>
      <c r="M10" s="2571"/>
      <c r="N10" s="2421"/>
      <c r="O10" s="1814"/>
      <c r="P10" s="2421"/>
      <c r="Q10" s="2421"/>
      <c r="R10" s="2421"/>
    </row>
    <row r="11" spans="1:28">
      <c r="A11" s="2385" t="s">
        <v>2854</v>
      </c>
      <c r="B11" s="2386" t="s">
        <v>3115</v>
      </c>
      <c r="C11" s="2387"/>
      <c r="D11" s="2388"/>
      <c r="E11" s="2355"/>
      <c r="F11" s="2355"/>
      <c r="G11" s="2355"/>
      <c r="H11" s="2355"/>
      <c r="I11" s="2355"/>
      <c r="J11" s="2421"/>
      <c r="K11" s="2574"/>
      <c r="L11" s="2571"/>
      <c r="M11" s="2571"/>
      <c r="N11" s="2421"/>
      <c r="O11" s="1814"/>
      <c r="P11" s="2421"/>
      <c r="Q11" s="2421"/>
      <c r="R11" s="2421"/>
    </row>
    <row r="12" spans="1:28">
      <c r="A12" s="2389" t="s">
        <v>2855</v>
      </c>
      <c r="B12" s="2386" t="s">
        <v>3116</v>
      </c>
      <c r="C12" s="321" t="s">
        <v>2856</v>
      </c>
      <c r="D12" s="2390" t="s">
        <v>2857</v>
      </c>
      <c r="E12" s="2390" t="s">
        <v>2858</v>
      </c>
      <c r="F12" s="2390" t="s">
        <v>2859</v>
      </c>
      <c r="G12" s="2390" t="s">
        <v>2860</v>
      </c>
      <c r="H12" s="2390" t="s">
        <v>2861</v>
      </c>
      <c r="I12" s="2390" t="s">
        <v>2862</v>
      </c>
      <c r="J12" s="2421"/>
      <c r="K12" s="2574"/>
      <c r="L12" s="2571"/>
      <c r="M12" s="2571"/>
      <c r="N12" s="2421"/>
      <c r="O12" s="1814"/>
      <c r="P12" s="2421"/>
      <c r="Q12" s="2421"/>
      <c r="R12" s="2421"/>
    </row>
    <row r="13" spans="1:28">
      <c r="A13" s="1143"/>
      <c r="B13" s="2391"/>
      <c r="C13" s="2392" t="s">
        <v>2863</v>
      </c>
      <c r="D13" s="905"/>
      <c r="E13" s="905"/>
      <c r="F13" s="905"/>
      <c r="G13" s="905"/>
      <c r="H13" s="905"/>
      <c r="I13" s="905"/>
      <c r="J13" s="2421"/>
      <c r="K13" s="2574"/>
      <c r="L13" s="2571"/>
      <c r="M13" s="2571"/>
      <c r="N13" s="2421"/>
      <c r="O13" s="1814"/>
      <c r="P13" s="2421"/>
      <c r="Q13" s="2421"/>
      <c r="R13" s="2421"/>
    </row>
    <row r="14" spans="1:28">
      <c r="A14" s="1143"/>
      <c r="B14" s="2391"/>
      <c r="C14" s="2392" t="s">
        <v>2864</v>
      </c>
      <c r="D14" s="2393">
        <v>70</v>
      </c>
      <c r="E14" s="2393"/>
      <c r="F14" s="2393"/>
      <c r="G14" s="2393"/>
      <c r="H14" s="2393"/>
      <c r="I14" s="2393"/>
      <c r="J14" s="2421"/>
      <c r="K14" s="2575"/>
      <c r="L14" s="2571"/>
      <c r="M14" s="2571"/>
      <c r="N14" s="2421"/>
      <c r="O14" s="1814"/>
      <c r="P14" s="2421"/>
      <c r="Q14" s="2421"/>
      <c r="R14" s="2421"/>
    </row>
    <row r="15" spans="1:28">
      <c r="A15" s="318"/>
      <c r="B15" s="2394"/>
      <c r="C15" s="2395" t="s">
        <v>2865</v>
      </c>
      <c r="D15" s="2396" t="str">
        <f>IF(B12="出让",IF(D13="","",ROUNDDOWN(MIN((D13-$D$3)/365,D14),2)),D14)</f>
        <v/>
      </c>
      <c r="E15" s="2396" t="str">
        <f>IF(B12="出让",IF(E13="","",ROUNDDOWN(MIN((E13-$D$3)/365,E14),2)),E14)</f>
        <v/>
      </c>
      <c r="F15" s="2396" t="str">
        <f>IF(B12="出让",IF(F13="","",ROUNDDOWN(MIN((F13-$D$3)/365,F14),2)),F14)</f>
        <v/>
      </c>
      <c r="G15" s="2396" t="str">
        <f>IF(B12="出让",IF(G13="","",ROUNDDOWN(MIN((G13-$D$3)/365,G14),2)),G14)</f>
        <v/>
      </c>
      <c r="H15" s="2396" t="str">
        <f>IF(B12="出让",IF(H13="","",ROUNDDOWN(MIN((H13-$D$3)/365,H14),2)),H14)</f>
        <v/>
      </c>
      <c r="I15" s="2396" t="str">
        <f>IF(B12="出让",IF(I13="","",ROUNDDOWN(MIN((I13-$D$3)/365,I14),2)),I14)</f>
        <v/>
      </c>
      <c r="J15" s="2421"/>
      <c r="K15" s="2576"/>
      <c r="L15" s="1814"/>
      <c r="M15" s="1814"/>
      <c r="N15" s="2421"/>
      <c r="O15" s="1814"/>
      <c r="P15" s="2421"/>
      <c r="Q15" s="2421"/>
      <c r="R15" s="2421"/>
    </row>
    <row r="16" spans="1:28">
      <c r="A16" s="2384" t="s">
        <v>2866</v>
      </c>
      <c r="B16" s="3193"/>
      <c r="C16" s="3194"/>
      <c r="D16" s="3195"/>
      <c r="E16" s="2397" t="s">
        <v>2867</v>
      </c>
      <c r="F16" s="3196">
        <v>48.5</v>
      </c>
      <c r="G16" s="3197"/>
      <c r="H16" s="3197"/>
      <c r="I16" s="3198"/>
      <c r="J16" s="2421"/>
      <c r="K16" s="2576"/>
      <c r="L16" s="1814"/>
      <c r="M16" s="1814"/>
      <c r="N16" s="2421"/>
      <c r="O16" s="1814"/>
      <c r="P16" s="2421"/>
      <c r="Q16" s="2421"/>
      <c r="R16" s="2421"/>
    </row>
    <row r="17" spans="1:28">
      <c r="A17" s="311" t="s">
        <v>2868</v>
      </c>
      <c r="B17" s="300" t="s">
        <v>2869</v>
      </c>
      <c r="C17" s="11">
        <f>'数据-汇总表'!E3</f>
        <v>69.52</v>
      </c>
      <c r="D17" s="1400" t="s">
        <v>2870</v>
      </c>
      <c r="E17" s="3199" t="s">
        <v>2871</v>
      </c>
      <c r="F17" s="3200"/>
      <c r="G17" s="3200"/>
      <c r="H17" s="3200"/>
      <c r="I17" s="3201"/>
      <c r="J17" s="2421"/>
      <c r="K17" s="2577"/>
      <c r="L17" s="1814"/>
      <c r="M17" s="1814"/>
      <c r="N17" s="2421"/>
      <c r="O17" s="1814"/>
      <c r="P17" s="2421"/>
      <c r="Q17" s="2421"/>
      <c r="R17" s="2421"/>
      <c r="S17" s="2421"/>
      <c r="T17" s="2421"/>
      <c r="U17" s="2421"/>
      <c r="V17" s="2421"/>
    </row>
    <row r="18" spans="1:28" ht="24.75" thickBot="1">
      <c r="A18" s="2398" t="s">
        <v>2872</v>
      </c>
      <c r="B18" s="1152" t="s">
        <v>2873</v>
      </c>
      <c r="C18" s="2399">
        <f>'数据-汇总表'!D3</f>
        <v>0</v>
      </c>
      <c r="D18" s="1154" t="s">
        <v>2874</v>
      </c>
      <c r="E18" s="3202" t="s">
        <v>2875</v>
      </c>
      <c r="F18" s="3203"/>
      <c r="G18" s="3203"/>
      <c r="H18" s="3203"/>
      <c r="I18" s="3204"/>
      <c r="J18" s="2421"/>
      <c r="K18" s="2577"/>
      <c r="L18" s="1814"/>
      <c r="M18" s="1814"/>
      <c r="N18" s="2421"/>
      <c r="O18" s="1814"/>
      <c r="P18" s="2421"/>
      <c r="Q18" s="2421"/>
      <c r="R18" s="2421"/>
      <c r="S18" s="2421"/>
      <c r="T18" s="2421"/>
      <c r="U18" s="2421"/>
      <c r="V18" s="2421"/>
    </row>
    <row r="19" spans="1:28" ht="39.75" thickTop="1" thickBot="1">
      <c r="A19" s="325" t="s">
        <v>1680</v>
      </c>
      <c r="B19" s="305" t="s">
        <v>2876</v>
      </c>
      <c r="C19" s="1600" t="s">
        <v>3117</v>
      </c>
      <c r="D19" s="1601" t="s">
        <v>2877</v>
      </c>
      <c r="E19" s="1602" t="s">
        <v>3118</v>
      </c>
      <c r="F19" s="1603" t="str">
        <f>IF(AND(C19="是",E19="否"),"是否提供他项权证或相关说明","")</f>
        <v>是否提供他项权证或相关说明</v>
      </c>
      <c r="G19" s="1604"/>
      <c r="H19" s="2615"/>
      <c r="I19" s="2615"/>
      <c r="J19" s="2421"/>
      <c r="K19" s="2574"/>
      <c r="L19" s="2571"/>
      <c r="M19" s="2571"/>
      <c r="N19" s="2421"/>
      <c r="O19" s="1814"/>
      <c r="P19" s="2421"/>
      <c r="Q19" s="2421"/>
      <c r="R19" s="2421"/>
      <c r="S19" s="2421"/>
      <c r="T19" s="2421"/>
      <c r="U19" s="2421"/>
      <c r="V19" s="2421"/>
    </row>
    <row r="20" spans="1:28">
      <c r="A20" s="2590" t="s">
        <v>2878</v>
      </c>
      <c r="B20" s="3189" t="s">
        <v>2879</v>
      </c>
      <c r="C20" s="3190"/>
      <c r="D20" s="3191" t="s">
        <v>2880</v>
      </c>
      <c r="E20" s="3192"/>
      <c r="F20" s="2603" t="s">
        <v>1681</v>
      </c>
      <c r="G20" s="2615"/>
      <c r="H20" s="2615"/>
      <c r="I20" s="2615"/>
      <c r="J20" s="2421"/>
      <c r="K20" s="3188" t="s">
        <v>2881</v>
      </c>
      <c r="L20" s="65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57"/>
      <c r="N20" s="2355"/>
      <c r="O20" s="1611"/>
      <c r="P20" s="2355"/>
      <c r="Q20" s="2355"/>
      <c r="R20" s="2355"/>
      <c r="S20" s="2355"/>
      <c r="T20" s="2355"/>
      <c r="U20" s="2355"/>
      <c r="V20" s="2355"/>
      <c r="W20" s="1763"/>
      <c r="X20" s="1763"/>
      <c r="Y20" s="1763"/>
      <c r="Z20" s="1763"/>
      <c r="AA20" s="1763"/>
      <c r="AB20" s="1763"/>
    </row>
    <row r="21" spans="1:28" ht="24.75" thickBot="1">
      <c r="A21" s="2590"/>
      <c r="B21" s="2591" t="s">
        <v>2882</v>
      </c>
      <c r="C21" s="2469" t="s">
        <v>3119</v>
      </c>
      <c r="D21" s="1605" t="s">
        <v>2883</v>
      </c>
      <c r="E21" s="2592" t="s">
        <v>3119</v>
      </c>
      <c r="F21" s="2604"/>
      <c r="G21" s="2615"/>
      <c r="H21" s="2615"/>
      <c r="I21" s="2615"/>
      <c r="J21" s="2421"/>
      <c r="K21" s="3188"/>
      <c r="L21" s="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55"/>
      <c r="O21" s="1611"/>
      <c r="P21" s="2355"/>
      <c r="Q21" s="2355"/>
      <c r="R21" s="2355"/>
      <c r="S21" s="2355"/>
      <c r="T21" s="2355"/>
      <c r="U21" s="2355"/>
      <c r="V21" s="2355"/>
      <c r="W21" s="1763"/>
      <c r="X21" s="1763"/>
      <c r="Y21" s="1763"/>
      <c r="Z21" s="1763"/>
      <c r="AA21" s="1763"/>
      <c r="AB21" s="1763"/>
    </row>
    <row r="22" spans="1:28" ht="24.75" thickBot="1">
      <c r="A22" s="2590"/>
      <c r="B22" s="2593" t="s">
        <v>2884</v>
      </c>
      <c r="C22" s="2469" t="s">
        <v>1682</v>
      </c>
      <c r="D22" s="2615"/>
      <c r="E22" s="2615"/>
      <c r="F22" s="2615"/>
      <c r="G22" s="2615"/>
      <c r="H22" s="2615"/>
      <c r="I22" s="2615"/>
      <c r="J22" s="2421"/>
      <c r="K22" s="3188"/>
      <c r="L22" s="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55"/>
      <c r="O22" s="1611"/>
      <c r="P22" s="2355"/>
      <c r="Q22" s="2355"/>
      <c r="R22" s="2355"/>
      <c r="S22" s="2355"/>
      <c r="T22" s="2355"/>
      <c r="U22" s="2355"/>
      <c r="V22" s="2355"/>
      <c r="W22" s="1763"/>
      <c r="X22" s="1763"/>
      <c r="Y22" s="1763"/>
      <c r="Z22" s="1763"/>
      <c r="AA22" s="1763"/>
      <c r="AB22" s="1763"/>
    </row>
    <row r="23" spans="1:28">
      <c r="A23" s="2594" t="s">
        <v>2885</v>
      </c>
      <c r="B23" s="2466" t="s">
        <v>2886</v>
      </c>
      <c r="C23" s="2595"/>
      <c r="D23" s="2596" t="s">
        <v>2886</v>
      </c>
      <c r="E23" s="2597"/>
      <c r="F23" s="2615"/>
      <c r="G23" s="2615"/>
      <c r="H23" s="2615"/>
      <c r="I23" s="2615"/>
      <c r="J23" s="2421"/>
      <c r="K23" s="2573"/>
      <c r="L23" s="126"/>
      <c r="M23" s="2571"/>
      <c r="N23" s="2421"/>
      <c r="O23" s="1814"/>
      <c r="P23" s="2421"/>
      <c r="Q23" s="2421"/>
      <c r="R23" s="2421"/>
      <c r="S23" s="2421"/>
      <c r="T23" s="2421"/>
      <c r="U23" s="2421"/>
      <c r="V23" s="2421"/>
    </row>
    <row r="24" spans="1:28">
      <c r="A24" s="2594"/>
      <c r="B24" s="2466" t="s">
        <v>1683</v>
      </c>
      <c r="C24" s="2445"/>
      <c r="D24" s="2594" t="s">
        <v>1683</v>
      </c>
      <c r="E24" s="2598"/>
      <c r="F24" s="2615"/>
      <c r="G24" s="2615"/>
      <c r="H24" s="2615"/>
      <c r="I24" s="2615"/>
      <c r="J24" s="2421"/>
      <c r="K24" s="2573"/>
      <c r="L24" s="126"/>
      <c r="M24" s="2571"/>
      <c r="N24" s="2421"/>
      <c r="O24" s="1814"/>
      <c r="P24" s="2421"/>
      <c r="Q24" s="2421"/>
      <c r="R24" s="2421"/>
      <c r="S24" s="2421"/>
      <c r="T24" s="2421"/>
      <c r="U24" s="2421"/>
      <c r="V24" s="2421"/>
    </row>
    <row r="25" spans="1:28">
      <c r="A25" s="2594"/>
      <c r="B25" s="2466" t="s">
        <v>1684</v>
      </c>
      <c r="C25" s="2445"/>
      <c r="D25" s="2594" t="s">
        <v>1684</v>
      </c>
      <c r="E25" s="2598"/>
      <c r="F25" s="2615"/>
      <c r="G25" s="2615"/>
      <c r="H25" s="2615"/>
      <c r="I25" s="2615"/>
      <c r="J25" s="2421"/>
      <c r="K25" s="2574"/>
      <c r="L25" s="2571"/>
      <c r="M25" s="2571"/>
      <c r="N25" s="2421"/>
      <c r="O25" s="1814"/>
      <c r="P25" s="2421"/>
      <c r="Q25" s="2421"/>
      <c r="R25" s="2421"/>
      <c r="S25" s="2421"/>
      <c r="T25" s="2421"/>
      <c r="U25" s="2421"/>
      <c r="V25" s="2421"/>
    </row>
    <row r="26" spans="1:28" ht="13.5" thickBot="1">
      <c r="A26" s="2599"/>
      <c r="B26" s="2600" t="s">
        <v>1685</v>
      </c>
      <c r="C26" s="2601"/>
      <c r="D26" s="2599" t="s">
        <v>1685</v>
      </c>
      <c r="E26" s="2602"/>
      <c r="F26" s="2616"/>
      <c r="G26" s="2616"/>
      <c r="H26" s="2616"/>
      <c r="I26" s="2616"/>
      <c r="J26" s="2421"/>
      <c r="K26" s="2574"/>
      <c r="L26" s="2571"/>
      <c r="M26" s="2571"/>
      <c r="N26" s="2421"/>
      <c r="O26" s="1814"/>
      <c r="P26" s="2421"/>
      <c r="Q26" s="2421"/>
      <c r="R26" s="2421"/>
      <c r="S26" s="2421"/>
      <c r="T26" s="2421"/>
      <c r="U26" s="2421"/>
      <c r="V26" s="2421"/>
    </row>
    <row r="27" spans="1:28" ht="13.5" thickTop="1">
      <c r="A27" s="3177" t="s">
        <v>2887</v>
      </c>
      <c r="B27" s="318" t="s">
        <v>2888</v>
      </c>
      <c r="C27" s="2400" t="s">
        <v>3120</v>
      </c>
      <c r="D27" s="2401"/>
      <c r="E27" s="2615"/>
      <c r="F27" s="2615"/>
      <c r="G27" s="2615"/>
      <c r="H27" s="2615"/>
      <c r="I27" s="2615"/>
      <c r="J27" s="2421"/>
      <c r="K27" s="2576"/>
      <c r="L27" s="1814"/>
      <c r="M27" s="1814"/>
      <c r="N27" s="2421"/>
      <c r="O27" s="1814"/>
      <c r="P27" s="2421"/>
      <c r="Q27" s="2421"/>
      <c r="R27" s="2421"/>
      <c r="S27" s="2421"/>
      <c r="T27" s="2421"/>
      <c r="U27" s="2421"/>
      <c r="V27" s="2421"/>
    </row>
    <row r="28" spans="1:28">
      <c r="A28" s="3177"/>
      <c r="B28" s="300" t="s">
        <v>2889</v>
      </c>
      <c r="C28" s="2402" t="s">
        <v>3121</v>
      </c>
      <c r="D28" s="2403"/>
      <c r="E28" s="2615"/>
      <c r="F28" s="2615"/>
      <c r="G28" s="2615"/>
      <c r="H28" s="2615"/>
      <c r="I28" s="2615"/>
      <c r="J28" s="2421"/>
      <c r="K28" s="2574"/>
      <c r="L28" s="2571"/>
      <c r="M28" s="2571"/>
      <c r="N28" s="2421"/>
      <c r="O28" s="1814"/>
      <c r="P28" s="2421"/>
      <c r="Q28" s="2421"/>
      <c r="R28" s="2421"/>
      <c r="S28" s="2421"/>
      <c r="T28" s="2421"/>
      <c r="U28" s="2421"/>
      <c r="V28" s="2421"/>
    </row>
    <row r="29" spans="1:28">
      <c r="A29" s="3177"/>
      <c r="B29" s="300" t="s">
        <v>2890</v>
      </c>
      <c r="C29" s="2404" t="s">
        <v>3118</v>
      </c>
      <c r="D29" s="2405"/>
      <c r="E29" s="2615"/>
      <c r="F29" s="2615"/>
      <c r="G29" s="2615"/>
      <c r="H29" s="2615"/>
      <c r="I29" s="2615"/>
      <c r="J29" s="2421"/>
      <c r="K29" s="2574"/>
      <c r="L29" s="2571"/>
      <c r="M29" s="2571"/>
      <c r="N29" s="2421"/>
      <c r="O29" s="1814"/>
      <c r="P29" s="2421"/>
      <c r="Q29" s="2421"/>
      <c r="R29" s="2421"/>
      <c r="S29" s="2421"/>
      <c r="T29" s="2421"/>
      <c r="U29" s="2421"/>
      <c r="V29" s="2421"/>
    </row>
    <row r="30" spans="1:28">
      <c r="A30" s="3178"/>
      <c r="B30" s="300" t="s">
        <v>2891</v>
      </c>
      <c r="C30" s="3179"/>
      <c r="D30" s="3180"/>
      <c r="E30" s="2615"/>
      <c r="F30" s="2615"/>
      <c r="G30" s="2615"/>
      <c r="H30" s="2615"/>
      <c r="I30" s="2615"/>
      <c r="J30" s="2421"/>
      <c r="K30" s="2574"/>
      <c r="L30" s="2571"/>
      <c r="M30" s="2571"/>
      <c r="N30" s="2421"/>
      <c r="O30" s="1814"/>
      <c r="P30" s="2421"/>
      <c r="Q30" s="2421"/>
      <c r="R30" s="2421"/>
      <c r="S30" s="2421"/>
      <c r="T30" s="2421"/>
      <c r="U30" s="2421"/>
      <c r="V30" s="2421"/>
    </row>
    <row r="31" spans="1:28">
      <c r="A31" s="3181" t="s">
        <v>2892</v>
      </c>
      <c r="B31" s="2406" t="s">
        <v>3122</v>
      </c>
      <c r="C31" s="15" t="str">
        <f>IF(B31="现房","成新及维护状况正常否",IF(B31="在建","工程状态是否正常",IF(B31="土地","是否闲置","-")))</f>
        <v>成新及维护状况正常否</v>
      </c>
      <c r="D31" s="1425"/>
      <c r="E31" s="2407"/>
      <c r="F31" s="2615"/>
      <c r="G31" s="2615"/>
      <c r="H31" s="2615"/>
      <c r="I31" s="2615"/>
      <c r="J31" s="2421"/>
      <c r="K31" s="2573"/>
      <c r="L31" s="2571"/>
      <c r="M31" s="2571"/>
      <c r="N31" s="2421"/>
      <c r="O31" s="1814"/>
      <c r="P31" s="2421"/>
      <c r="Q31" s="2421"/>
      <c r="R31" s="2421"/>
      <c r="S31" s="2421"/>
      <c r="T31" s="2421"/>
      <c r="U31" s="2421"/>
      <c r="V31" s="2421"/>
    </row>
    <row r="32" spans="1:28">
      <c r="A32" s="3182"/>
      <c r="B32" s="2406"/>
      <c r="C32" s="15" t="str">
        <f>IF(B32="现房","成新及维护状况是否正常",IF(B32="在建","工程状态是否正常",IF(B32="土地","是否闲置","-")))</f>
        <v>-</v>
      </c>
      <c r="D32" s="1425"/>
      <c r="E32" s="2407"/>
      <c r="F32" s="2615"/>
      <c r="G32" s="2615"/>
      <c r="H32" s="2615"/>
      <c r="I32" s="2615"/>
      <c r="J32" s="2421"/>
      <c r="K32" s="2574"/>
      <c r="L32" s="2571"/>
      <c r="M32" s="2571"/>
      <c r="N32" s="2421"/>
      <c r="O32" s="1814"/>
      <c r="P32" s="2421"/>
      <c r="Q32" s="2421"/>
      <c r="R32" s="2421"/>
      <c r="S32" s="2421"/>
      <c r="T32" s="2421"/>
      <c r="U32" s="2421"/>
      <c r="V32" s="2421"/>
    </row>
    <row r="33" spans="1:30">
      <c r="A33" s="3182"/>
      <c r="B33" s="2409"/>
      <c r="C33" s="1623" t="str">
        <f>IF(B33="现房","成新及维护状况是否正常",IF(B33="在建","工程状态是否正常",IF(B33="土地","是否闲置","-")))</f>
        <v>-</v>
      </c>
      <c r="D33" s="1418"/>
      <c r="E33" s="2410"/>
      <c r="F33" s="2615"/>
      <c r="G33" s="2615"/>
      <c r="H33" s="2615"/>
      <c r="I33" s="2615"/>
      <c r="J33" s="2421"/>
      <c r="K33" s="2574"/>
      <c r="L33" s="2571"/>
      <c r="M33" s="2571"/>
      <c r="N33" s="2421"/>
      <c r="O33" s="1814"/>
      <c r="P33" s="2421"/>
      <c r="Q33" s="2421"/>
      <c r="R33" s="2421"/>
      <c r="S33" s="2421"/>
      <c r="T33" s="2421"/>
      <c r="U33" s="2421"/>
      <c r="V33" s="2421"/>
    </row>
    <row r="34" spans="1:30">
      <c r="A34" s="300" t="s">
        <v>2893</v>
      </c>
      <c r="B34" s="1989"/>
      <c r="C34" s="1989"/>
      <c r="D34" s="1989"/>
      <c r="E34" s="1989"/>
      <c r="F34" s="1989"/>
      <c r="G34" s="1989"/>
      <c r="H34" s="1989"/>
      <c r="I34" s="2615"/>
      <c r="J34" s="2421"/>
      <c r="K34" s="11">
        <f>COUNTIF(B34:H34,"——")</f>
        <v>0</v>
      </c>
      <c r="L34" s="321" t="s">
        <v>2894</v>
      </c>
      <c r="M34" s="321" t="s">
        <v>2895</v>
      </c>
      <c r="N34" s="321" t="s">
        <v>2896</v>
      </c>
      <c r="O34" s="321" t="s">
        <v>2897</v>
      </c>
      <c r="P34" s="321" t="s">
        <v>2898</v>
      </c>
      <c r="Q34" s="321" t="s">
        <v>2899</v>
      </c>
      <c r="R34" s="321" t="s">
        <v>2900</v>
      </c>
      <c r="S34" s="3176" t="s">
        <v>2901</v>
      </c>
      <c r="T34" s="2411" t="str">
        <f>NUMBERSTRING(7-K34,1)&amp;"通"</f>
        <v>七通</v>
      </c>
      <c r="U34" s="2421"/>
      <c r="V34" s="2421"/>
    </row>
    <row r="35" spans="1:30">
      <c r="A35" s="2412"/>
      <c r="B35" s="3176" t="s">
        <v>2902</v>
      </c>
      <c r="C35" s="3176"/>
      <c r="D35" s="3176"/>
      <c r="E35" s="3176"/>
      <c r="F35" s="11">
        <f>C10</f>
        <v>0</v>
      </c>
      <c r="G35" s="2615"/>
      <c r="H35" s="2615"/>
      <c r="I35" s="2615"/>
      <c r="J35" s="2421"/>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176"/>
      <c r="T35" s="143" t="str">
        <f>IF(T34="一通",L35,IF(T34="二通",M35,IF(T34="三通",N35,IF(T34="四通",O35,IF(T34="五通",P35,IF(T34="六通",Q35,R35))))))</f>
        <v>、、、、、、</v>
      </c>
      <c r="U35" s="2421"/>
      <c r="V35" s="2421"/>
    </row>
    <row r="36" spans="1:30">
      <c r="A36" s="2356"/>
      <c r="B36" s="11" t="s">
        <v>2858</v>
      </c>
      <c r="C36" s="11" t="s">
        <v>2859</v>
      </c>
      <c r="D36" s="11" t="s">
        <v>2857</v>
      </c>
      <c r="E36" s="11" t="s">
        <v>2862</v>
      </c>
      <c r="F36" s="2621"/>
      <c r="G36" s="2615"/>
      <c r="H36" s="2615"/>
      <c r="I36" s="2615"/>
      <c r="J36" s="2421"/>
      <c r="K36" s="2574"/>
      <c r="L36" s="2571"/>
      <c r="M36" s="2571"/>
      <c r="N36" s="2421"/>
      <c r="O36" s="1814"/>
      <c r="P36" s="2421"/>
      <c r="Q36" s="2421"/>
      <c r="R36" s="2421"/>
      <c r="S36" s="2421"/>
      <c r="T36" s="2421"/>
      <c r="U36" s="2421"/>
      <c r="V36" s="2421"/>
    </row>
    <row r="37" spans="1:30">
      <c r="A37" s="2588" t="s">
        <v>2903</v>
      </c>
      <c r="B37" s="2413"/>
      <c r="C37" s="2413"/>
      <c r="D37" s="2413" t="s">
        <v>56</v>
      </c>
      <c r="E37" s="2413"/>
      <c r="F37" s="2621"/>
      <c r="G37" s="2615"/>
      <c r="H37" s="2615"/>
      <c r="I37" s="2615"/>
      <c r="J37" s="2421"/>
      <c r="K37" s="2574"/>
      <c r="L37" s="2571"/>
      <c r="M37" s="2571"/>
      <c r="N37" s="2421"/>
      <c r="O37" s="1814"/>
      <c r="P37" s="2421"/>
      <c r="Q37" s="2421"/>
      <c r="R37" s="2421"/>
      <c r="S37" s="2421"/>
      <c r="T37" s="2421"/>
      <c r="U37" s="2421"/>
      <c r="V37" s="2421"/>
    </row>
    <row r="38" spans="1:30" ht="13.5" thickBot="1">
      <c r="A38" s="2589" t="s">
        <v>2904</v>
      </c>
      <c r="B38" s="2414"/>
      <c r="C38" s="2414"/>
      <c r="D38" s="2414" t="s">
        <v>464</v>
      </c>
      <c r="E38" s="2414"/>
      <c r="F38" s="2622"/>
      <c r="G38" s="2616"/>
      <c r="H38" s="2616"/>
      <c r="I38" s="2616"/>
      <c r="J38" s="2421"/>
      <c r="K38" s="2574"/>
      <c r="L38" s="2571"/>
      <c r="M38" s="2571"/>
      <c r="N38" s="2421"/>
      <c r="O38" s="1814"/>
      <c r="P38" s="2421"/>
      <c r="Q38" s="2421"/>
      <c r="R38" s="2421"/>
      <c r="S38" s="2421"/>
      <c r="T38" s="2421"/>
      <c r="U38" s="2421"/>
      <c r="V38" s="2421"/>
    </row>
    <row r="39" spans="1:30" s="2417" customFormat="1" ht="14.25" thickTop="1" thickBot="1">
      <c r="A39" s="2415" t="s">
        <v>2905</v>
      </c>
      <c r="B39" s="2416"/>
      <c r="C39" s="2416"/>
      <c r="D39" s="2416"/>
      <c r="E39" s="2416"/>
      <c r="F39" s="2416"/>
      <c r="G39" s="2416"/>
      <c r="H39" s="2416"/>
      <c r="I39" s="2416"/>
      <c r="J39" s="2580"/>
      <c r="K39" s="2581"/>
      <c r="L39" s="2580"/>
      <c r="M39" s="2580"/>
      <c r="N39" s="2580"/>
      <c r="O39" s="2582"/>
      <c r="P39" s="2580"/>
      <c r="Q39" s="2580"/>
      <c r="R39" s="2580"/>
      <c r="S39" s="2580"/>
      <c r="T39" s="2580"/>
      <c r="U39" s="2580"/>
      <c r="V39" s="2580"/>
      <c r="W39" s="2583"/>
      <c r="X39" s="2583"/>
      <c r="Y39" s="2583"/>
      <c r="Z39" s="2583"/>
      <c r="AA39" s="2583"/>
      <c r="AB39" s="2583"/>
      <c r="AC39" s="2583"/>
      <c r="AD39" s="2583"/>
    </row>
    <row r="40" spans="1:30">
      <c r="A40" s="2355"/>
      <c r="B40" s="2355"/>
      <c r="C40" s="2355"/>
      <c r="D40" s="2355"/>
      <c r="E40" s="2355"/>
      <c r="F40" s="2355"/>
      <c r="G40" s="2355"/>
      <c r="H40" s="2355"/>
      <c r="I40" s="1611"/>
      <c r="J40" s="2421"/>
      <c r="K40" s="2573"/>
      <c r="L40" s="1814"/>
      <c r="M40" s="1814"/>
      <c r="N40" s="2421"/>
      <c r="O40" s="1814"/>
      <c r="P40" s="2421"/>
      <c r="Q40" s="2421"/>
      <c r="R40" s="2421"/>
      <c r="S40" s="2421"/>
      <c r="T40" s="2421"/>
      <c r="U40" s="2421"/>
      <c r="V40" s="2421"/>
    </row>
    <row r="41" spans="1:30">
      <c r="A41" s="2418" t="s">
        <v>2906</v>
      </c>
      <c r="B41" s="1772"/>
      <c r="C41" s="1425"/>
      <c r="D41" s="2355"/>
      <c r="E41" s="2355"/>
      <c r="F41" s="2355"/>
      <c r="G41" s="2355"/>
      <c r="H41" s="2355"/>
      <c r="I41" s="1611"/>
      <c r="J41" s="2421"/>
      <c r="K41" s="2574"/>
      <c r="L41" s="2571"/>
      <c r="M41" s="2571"/>
      <c r="N41" s="2421"/>
      <c r="O41" s="1814"/>
      <c r="P41" s="2421"/>
      <c r="Q41" s="2421"/>
      <c r="R41" s="2421"/>
      <c r="S41" s="2421"/>
      <c r="T41" s="2421"/>
      <c r="U41" s="2421"/>
      <c r="V41" s="2421"/>
    </row>
    <row r="42" spans="1:30" ht="25.5">
      <c r="A42" s="321" t="s">
        <v>2907</v>
      </c>
      <c r="B42" s="11" t="s">
        <v>2908</v>
      </c>
      <c r="C42" s="11" t="s">
        <v>2909</v>
      </c>
      <c r="D42" s="11" t="s">
        <v>2910</v>
      </c>
      <c r="E42" s="11" t="s">
        <v>2911</v>
      </c>
      <c r="F42" s="11" t="s">
        <v>2912</v>
      </c>
      <c r="G42" s="11" t="s">
        <v>2913</v>
      </c>
      <c r="H42" s="11" t="s">
        <v>2914</v>
      </c>
      <c r="I42" s="11" t="s">
        <v>2915</v>
      </c>
      <c r="J42" s="2584" t="s">
        <v>2916</v>
      </c>
      <c r="K42" s="2585" t="s">
        <v>2917</v>
      </c>
      <c r="L42" s="2585" t="s">
        <v>2918</v>
      </c>
      <c r="M42" s="2585" t="s">
        <v>2919</v>
      </c>
      <c r="N42" s="2578" t="s">
        <v>2920</v>
      </c>
      <c r="O42" s="2578" t="s">
        <v>2921</v>
      </c>
      <c r="P42" s="2578" t="s">
        <v>2922</v>
      </c>
      <c r="Q42" s="2579" t="s">
        <v>2923</v>
      </c>
      <c r="R42" s="2579" t="s">
        <v>2924</v>
      </c>
      <c r="S42" s="2421"/>
      <c r="T42" s="2421"/>
      <c r="U42" s="2421"/>
      <c r="V42" s="2421"/>
    </row>
    <row r="43" spans="1:30" s="1761" customFormat="1">
      <c r="A43" s="1607"/>
      <c r="B43" s="1112"/>
      <c r="C43" s="1112"/>
      <c r="D43" s="1112"/>
      <c r="E43" s="1112"/>
      <c r="F43" s="1112"/>
      <c r="G43" s="1112"/>
      <c r="H43" s="1112"/>
      <c r="I43" s="1112"/>
      <c r="J43" s="2419"/>
      <c r="K43" s="2420"/>
      <c r="L43" s="2420"/>
      <c r="M43" s="1112"/>
      <c r="N43" s="1112"/>
      <c r="O43" s="1112"/>
      <c r="P43" s="1112"/>
      <c r="Q43" s="1112"/>
      <c r="R43" s="1112"/>
      <c r="S43" s="2421"/>
      <c r="T43" s="2421"/>
      <c r="U43" s="2421"/>
      <c r="V43" s="2421"/>
    </row>
    <row r="44" spans="1:30" s="1761" customFormat="1">
      <c r="A44" s="1607"/>
      <c r="B44" s="1607"/>
      <c r="C44" s="1112"/>
      <c r="D44" s="1112"/>
      <c r="E44" s="1112"/>
      <c r="F44" s="1112"/>
      <c r="G44" s="1112"/>
      <c r="H44" s="1112"/>
      <c r="I44" s="1112"/>
      <c r="J44" s="2419"/>
      <c r="K44" s="2420"/>
      <c r="L44" s="2420"/>
      <c r="M44" s="1112"/>
      <c r="N44" s="1112"/>
      <c r="O44" s="1112"/>
      <c r="P44" s="1112"/>
      <c r="Q44" s="1112"/>
      <c r="R44" s="1112"/>
      <c r="S44" s="2421"/>
      <c r="T44" s="2421"/>
      <c r="U44" s="2421"/>
      <c r="V44" s="2421"/>
    </row>
    <row r="45" spans="1:30" s="1761" customFormat="1">
      <c r="A45" s="1607"/>
      <c r="B45" s="1607"/>
      <c r="C45" s="1112"/>
      <c r="D45" s="1112"/>
      <c r="E45" s="1112"/>
      <c r="F45" s="1112"/>
      <c r="G45" s="1112"/>
      <c r="H45" s="1112"/>
      <c r="I45" s="1112"/>
      <c r="J45" s="2419"/>
      <c r="K45" s="2420"/>
      <c r="L45" s="2420"/>
      <c r="M45" s="1112"/>
      <c r="N45" s="1112"/>
      <c r="O45" s="1112"/>
      <c r="P45" s="1112"/>
      <c r="Q45" s="1112"/>
      <c r="R45" s="1112"/>
      <c r="S45" s="2421"/>
      <c r="T45" s="2421"/>
      <c r="U45" s="2421"/>
      <c r="V45" s="2421"/>
    </row>
    <row r="46" spans="1:30" s="1761" customFormat="1">
      <c r="A46" s="1607"/>
      <c r="B46" s="1607"/>
      <c r="C46" s="1112"/>
      <c r="D46" s="1112"/>
      <c r="E46" s="1112"/>
      <c r="F46" s="1112"/>
      <c r="G46" s="1112"/>
      <c r="H46" s="1112"/>
      <c r="I46" s="1112"/>
      <c r="J46" s="2419"/>
      <c r="K46" s="2420"/>
      <c r="L46" s="2420"/>
      <c r="M46" s="1112"/>
      <c r="N46" s="1112"/>
      <c r="O46" s="1112"/>
      <c r="P46" s="1112"/>
      <c r="Q46" s="1112"/>
      <c r="R46" s="1112"/>
      <c r="S46" s="2421"/>
      <c r="T46" s="2421"/>
      <c r="U46" s="2421"/>
      <c r="V46" s="2421"/>
    </row>
    <row r="47" spans="1:30" s="1761" customFormat="1">
      <c r="A47" s="1607"/>
      <c r="B47" s="1607"/>
      <c r="C47" s="1112"/>
      <c r="D47" s="1112"/>
      <c r="E47" s="1112"/>
      <c r="F47" s="1112"/>
      <c r="G47" s="1112"/>
      <c r="H47" s="1112"/>
      <c r="I47" s="1112"/>
      <c r="J47" s="2419"/>
      <c r="K47" s="2420"/>
      <c r="L47" s="2420"/>
      <c r="M47" s="1112"/>
      <c r="N47" s="1112"/>
      <c r="O47" s="1112"/>
      <c r="P47" s="1112"/>
      <c r="Q47" s="1112"/>
      <c r="R47" s="1112"/>
      <c r="S47" s="2421"/>
      <c r="T47" s="2421"/>
      <c r="U47" s="2421"/>
      <c r="V47" s="2421"/>
    </row>
    <row r="48" spans="1:30" s="1761" customFormat="1">
      <c r="A48" s="1607"/>
      <c r="B48" s="1607"/>
      <c r="C48" s="1112"/>
      <c r="D48" s="1112"/>
      <c r="E48" s="1112"/>
      <c r="F48" s="1112"/>
      <c r="G48" s="1112"/>
      <c r="H48" s="1112"/>
      <c r="I48" s="1112"/>
      <c r="J48" s="2419"/>
      <c r="K48" s="2420"/>
      <c r="L48" s="2420"/>
      <c r="M48" s="1112"/>
      <c r="N48" s="1112"/>
      <c r="O48" s="1112"/>
      <c r="P48" s="1112"/>
      <c r="Q48" s="1112"/>
      <c r="R48" s="1112"/>
      <c r="S48" s="2421"/>
      <c r="T48" s="2421"/>
      <c r="U48" s="2421"/>
      <c r="V48" s="2421"/>
    </row>
    <row r="49" spans="1:22" s="1761" customFormat="1">
      <c r="A49" s="1607"/>
      <c r="B49" s="1607"/>
      <c r="C49" s="1112"/>
      <c r="D49" s="1112"/>
      <c r="E49" s="1112"/>
      <c r="F49" s="1112"/>
      <c r="G49" s="1112"/>
      <c r="H49" s="1112"/>
      <c r="I49" s="1112"/>
      <c r="J49" s="2419"/>
      <c r="K49" s="2420"/>
      <c r="L49" s="2420"/>
      <c r="M49" s="1112"/>
      <c r="N49" s="1112"/>
      <c r="O49" s="1112"/>
      <c r="P49" s="1112"/>
      <c r="Q49" s="1112"/>
      <c r="R49" s="1112"/>
      <c r="S49" s="2421"/>
      <c r="T49" s="2421"/>
      <c r="U49" s="2421"/>
      <c r="V49" s="2421"/>
    </row>
    <row r="50" spans="1:22" s="1761" customFormat="1">
      <c r="A50" s="1607"/>
      <c r="B50" s="1607"/>
      <c r="C50" s="1112"/>
      <c r="D50" s="1112"/>
      <c r="E50" s="1112"/>
      <c r="F50" s="1112"/>
      <c r="G50" s="1112"/>
      <c r="H50" s="1112"/>
      <c r="I50" s="1112"/>
      <c r="J50" s="2419"/>
      <c r="K50" s="2420"/>
      <c r="L50" s="2420"/>
      <c r="M50" s="1112"/>
      <c r="N50" s="1112"/>
      <c r="O50" s="1112"/>
      <c r="P50" s="1112"/>
      <c r="Q50" s="1112"/>
      <c r="R50" s="1112"/>
      <c r="S50" s="2421"/>
      <c r="T50" s="2421"/>
      <c r="U50" s="2421"/>
      <c r="V50" s="2421"/>
    </row>
    <row r="51" spans="1:22" s="1761" customFormat="1">
      <c r="A51" s="1607"/>
      <c r="B51" s="1607"/>
      <c r="C51" s="1112"/>
      <c r="D51" s="1112"/>
      <c r="E51" s="1112"/>
      <c r="F51" s="1112"/>
      <c r="G51" s="1112"/>
      <c r="H51" s="1112"/>
      <c r="I51" s="1112"/>
      <c r="J51" s="2419"/>
      <c r="K51" s="2420"/>
      <c r="L51" s="2420"/>
      <c r="M51" s="1112"/>
      <c r="N51" s="1112"/>
      <c r="O51" s="1112"/>
      <c r="P51" s="1112"/>
      <c r="Q51" s="1112"/>
      <c r="R51" s="1112"/>
    </row>
    <row r="52" spans="1:22" s="1761" customFormat="1">
      <c r="A52" s="1607"/>
      <c r="B52" s="1607"/>
      <c r="C52" s="1607"/>
      <c r="D52" s="1607"/>
      <c r="E52" s="1607"/>
      <c r="F52" s="1112"/>
      <c r="G52" s="1607"/>
      <c r="H52" s="1607"/>
      <c r="I52" s="1607"/>
      <c r="J52" s="2422"/>
      <c r="K52" s="2420"/>
      <c r="L52" s="2420"/>
      <c r="M52" s="2420"/>
      <c r="N52" s="1607"/>
      <c r="O52" s="1607"/>
      <c r="P52" s="1607"/>
      <c r="Q52" s="1607"/>
      <c r="R52" s="1607"/>
    </row>
    <row r="53" spans="1:22" s="1761" customFormat="1">
      <c r="A53" s="1607"/>
      <c r="B53" s="1607"/>
      <c r="C53" s="1607"/>
      <c r="D53" s="1607"/>
      <c r="E53" s="1607"/>
      <c r="F53" s="1112"/>
      <c r="G53" s="1607"/>
      <c r="H53" s="1607"/>
      <c r="I53" s="1607"/>
      <c r="J53" s="2422"/>
      <c r="K53" s="2420"/>
      <c r="L53" s="2420"/>
      <c r="M53" s="2420"/>
      <c r="N53" s="1607"/>
      <c r="O53" s="1607"/>
      <c r="P53" s="1607"/>
      <c r="Q53" s="1607"/>
      <c r="R53" s="1607"/>
    </row>
    <row r="54" spans="1:22" s="1761" customFormat="1">
      <c r="A54" s="1607"/>
      <c r="B54" s="1607"/>
      <c r="C54" s="1607"/>
      <c r="D54" s="1607"/>
      <c r="E54" s="1607"/>
      <c r="F54" s="1112"/>
      <c r="G54" s="1607"/>
      <c r="H54" s="1607"/>
      <c r="I54" s="1607"/>
      <c r="J54" s="2422"/>
      <c r="K54" s="2420"/>
      <c r="L54" s="2420"/>
      <c r="M54" s="2420"/>
      <c r="N54" s="1607"/>
      <c r="O54" s="1607"/>
      <c r="P54" s="1607"/>
      <c r="Q54" s="1607"/>
      <c r="R54" s="1607"/>
    </row>
    <row r="55" spans="1:22" s="1761" customFormat="1">
      <c r="A55" s="1607"/>
      <c r="B55" s="1607"/>
      <c r="C55" s="1607"/>
      <c r="D55" s="1607"/>
      <c r="E55" s="1607"/>
      <c r="F55" s="1112"/>
      <c r="G55" s="1607"/>
      <c r="H55" s="1607"/>
      <c r="I55" s="1607"/>
      <c r="J55" s="2422"/>
      <c r="K55" s="2420"/>
      <c r="L55" s="2420"/>
      <c r="M55" s="2420"/>
      <c r="N55" s="1607"/>
      <c r="O55" s="1607"/>
      <c r="P55" s="1607"/>
      <c r="Q55" s="1607"/>
      <c r="R55" s="1607"/>
    </row>
    <row r="56" spans="1:22" s="1761" customFormat="1">
      <c r="A56" s="1607"/>
      <c r="B56" s="1607"/>
      <c r="C56" s="1607"/>
      <c r="D56" s="1607"/>
      <c r="E56" s="1607"/>
      <c r="F56" s="1112"/>
      <c r="G56" s="1607"/>
      <c r="H56" s="1607"/>
      <c r="I56" s="1607"/>
      <c r="J56" s="2422"/>
      <c r="K56" s="2420"/>
      <c r="L56" s="2420"/>
      <c r="M56" s="2420"/>
      <c r="N56" s="1607"/>
      <c r="O56" s="1607"/>
      <c r="P56" s="1607"/>
      <c r="Q56" s="1607"/>
      <c r="R56" s="160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U518" sqref="U518"/>
      <selection pane="topRight" activeCell="U518" sqref="U518"/>
      <selection pane="bottomLeft" activeCell="U518" sqref="U518"/>
      <selection pane="bottomRight" activeCell="I14" sqref="I14"/>
    </sheetView>
  </sheetViews>
  <sheetFormatPr defaultColWidth="8.875" defaultRowHeight="14.25"/>
  <cols>
    <col min="1" max="1" width="10.625" style="1608" customWidth="1"/>
    <col min="2" max="2" width="11" style="1608" customWidth="1"/>
    <col min="3" max="3" width="10.375" style="1608" customWidth="1"/>
    <col min="4" max="4" width="9.125" style="1608" customWidth="1"/>
    <col min="5" max="8" width="10" style="1608" customWidth="1"/>
    <col min="9" max="9" width="10.625" style="1608" customWidth="1"/>
    <col min="10" max="10" width="9.5" style="1608" customWidth="1"/>
    <col min="11" max="11" width="11" style="1608" customWidth="1"/>
    <col min="12" max="14" width="9.5" style="1608" customWidth="1"/>
    <col min="15" max="15" width="9.875" style="1608" customWidth="1"/>
    <col min="16" max="16" width="9.75" style="1608" customWidth="1"/>
    <col min="17" max="17" width="9.375" style="1608" customWidth="1"/>
    <col min="18" max="18" width="9.25" style="1608" customWidth="1"/>
    <col min="19" max="19" width="10.875" style="1608" customWidth="1"/>
    <col min="20" max="21" width="10.75" style="1608" customWidth="1"/>
    <col min="22" max="22" width="10.875" style="1608" customWidth="1"/>
    <col min="23" max="27" width="10.75" style="1608" customWidth="1"/>
    <col min="28" max="28" width="10.875" style="1608" customWidth="1"/>
    <col min="29" max="29" width="11" style="1608" bestFit="1" customWidth="1"/>
    <col min="30" max="30" width="10" style="1608" bestFit="1" customWidth="1"/>
    <col min="31" max="31" width="9.75" style="1608" customWidth="1"/>
    <col min="32" max="46" width="9.5" style="1608" customWidth="1"/>
    <col min="47" max="47" width="18.125" style="1608" customWidth="1"/>
    <col min="48" max="50" width="9.75" style="1608" customWidth="1"/>
    <col min="51" max="55" width="10.5" style="1608" bestFit="1" customWidth="1"/>
    <col min="56" max="56" width="9.5" style="1608" bestFit="1" customWidth="1"/>
    <col min="57" max="63" width="9.125" style="1608" bestFit="1" customWidth="1"/>
    <col min="64" max="64" width="9.5" style="1608" bestFit="1" customWidth="1"/>
    <col min="65" max="65" width="9.125" style="1608" bestFit="1" customWidth="1"/>
    <col min="66" max="66" width="9.5" style="1608" bestFit="1" customWidth="1"/>
    <col min="67" max="69" width="9.125" style="1608" bestFit="1" customWidth="1"/>
    <col min="70" max="70" width="9.5" style="1608" bestFit="1" customWidth="1"/>
    <col min="71" max="71" width="9" style="1608" customWidth="1"/>
    <col min="72" max="72" width="9.125" style="1608" bestFit="1" customWidth="1"/>
    <col min="73" max="16384" width="8.875" style="1608"/>
  </cols>
  <sheetData>
    <row r="1" spans="1:72" ht="20.25">
      <c r="A1" s="1609" t="s">
        <v>1686</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c r="AN1" s="1595"/>
      <c r="AO1" s="1595"/>
      <c r="AP1" s="1595"/>
      <c r="AQ1" s="1595"/>
      <c r="AR1" s="1595"/>
      <c r="AS1" s="1595"/>
      <c r="AT1" s="1595"/>
      <c r="AU1" s="1595"/>
      <c r="AV1" s="1610" t="s">
        <v>1687</v>
      </c>
      <c r="AW1" s="1595"/>
      <c r="AX1" s="1595"/>
      <c r="AY1" s="1595"/>
      <c r="AZ1" s="1595"/>
      <c r="BA1" s="1595"/>
      <c r="BB1" s="1595"/>
      <c r="BC1" s="1595"/>
      <c r="BD1" s="1595"/>
      <c r="BE1" s="1595"/>
      <c r="BF1" s="1595"/>
      <c r="BG1" s="1595"/>
      <c r="BH1" s="1595"/>
      <c r="BI1" s="1595"/>
      <c r="BJ1" s="1595"/>
      <c r="BK1" s="1595"/>
      <c r="BL1" s="1595"/>
      <c r="BM1" s="1595"/>
      <c r="BN1" s="1595"/>
      <c r="BO1" s="1595"/>
      <c r="BP1" s="1595"/>
      <c r="BQ1" s="1595"/>
      <c r="BR1" s="1595"/>
      <c r="BS1" s="1595"/>
      <c r="BT1" s="1595"/>
    </row>
    <row r="2" spans="1:72" s="1613" customFormat="1" ht="24">
      <c r="A2" s="11" t="s">
        <v>1688</v>
      </c>
      <c r="B2" s="11" t="s">
        <v>1689</v>
      </c>
      <c r="C2" s="11" t="s">
        <v>1690</v>
      </c>
      <c r="D2" s="1611"/>
      <c r="E2" s="1612"/>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109" t="s">
        <v>1691</v>
      </c>
      <c r="AZ2" s="1110" t="s">
        <v>1692</v>
      </c>
      <c r="BA2" s="11" t="s">
        <v>1693</v>
      </c>
      <c r="BB2" s="1611"/>
      <c r="BC2" s="1611"/>
      <c r="BD2" s="1611"/>
      <c r="BE2" s="1611"/>
      <c r="BF2" s="1611"/>
      <c r="BG2" s="1611"/>
      <c r="BH2" s="1611"/>
      <c r="BI2" s="1611"/>
      <c r="BJ2" s="1611"/>
      <c r="BK2" s="1611"/>
      <c r="BL2" s="1611"/>
      <c r="BM2" s="1611"/>
      <c r="BN2" s="1611"/>
      <c r="BO2" s="1611"/>
      <c r="BP2" s="1611"/>
      <c r="BQ2" s="1611"/>
      <c r="BR2" s="1611"/>
      <c r="BS2" s="1611"/>
      <c r="BT2" s="1611"/>
    </row>
    <row r="3" spans="1:72" s="1613" customFormat="1" ht="12.75">
      <c r="A3" s="13"/>
      <c r="B3" s="14">
        <f>IF(C3="否",G5-AT5,G5)</f>
        <v>69.52</v>
      </c>
      <c r="C3" s="1614" t="s">
        <v>1694</v>
      </c>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111"/>
      <c r="AZ3" s="1112"/>
      <c r="BA3" s="1113"/>
      <c r="BB3" s="1611"/>
      <c r="BC3" s="1611"/>
      <c r="BD3" s="1611"/>
      <c r="BE3" s="1611"/>
      <c r="BF3" s="1611"/>
      <c r="BG3" s="1611"/>
      <c r="BH3" s="1611"/>
      <c r="BI3" s="1611"/>
      <c r="BJ3" s="1611"/>
      <c r="BK3" s="1611"/>
      <c r="BL3" s="1611"/>
      <c r="BM3" s="1611"/>
      <c r="BN3" s="1611"/>
      <c r="BO3" s="1611"/>
      <c r="BP3" s="1611"/>
      <c r="BQ3" s="1611"/>
      <c r="BR3" s="1611"/>
      <c r="BS3" s="1611"/>
      <c r="BT3" s="1611"/>
    </row>
    <row r="4" spans="1:72" s="1613" customFormat="1" ht="13.5" thickBot="1">
      <c r="A4" s="1615"/>
      <c r="B4" s="1616"/>
      <c r="C4" s="1617"/>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c r="AP4" s="1611"/>
      <c r="AQ4" s="1611"/>
      <c r="AR4" s="1611"/>
      <c r="AS4" s="1611"/>
      <c r="AT4" s="1611"/>
      <c r="AU4" s="1611"/>
      <c r="AV4" s="1611"/>
      <c r="AW4" s="1611"/>
      <c r="AX4" s="1611"/>
      <c r="AY4" s="1611"/>
      <c r="AZ4" s="1611"/>
      <c r="BA4" s="1618"/>
      <c r="BB4" s="1611"/>
      <c r="BC4" s="1611"/>
      <c r="BD4" s="1611"/>
      <c r="BE4" s="1611"/>
      <c r="BF4" s="1611"/>
      <c r="BG4" s="1611"/>
      <c r="BH4" s="1611"/>
      <c r="BI4" s="1611"/>
      <c r="BJ4" s="1611"/>
      <c r="BK4" s="1611"/>
      <c r="BL4" s="1611"/>
      <c r="BM4" s="1611"/>
      <c r="BN4" s="1611"/>
      <c r="BO4" s="1611"/>
      <c r="BP4" s="1611"/>
      <c r="BQ4" s="1611"/>
      <c r="BR4" s="1611"/>
      <c r="BS4" s="1611"/>
      <c r="BT4" s="1611"/>
    </row>
    <row r="5" spans="1:72" s="1613" customFormat="1" ht="12.75">
      <c r="A5" s="15" t="s">
        <v>1695</v>
      </c>
      <c r="B5" s="1403"/>
      <c r="C5" s="1403"/>
      <c r="D5" s="1404"/>
      <c r="E5" s="16" t="s">
        <v>1</v>
      </c>
      <c r="F5" s="16">
        <f>SUM(F13:F587)</f>
        <v>0</v>
      </c>
      <c r="G5" s="16">
        <f>SUM(G13:G587)</f>
        <v>69.52</v>
      </c>
      <c r="H5" s="16">
        <f t="shared" ref="H5:AT5" si="0">SUM(H13:H656)</f>
        <v>69.52</v>
      </c>
      <c r="I5" s="16">
        <f t="shared" si="0"/>
        <v>69.52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2"/>
      <c r="AV5" s="15" t="s">
        <v>1695</v>
      </c>
      <c r="AW5" s="1403"/>
      <c r="AX5" s="1403"/>
      <c r="AY5" s="17" t="s">
        <v>3</v>
      </c>
      <c r="AZ5" s="18">
        <f t="shared" ref="AZ5:BT5" si="1">SUM(AZ13:AZ656)</f>
        <v>69.52</v>
      </c>
      <c r="BA5" s="18">
        <f t="shared" si="1"/>
        <v>69.52</v>
      </c>
      <c r="BB5" s="18">
        <f t="shared" si="1"/>
        <v>69.52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2" customFormat="1" ht="12.75">
      <c r="A6" s="15" t="s">
        <v>1696</v>
      </c>
      <c r="B6" s="1619"/>
      <c r="C6" s="1619"/>
      <c r="D6" s="162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1"/>
      <c r="AV6" s="15" t="s">
        <v>1696</v>
      </c>
      <c r="AW6" s="1619"/>
      <c r="AX6" s="161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3" customFormat="1" ht="24.75">
      <c r="A7" s="1606" t="s">
        <v>1697</v>
      </c>
      <c r="B7" s="1606" t="s">
        <v>1698</v>
      </c>
      <c r="C7" s="1606" t="s">
        <v>1699</v>
      </c>
      <c r="D7" s="1606" t="s">
        <v>1700</v>
      </c>
      <c r="E7" s="1606" t="s">
        <v>1701</v>
      </c>
      <c r="F7" s="1606" t="s">
        <v>1702</v>
      </c>
      <c r="G7" s="1623" t="s">
        <v>1703</v>
      </c>
      <c r="H7" s="1624"/>
      <c r="I7" s="1624"/>
      <c r="J7" s="1624"/>
      <c r="K7" s="1624"/>
      <c r="L7" s="1624"/>
      <c r="M7" s="1624"/>
      <c r="N7" s="1624"/>
      <c r="O7" s="1624"/>
      <c r="P7" s="1624"/>
      <c r="Q7" s="1624"/>
      <c r="R7" s="1624"/>
      <c r="S7" s="1624"/>
      <c r="T7" s="1624"/>
      <c r="U7" s="1624"/>
      <c r="V7" s="1624"/>
      <c r="W7" s="1624"/>
      <c r="X7" s="1624"/>
      <c r="Y7" s="1624"/>
      <c r="Z7" s="1624"/>
      <c r="AA7" s="1624"/>
      <c r="AB7" s="1624"/>
      <c r="AC7" s="1624"/>
      <c r="AD7" s="1624"/>
      <c r="AE7" s="1624"/>
      <c r="AF7" s="1624"/>
      <c r="AG7" s="1624"/>
      <c r="AH7" s="1624"/>
      <c r="AI7" s="1624"/>
      <c r="AJ7" s="1624"/>
      <c r="AK7" s="1624"/>
      <c r="AL7" s="1624"/>
      <c r="AM7" s="1624"/>
      <c r="AN7" s="1624"/>
      <c r="AO7" s="1624"/>
      <c r="AP7" s="1624"/>
      <c r="AQ7" s="1624"/>
      <c r="AR7" s="1624"/>
      <c r="AS7" s="1624"/>
      <c r="AT7" s="1404"/>
      <c r="AU7" s="1624" t="s">
        <v>1704</v>
      </c>
      <c r="AV7" s="23" t="s">
        <v>1705</v>
      </c>
      <c r="AW7" s="1611" t="s">
        <v>1706</v>
      </c>
      <c r="AX7" s="23" t="s">
        <v>1699</v>
      </c>
      <c r="AY7" s="1403" t="s">
        <v>1707</v>
      </c>
      <c r="AZ7" s="1625"/>
      <c r="BA7" s="1624"/>
      <c r="BB7" s="1624"/>
      <c r="BC7" s="1624"/>
      <c r="BD7" s="1624"/>
      <c r="BE7" s="1624"/>
      <c r="BF7" s="1624"/>
      <c r="BG7" s="1624"/>
      <c r="BH7" s="1624"/>
      <c r="BI7" s="1624"/>
      <c r="BJ7" s="1624"/>
      <c r="BK7" s="1624"/>
      <c r="BL7" s="1624"/>
      <c r="BM7" s="1624"/>
      <c r="BN7" s="1624"/>
      <c r="BO7" s="1624"/>
      <c r="BP7" s="1624"/>
      <c r="BQ7" s="1624"/>
      <c r="BR7" s="1624"/>
      <c r="BS7" s="1624"/>
      <c r="BT7" s="1626"/>
    </row>
    <row r="8" spans="1:72" s="1634" customFormat="1" ht="24">
      <c r="A8" s="1627"/>
      <c r="B8" s="1627"/>
      <c r="C8" s="1627"/>
      <c r="D8" s="1627"/>
      <c r="E8" s="1627"/>
      <c r="F8" s="1627"/>
      <c r="G8" s="1628" t="s">
        <v>1708</v>
      </c>
      <c r="H8" s="1629" t="s">
        <v>1709</v>
      </c>
      <c r="I8" s="1630"/>
      <c r="J8" s="1413"/>
      <c r="K8" s="1413"/>
      <c r="L8" s="1413"/>
      <c r="M8" s="1413"/>
      <c r="N8" s="1413"/>
      <c r="O8" s="1413"/>
      <c r="P8" s="1413"/>
      <c r="Q8" s="1413"/>
      <c r="R8" s="1413"/>
      <c r="S8" s="1413"/>
      <c r="T8" s="1413"/>
      <c r="U8" s="1413"/>
      <c r="V8" s="1631"/>
      <c r="W8" s="1413"/>
      <c r="X8" s="1413"/>
      <c r="Y8" s="1413"/>
      <c r="Z8" s="1413"/>
      <c r="AA8" s="1631"/>
      <c r="AB8" s="1632"/>
      <c r="AC8" s="863" t="s">
        <v>1710</v>
      </c>
      <c r="AD8" s="1633"/>
      <c r="AE8" s="1625"/>
      <c r="AF8" s="1413"/>
      <c r="AG8" s="1413"/>
      <c r="AH8" s="1413"/>
      <c r="AI8" s="1413"/>
      <c r="AJ8" s="1413"/>
      <c r="AK8" s="1413"/>
      <c r="AL8" s="1413"/>
      <c r="AM8" s="1413"/>
      <c r="AN8" s="1413"/>
      <c r="AO8" s="1413"/>
      <c r="AP8" s="1413"/>
      <c r="AQ8" s="1413"/>
      <c r="AR8" s="1413"/>
      <c r="AS8" s="1413"/>
      <c r="AT8" s="1132" t="s">
        <v>1711</v>
      </c>
      <c r="AU8" s="1627" t="s">
        <v>1712</v>
      </c>
      <c r="AV8" s="1132"/>
      <c r="AW8" s="1612"/>
      <c r="AX8" s="1132"/>
      <c r="AY8" s="1611" t="s">
        <v>1713</v>
      </c>
      <c r="AZ8" s="1412" t="s">
        <v>1714</v>
      </c>
      <c r="BA8" s="1413"/>
      <c r="BB8" s="1413"/>
      <c r="BC8" s="1413"/>
      <c r="BD8" s="1413"/>
      <c r="BE8" s="1413"/>
      <c r="BF8" s="1413"/>
      <c r="BG8" s="1413"/>
      <c r="BH8" s="1413"/>
      <c r="BI8" s="1413"/>
      <c r="BJ8" s="1413"/>
      <c r="BK8" s="1413"/>
      <c r="BL8" s="1413"/>
      <c r="BM8" s="1413"/>
      <c r="BN8" s="1413"/>
      <c r="BO8" s="1413"/>
      <c r="BP8" s="1413"/>
      <c r="BQ8" s="1413"/>
      <c r="BR8" s="1413"/>
      <c r="BS8" s="1413"/>
      <c r="BT8" s="26"/>
    </row>
    <row r="9" spans="1:72" s="1634" customFormat="1" ht="12.75">
      <c r="A9" s="1627"/>
      <c r="B9" s="1627"/>
      <c r="C9" s="1627"/>
      <c r="D9" s="1627"/>
      <c r="E9" s="1627"/>
      <c r="F9" s="1627"/>
      <c r="G9" s="1132"/>
      <c r="H9" s="1635" t="s">
        <v>1715</v>
      </c>
      <c r="I9" s="1636" t="s">
        <v>3126</v>
      </c>
      <c r="J9" s="863"/>
      <c r="K9" s="1636"/>
      <c r="L9" s="863"/>
      <c r="M9" s="1636"/>
      <c r="N9" s="863"/>
      <c r="O9" s="1636"/>
      <c r="P9" s="863"/>
      <c r="Q9" s="1636"/>
      <c r="R9" s="863"/>
      <c r="S9" s="1636"/>
      <c r="T9" s="863"/>
      <c r="U9" s="1636"/>
      <c r="V9" s="863"/>
      <c r="W9" s="1636"/>
      <c r="X9" s="1637"/>
      <c r="Y9" s="1636"/>
      <c r="Z9" s="863"/>
      <c r="AA9" s="1636"/>
      <c r="AB9" s="863"/>
      <c r="AC9" s="1628" t="s">
        <v>1715</v>
      </c>
      <c r="AD9" s="15" t="s">
        <v>1716</v>
      </c>
      <c r="AE9" s="1138"/>
      <c r="AF9" s="15" t="s">
        <v>1717</v>
      </c>
      <c r="AG9" s="1138"/>
      <c r="AH9" s="15" t="s">
        <v>1716</v>
      </c>
      <c r="AI9" s="1138"/>
      <c r="AJ9" s="15" t="s">
        <v>1717</v>
      </c>
      <c r="AK9" s="1138"/>
      <c r="AL9" s="15" t="s">
        <v>1716</v>
      </c>
      <c r="AM9" s="1138"/>
      <c r="AN9" s="15" t="s">
        <v>1717</v>
      </c>
      <c r="AO9" s="1138"/>
      <c r="AP9" s="15" t="s">
        <v>1716</v>
      </c>
      <c r="AQ9" s="1138"/>
      <c r="AR9" s="15" t="s">
        <v>1717</v>
      </c>
      <c r="AS9" s="1638"/>
      <c r="AT9" s="1627"/>
      <c r="AU9" s="1627" t="s">
        <v>1718</v>
      </c>
      <c r="AV9" s="1132"/>
      <c r="AW9" s="1612"/>
      <c r="AX9" s="1132"/>
      <c r="AY9" s="28"/>
      <c r="AZ9" s="28" t="s">
        <v>1708</v>
      </c>
      <c r="BA9" s="1639" t="s">
        <v>1719</v>
      </c>
      <c r="BB9" s="1640"/>
      <c r="BC9" s="1150"/>
      <c r="BD9" s="1150"/>
      <c r="BE9" s="1150"/>
      <c r="BF9" s="1150"/>
      <c r="BG9" s="1150"/>
      <c r="BH9" s="1150"/>
      <c r="BI9" s="1150"/>
      <c r="BJ9" s="1150"/>
      <c r="BK9" s="1641"/>
      <c r="BL9" s="15" t="s">
        <v>1720</v>
      </c>
      <c r="BM9" s="1413"/>
      <c r="BN9" s="1630"/>
      <c r="BO9" s="1413"/>
      <c r="BP9" s="1413"/>
      <c r="BQ9" s="1413"/>
      <c r="BR9" s="1413"/>
      <c r="BS9" s="1413"/>
      <c r="BT9" s="26"/>
    </row>
    <row r="10" spans="1:72" s="1634" customFormat="1" ht="12.75">
      <c r="A10" s="1627"/>
      <c r="B10" s="1627"/>
      <c r="C10" s="1627"/>
      <c r="D10" s="1627"/>
      <c r="E10" s="1627"/>
      <c r="F10" s="1627"/>
      <c r="G10" s="1132"/>
      <c r="H10" s="28"/>
      <c r="I10" s="1636" t="s">
        <v>3310</v>
      </c>
      <c r="J10" s="863"/>
      <c r="K10" s="1642"/>
      <c r="L10" s="863"/>
      <c r="M10" s="1642"/>
      <c r="N10" s="863"/>
      <c r="O10" s="1642"/>
      <c r="P10" s="863"/>
      <c r="Q10" s="1642"/>
      <c r="R10" s="863"/>
      <c r="S10" s="1642"/>
      <c r="T10" s="863"/>
      <c r="U10" s="1642"/>
      <c r="V10" s="863"/>
      <c r="W10" s="1642"/>
      <c r="X10" s="863"/>
      <c r="Y10" s="1642"/>
      <c r="Z10" s="863"/>
      <c r="AA10" s="1642"/>
      <c r="AB10" s="863"/>
      <c r="AC10" s="1132"/>
      <c r="AD10" s="15" t="s">
        <v>1721</v>
      </c>
      <c r="AE10" s="1643"/>
      <c r="AF10" s="15" t="s">
        <v>1721</v>
      </c>
      <c r="AG10" s="1643"/>
      <c r="AH10" s="15" t="s">
        <v>1722</v>
      </c>
      <c r="AI10" s="1643"/>
      <c r="AJ10" s="15" t="s">
        <v>1722</v>
      </c>
      <c r="AK10" s="1643"/>
      <c r="AL10" s="15" t="s">
        <v>1723</v>
      </c>
      <c r="AM10" s="1138"/>
      <c r="AN10" s="15" t="s">
        <v>1723</v>
      </c>
      <c r="AO10" s="1138"/>
      <c r="AP10" s="15" t="s">
        <v>1724</v>
      </c>
      <c r="AQ10" s="1138"/>
      <c r="AR10" s="15" t="s">
        <v>1724</v>
      </c>
      <c r="AS10" s="1138"/>
      <c r="AT10" s="1627"/>
      <c r="AU10" s="1627"/>
      <c r="AV10" s="1132"/>
      <c r="AW10" s="1612"/>
      <c r="AX10" s="1132"/>
      <c r="AY10" s="28"/>
      <c r="AZ10" s="28"/>
      <c r="BA10" s="1644" t="s">
        <v>1715</v>
      </c>
      <c r="BB10" s="1645" t="str">
        <f>I9</f>
        <v>地上</v>
      </c>
      <c r="BC10" s="29">
        <f>K9</f>
        <v>0</v>
      </c>
      <c r="BD10" s="29">
        <f>M9</f>
        <v>0</v>
      </c>
      <c r="BE10" s="29">
        <f>O9</f>
        <v>0</v>
      </c>
      <c r="BF10" s="29">
        <f>Q9</f>
        <v>0</v>
      </c>
      <c r="BG10" s="29">
        <f>S9</f>
        <v>0</v>
      </c>
      <c r="BH10" s="29">
        <f>U9</f>
        <v>0</v>
      </c>
      <c r="BI10" s="29">
        <f>W9</f>
        <v>0</v>
      </c>
      <c r="BJ10" s="29">
        <f>Y9</f>
        <v>0</v>
      </c>
      <c r="BK10" s="29">
        <f>AA9</f>
        <v>0</v>
      </c>
      <c r="BL10" s="25" t="s">
        <v>1715</v>
      </c>
      <c r="BM10" s="1412" t="str">
        <f>AD9</f>
        <v>地上</v>
      </c>
      <c r="BN10" s="29" t="str">
        <f>AF9</f>
        <v>地下</v>
      </c>
      <c r="BO10" s="1412" t="str">
        <f>AH9</f>
        <v>地上</v>
      </c>
      <c r="BP10" s="29" t="str">
        <f>AJ9</f>
        <v>地下</v>
      </c>
      <c r="BQ10" s="1412" t="str">
        <f>AL9</f>
        <v>地上</v>
      </c>
      <c r="BR10" s="29" t="str">
        <f>AN9</f>
        <v>地下</v>
      </c>
      <c r="BS10" s="1412" t="str">
        <f>AP9</f>
        <v>地上</v>
      </c>
      <c r="BT10" s="1646" t="str">
        <f>AR9</f>
        <v>地下</v>
      </c>
    </row>
    <row r="11" spans="1:72" s="1634" customFormat="1" ht="12.75">
      <c r="A11" s="1627"/>
      <c r="B11" s="1627"/>
      <c r="C11" s="1627"/>
      <c r="D11" s="1627"/>
      <c r="E11" s="1627"/>
      <c r="F11" s="1627"/>
      <c r="G11" s="1132"/>
      <c r="H11" s="1644"/>
      <c r="I11" s="1647" t="s">
        <v>3212</v>
      </c>
      <c r="J11" s="1648"/>
      <c r="K11" s="1647"/>
      <c r="L11" s="1648"/>
      <c r="M11" s="1647"/>
      <c r="N11" s="1648"/>
      <c r="O11" s="1647"/>
      <c r="P11" s="1648"/>
      <c r="Q11" s="1647"/>
      <c r="R11" s="1648"/>
      <c r="S11" s="1647"/>
      <c r="T11" s="1648"/>
      <c r="U11" s="1647"/>
      <c r="V11" s="1648"/>
      <c r="W11" s="1647"/>
      <c r="X11" s="1648"/>
      <c r="Y11" s="1647"/>
      <c r="Z11" s="1648"/>
      <c r="AA11" s="1647"/>
      <c r="AB11" s="1648"/>
      <c r="AC11" s="1132"/>
      <c r="AD11" s="1649" t="s">
        <v>1725</v>
      </c>
      <c r="AE11" s="1414"/>
      <c r="AF11" s="1649" t="s">
        <v>1725</v>
      </c>
      <c r="AG11" s="1414"/>
      <c r="AH11" s="1649" t="s">
        <v>1726</v>
      </c>
      <c r="AI11" s="1650"/>
      <c r="AJ11" s="1649" t="s">
        <v>1726</v>
      </c>
      <c r="AK11" s="1414"/>
      <c r="AL11" s="1412"/>
      <c r="AM11" s="1414"/>
      <c r="AN11" s="1412"/>
      <c r="AO11" s="1414"/>
      <c r="AP11" s="1412"/>
      <c r="AQ11" s="1414"/>
      <c r="AR11" s="1412"/>
      <c r="AS11" s="1414"/>
      <c r="AT11" s="1612"/>
      <c r="AU11" s="1627"/>
      <c r="AV11" s="1132"/>
      <c r="AW11" s="1612"/>
      <c r="AX11" s="1132"/>
      <c r="AY11" s="28"/>
      <c r="AZ11" s="28"/>
      <c r="BA11" s="28"/>
      <c r="BB11" s="1632" t="str">
        <f>I10</f>
        <v>住宅</v>
      </c>
      <c r="BC11" s="1632">
        <f>K10</f>
        <v>0</v>
      </c>
      <c r="BD11" s="1632">
        <f>M10</f>
        <v>0</v>
      </c>
      <c r="BE11" s="1632">
        <f>O10</f>
        <v>0</v>
      </c>
      <c r="BF11" s="1632">
        <f>Q10</f>
        <v>0</v>
      </c>
      <c r="BG11" s="1632">
        <f>S10</f>
        <v>0</v>
      </c>
      <c r="BH11" s="1632">
        <f>U10</f>
        <v>0</v>
      </c>
      <c r="BI11" s="1632">
        <f>W10</f>
        <v>0</v>
      </c>
      <c r="BJ11" s="1632">
        <f>Y10</f>
        <v>0</v>
      </c>
      <c r="BK11" s="1632">
        <f>AA10</f>
        <v>0</v>
      </c>
      <c r="BL11" s="1132"/>
      <c r="BM11" s="1412" t="str">
        <f>AD10</f>
        <v>公共配套设施</v>
      </c>
      <c r="BN11" s="1412" t="str">
        <f>AF10</f>
        <v>公共配套设施</v>
      </c>
      <c r="BO11" s="24" t="str">
        <f>AH10</f>
        <v>物业管理用房</v>
      </c>
      <c r="BP11" s="24" t="str">
        <f>AJ10</f>
        <v>物业管理用房</v>
      </c>
      <c r="BQ11" s="24" t="str">
        <f>AL10</f>
        <v>设备及其他</v>
      </c>
      <c r="BR11" s="24" t="str">
        <f>AN10</f>
        <v>设备及其他</v>
      </c>
      <c r="BS11" s="25" t="str">
        <f>AP10</f>
        <v>未注明</v>
      </c>
      <c r="BT11" s="1651" t="str">
        <f>AR10</f>
        <v>未注明</v>
      </c>
    </row>
    <row r="12" spans="1:72" s="1613" customFormat="1" ht="12.75">
      <c r="A12" s="1652"/>
      <c r="B12" s="1652"/>
      <c r="C12" s="1652"/>
      <c r="D12" s="1652"/>
      <c r="E12" s="1652"/>
      <c r="F12" s="1652"/>
      <c r="G12" s="30"/>
      <c r="H12" s="1653"/>
      <c r="I12" s="1404"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2" t="s">
        <v>1728</v>
      </c>
      <c r="W12" s="11" t="s">
        <v>1727</v>
      </c>
      <c r="X12" s="11" t="s">
        <v>1728</v>
      </c>
      <c r="Y12" s="11" t="s">
        <v>1727</v>
      </c>
      <c r="Z12" s="11" t="s">
        <v>1728</v>
      </c>
      <c r="AA12" s="11" t="s">
        <v>1727</v>
      </c>
      <c r="AB12" s="11" t="s">
        <v>1728</v>
      </c>
      <c r="AC12" s="1654"/>
      <c r="AD12" s="1404"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2" t="s">
        <v>1728</v>
      </c>
      <c r="AT12" s="1655"/>
      <c r="AU12" s="1652"/>
      <c r="AV12" s="31"/>
      <c r="AW12" s="1611"/>
      <c r="AX12" s="31"/>
      <c r="AY12" s="1656"/>
      <c r="AZ12" s="28"/>
      <c r="BA12" s="1644"/>
      <c r="BB12" s="24" t="str">
        <f>I11</f>
        <v>独立商业</v>
      </c>
      <c r="BC12" s="1657">
        <f>K11</f>
        <v>0</v>
      </c>
      <c r="BD12" s="1657">
        <f>M11</f>
        <v>0</v>
      </c>
      <c r="BE12" s="1632">
        <f>O11</f>
        <v>0</v>
      </c>
      <c r="BF12" s="1632">
        <f>Q11</f>
        <v>0</v>
      </c>
      <c r="BG12" s="1632">
        <f>S11</f>
        <v>0</v>
      </c>
      <c r="BH12" s="1632">
        <f>U11</f>
        <v>0</v>
      </c>
      <c r="BI12" s="1632">
        <f>W11</f>
        <v>0</v>
      </c>
      <c r="BJ12" s="1632">
        <f>Y11</f>
        <v>0</v>
      </c>
      <c r="BK12" s="1632">
        <f>AA11</f>
        <v>0</v>
      </c>
      <c r="BL12" s="1132"/>
      <c r="BM12" s="1412" t="str">
        <f>AD11</f>
        <v>（住宅）</v>
      </c>
      <c r="BN12" s="1412" t="str">
        <f>AF11</f>
        <v>（住宅）</v>
      </c>
      <c r="BO12" s="24" t="str">
        <f>AH11</f>
        <v>（住宅、计出让金）</v>
      </c>
      <c r="BP12" s="24" t="str">
        <f>AJ11</f>
        <v>（住宅、计出让金）</v>
      </c>
      <c r="BQ12" s="24">
        <f>AL11</f>
        <v>0</v>
      </c>
      <c r="BR12" s="24">
        <f>AN11</f>
        <v>0</v>
      </c>
      <c r="BS12" s="25">
        <f>AP11</f>
        <v>0</v>
      </c>
      <c r="BT12" s="1651">
        <f>AR11</f>
        <v>0</v>
      </c>
    </row>
    <row r="13" spans="1:72" s="1613" customFormat="1" ht="12.75">
      <c r="A13" s="1112"/>
      <c r="B13" s="1112"/>
      <c r="C13" s="1112"/>
      <c r="D13" s="1658" t="s">
        <v>3117</v>
      </c>
      <c r="E13" s="16">
        <f>IF($C$3="是",ROUND($A$3*G13/$B$3,2),ROUND($A$3*(G13-AT13)/$B$3,2))</f>
        <v>0</v>
      </c>
      <c r="F13" s="32"/>
      <c r="G13" s="33">
        <f>H13+AC13+AT13</f>
        <v>69.52</v>
      </c>
      <c r="H13" s="20">
        <f>SUMIF(I$12:AB$12,"总值",I13:AB13)</f>
        <v>69.52</v>
      </c>
      <c r="I13" s="1659">
        <v>69.52</v>
      </c>
      <c r="J13" s="1659"/>
      <c r="K13" s="1659"/>
      <c r="L13" s="1659"/>
      <c r="M13" s="1659"/>
      <c r="N13" s="1659"/>
      <c r="O13" s="1659"/>
      <c r="P13" s="1659"/>
      <c r="Q13" s="1659"/>
      <c r="R13" s="1659"/>
      <c r="S13" s="1659"/>
      <c r="T13" s="1659"/>
      <c r="U13" s="1659"/>
      <c r="V13" s="1659"/>
      <c r="W13" s="1659"/>
      <c r="X13" s="1659"/>
      <c r="Y13" s="1659"/>
      <c r="Z13" s="1659"/>
      <c r="AA13" s="1659"/>
      <c r="AB13" s="1659"/>
      <c r="AC13" s="16">
        <f>SUMIF(AD$12:AS$12,"总值",AD13:AS13)</f>
        <v>0</v>
      </c>
      <c r="AD13" s="1113"/>
      <c r="AE13" s="1113"/>
      <c r="AF13" s="1113"/>
      <c r="AG13" s="1113"/>
      <c r="AH13" s="1113"/>
      <c r="AI13" s="1113"/>
      <c r="AJ13" s="1113"/>
      <c r="AK13" s="1113"/>
      <c r="AL13" s="1113"/>
      <c r="AM13" s="1113"/>
      <c r="AN13" s="1113"/>
      <c r="AO13" s="1113"/>
      <c r="AP13" s="1113"/>
      <c r="AQ13" s="1113"/>
      <c r="AR13" s="1113"/>
      <c r="AS13" s="1113"/>
      <c r="AT13" s="32"/>
      <c r="AU13" s="1660"/>
      <c r="AV13" s="11">
        <f t="shared" ref="AV13:AX17" si="6">A13</f>
        <v>0</v>
      </c>
      <c r="AW13" s="11">
        <f t="shared" si="6"/>
        <v>0</v>
      </c>
      <c r="AX13" s="11">
        <f t="shared" si="6"/>
        <v>0</v>
      </c>
      <c r="AY13" s="1404">
        <f>ROUND($AY$6*AZ13/$AZ$5,2)</f>
        <v>0</v>
      </c>
      <c r="AZ13" s="16">
        <f>BA13+BL13</f>
        <v>69.52</v>
      </c>
      <c r="BA13" s="16">
        <f>SUM(BB13:BK13)</f>
        <v>69.52</v>
      </c>
      <c r="BB13" s="16">
        <f>IF($D13="是",I13-J13,0)</f>
        <v>69.52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3" customFormat="1" ht="12.75">
      <c r="A14" s="1112"/>
      <c r="B14" s="1112"/>
      <c r="C14" s="1607"/>
      <c r="D14" s="1658"/>
      <c r="E14" s="16">
        <f>IF($C$3="是",ROUND($A$3*G14/$B$3,2),ROUND($A$3*(G14-AT14)/$B$3,2))</f>
        <v>0</v>
      </c>
      <c r="F14" s="32"/>
      <c r="G14" s="33">
        <f>H14+AC14+AT14</f>
        <v>0</v>
      </c>
      <c r="H14" s="20">
        <f>SUMIF(I$12:AB$12,"总值",I14:AB14)</f>
        <v>0</v>
      </c>
      <c r="I14" s="1659"/>
      <c r="J14" s="1659"/>
      <c r="K14" s="1659"/>
      <c r="L14" s="1659"/>
      <c r="M14" s="1659"/>
      <c r="N14" s="1659"/>
      <c r="O14" s="1659"/>
      <c r="P14" s="1659"/>
      <c r="Q14" s="1659"/>
      <c r="R14" s="1659"/>
      <c r="S14" s="1659"/>
      <c r="T14" s="1659"/>
      <c r="U14" s="1659"/>
      <c r="V14" s="1659"/>
      <c r="W14" s="1659"/>
      <c r="X14" s="1659"/>
      <c r="Y14" s="1659"/>
      <c r="Z14" s="1659"/>
      <c r="AA14" s="1659"/>
      <c r="AB14" s="1659"/>
      <c r="AC14" s="16">
        <f>SUMIF(AD$12:AS$12,"总值",AD14:AS14)</f>
        <v>0</v>
      </c>
      <c r="AD14" s="1113"/>
      <c r="AE14" s="1113"/>
      <c r="AF14" s="1113"/>
      <c r="AG14" s="1113"/>
      <c r="AH14" s="1113"/>
      <c r="AI14" s="1113"/>
      <c r="AJ14" s="1113"/>
      <c r="AK14" s="1113"/>
      <c r="AL14" s="1113"/>
      <c r="AM14" s="1113"/>
      <c r="AN14" s="1113"/>
      <c r="AO14" s="1113"/>
      <c r="AP14" s="1113"/>
      <c r="AQ14" s="1113"/>
      <c r="AR14" s="1113"/>
      <c r="AS14" s="1113"/>
      <c r="AT14" s="32"/>
      <c r="AU14" s="1660"/>
      <c r="AV14" s="11">
        <f t="shared" si="6"/>
        <v>0</v>
      </c>
      <c r="AW14" s="11">
        <f t="shared" si="6"/>
        <v>0</v>
      </c>
      <c r="AX14" s="11">
        <f t="shared" si="6"/>
        <v>0</v>
      </c>
      <c r="AY14" s="14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3" customFormat="1" ht="12.75">
      <c r="A15" s="1112"/>
      <c r="B15" s="1112"/>
      <c r="C15" s="1607"/>
      <c r="D15" s="1658"/>
      <c r="E15" s="16">
        <f>IF($C$3="是",ROUND($A$3*G15/$B$3,2),ROUND($A$3*(G15-AT15)/$B$3,2))</f>
        <v>0</v>
      </c>
      <c r="F15" s="32"/>
      <c r="G15" s="33">
        <f>H15+AC15+AT15</f>
        <v>0</v>
      </c>
      <c r="H15" s="20">
        <f>SUMIF(I$12:AB$12,"总值",I15:AB15)</f>
        <v>0</v>
      </c>
      <c r="I15" s="1659"/>
      <c r="J15" s="1659"/>
      <c r="K15" s="1659"/>
      <c r="L15" s="1659"/>
      <c r="M15" s="1659"/>
      <c r="N15" s="1659"/>
      <c r="O15" s="1659"/>
      <c r="P15" s="1659"/>
      <c r="Q15" s="1659"/>
      <c r="R15" s="1659"/>
      <c r="S15" s="1659"/>
      <c r="T15" s="1659"/>
      <c r="U15" s="1659"/>
      <c r="V15" s="1659"/>
      <c r="W15" s="1659"/>
      <c r="X15" s="1659"/>
      <c r="Y15" s="1659"/>
      <c r="Z15" s="1659"/>
      <c r="AA15" s="1659"/>
      <c r="AB15" s="1659"/>
      <c r="AC15" s="16">
        <f>SUMIF(AD$12:AS$12,"总值",AD15:AS15)</f>
        <v>0</v>
      </c>
      <c r="AD15" s="1113"/>
      <c r="AE15" s="1113"/>
      <c r="AF15" s="1113"/>
      <c r="AG15" s="1113"/>
      <c r="AH15" s="1113"/>
      <c r="AI15" s="1113"/>
      <c r="AJ15" s="1113"/>
      <c r="AK15" s="1113"/>
      <c r="AL15" s="1113"/>
      <c r="AM15" s="1113"/>
      <c r="AN15" s="1113"/>
      <c r="AO15" s="1113"/>
      <c r="AP15" s="1113"/>
      <c r="AQ15" s="1113"/>
      <c r="AR15" s="1113"/>
      <c r="AS15" s="1113"/>
      <c r="AT15" s="32"/>
      <c r="AU15" s="1660"/>
      <c r="AV15" s="11">
        <f t="shared" si="6"/>
        <v>0</v>
      </c>
      <c r="AW15" s="11">
        <f t="shared" si="6"/>
        <v>0</v>
      </c>
      <c r="AX15" s="11">
        <f t="shared" si="6"/>
        <v>0</v>
      </c>
      <c r="AY15" s="14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3" customFormat="1" ht="12.75">
      <c r="A16" s="1112"/>
      <c r="B16" s="1112"/>
      <c r="C16" s="1607"/>
      <c r="D16" s="1658"/>
      <c r="E16" s="16">
        <f>IF($C$3="是",ROUND($A$3*G16/$B$3,2),ROUND($A$3*(G16-AT16)/$B$3,2))</f>
        <v>0</v>
      </c>
      <c r="F16" s="32"/>
      <c r="G16" s="33">
        <f>H16+AC16+AT16</f>
        <v>0</v>
      </c>
      <c r="H16" s="20">
        <f>SUMIF(I$12:AB$12,"总值",I16:AB16)</f>
        <v>0</v>
      </c>
      <c r="I16" s="1659"/>
      <c r="J16" s="1659"/>
      <c r="K16" s="1659"/>
      <c r="L16" s="1659"/>
      <c r="M16" s="1659"/>
      <c r="N16" s="1659"/>
      <c r="O16" s="1659"/>
      <c r="P16" s="1659"/>
      <c r="Q16" s="1659"/>
      <c r="R16" s="1659"/>
      <c r="S16" s="1659"/>
      <c r="T16" s="1659"/>
      <c r="U16" s="1659"/>
      <c r="V16" s="1659"/>
      <c r="W16" s="1659"/>
      <c r="X16" s="1659"/>
      <c r="Y16" s="1659"/>
      <c r="Z16" s="1659"/>
      <c r="AA16" s="1659"/>
      <c r="AB16" s="1659"/>
      <c r="AC16" s="16">
        <f>SUMIF(AD$12:AS$12,"总值",AD16:AS16)</f>
        <v>0</v>
      </c>
      <c r="AD16" s="1113"/>
      <c r="AE16" s="1113"/>
      <c r="AF16" s="1113"/>
      <c r="AG16" s="1113"/>
      <c r="AH16" s="1113"/>
      <c r="AI16" s="1113"/>
      <c r="AJ16" s="1113"/>
      <c r="AK16" s="1113"/>
      <c r="AL16" s="1113"/>
      <c r="AM16" s="1113"/>
      <c r="AN16" s="1113"/>
      <c r="AO16" s="1113"/>
      <c r="AP16" s="1113"/>
      <c r="AQ16" s="1113"/>
      <c r="AR16" s="1113"/>
      <c r="AS16" s="1113"/>
      <c r="AT16" s="32"/>
      <c r="AU16" s="1660"/>
      <c r="AV16" s="11">
        <f t="shared" si="6"/>
        <v>0</v>
      </c>
      <c r="AW16" s="11">
        <f t="shared" si="6"/>
        <v>0</v>
      </c>
      <c r="AX16" s="11">
        <f t="shared" si="6"/>
        <v>0</v>
      </c>
      <c r="AY16" s="14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3" customFormat="1" ht="12.75">
      <c r="A17" s="1112"/>
      <c r="B17" s="1112"/>
      <c r="C17" s="1607"/>
      <c r="D17" s="1658"/>
      <c r="E17" s="16">
        <f>IF($C$3="是",ROUND($A$3*G17/$B$3,2),ROUND($A$3*(G17-AT17)/$B$3,2))</f>
        <v>0</v>
      </c>
      <c r="F17" s="32"/>
      <c r="G17" s="33">
        <f>H17+AC17+AT17</f>
        <v>0</v>
      </c>
      <c r="H17" s="20">
        <f>SUMIF(I$12:AB$12,"总值",I17:AB17)</f>
        <v>0</v>
      </c>
      <c r="I17" s="1659"/>
      <c r="J17" s="1659"/>
      <c r="K17" s="1659"/>
      <c r="L17" s="1659"/>
      <c r="M17" s="1659"/>
      <c r="N17" s="1659"/>
      <c r="O17" s="1659"/>
      <c r="P17" s="1659"/>
      <c r="Q17" s="1659"/>
      <c r="R17" s="1659"/>
      <c r="S17" s="1659"/>
      <c r="T17" s="1659"/>
      <c r="U17" s="1659"/>
      <c r="V17" s="1659"/>
      <c r="W17" s="1659"/>
      <c r="X17" s="1659"/>
      <c r="Y17" s="1659"/>
      <c r="Z17" s="1659"/>
      <c r="AA17" s="1659"/>
      <c r="AB17" s="1659"/>
      <c r="AC17" s="16">
        <f>SUMIF(AD$12:AS$12,"总值",AD17:AS17)</f>
        <v>0</v>
      </c>
      <c r="AD17" s="1113"/>
      <c r="AE17" s="1113"/>
      <c r="AF17" s="1113"/>
      <c r="AG17" s="1113"/>
      <c r="AH17" s="1113"/>
      <c r="AI17" s="1113"/>
      <c r="AJ17" s="1113"/>
      <c r="AK17" s="1113"/>
      <c r="AL17" s="1113"/>
      <c r="AM17" s="1113"/>
      <c r="AN17" s="1113"/>
      <c r="AO17" s="1113"/>
      <c r="AP17" s="1113"/>
      <c r="AQ17" s="1113"/>
      <c r="AR17" s="1113"/>
      <c r="AS17" s="1113"/>
      <c r="AT17" s="32"/>
      <c r="AU17" s="1660"/>
      <c r="AV17" s="11">
        <f t="shared" si="6"/>
        <v>0</v>
      </c>
      <c r="AW17" s="11">
        <f t="shared" si="6"/>
        <v>0</v>
      </c>
      <c r="AX17" s="11">
        <f t="shared" si="6"/>
        <v>0</v>
      </c>
      <c r="AY17" s="14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6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2"/>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6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2"/>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6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2"/>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2"/>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2"/>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2"/>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2"/>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2"/>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2"/>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2"/>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2"/>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2"/>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2"/>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2"/>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2"/>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2"/>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2"/>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2"/>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2"/>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2"/>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2"/>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2"/>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2"/>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2"/>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2"/>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2"/>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2"/>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2"/>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2"/>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2"/>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2"/>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2"/>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2"/>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2"/>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2"/>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2"/>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2"/>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2"/>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2"/>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2"/>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2"/>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2"/>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2"/>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2"/>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2"/>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2"/>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2"/>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2"/>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2"/>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2"/>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2"/>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2"/>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2"/>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2"/>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2"/>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2"/>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2"/>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2"/>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2"/>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2"/>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2"/>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2"/>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2"/>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2"/>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2"/>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2"/>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2"/>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2"/>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2"/>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2"/>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2"/>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2"/>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2"/>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2"/>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2"/>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2"/>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2"/>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2"/>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2"/>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2"/>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2"/>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2"/>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2"/>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2"/>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2"/>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2"/>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2"/>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2"/>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2"/>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2"/>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2"/>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2"/>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1"/>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3"/>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1"/>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3"/>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1"/>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3"/>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2"/>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2"/>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2"/>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2"/>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2"/>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2"/>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2"/>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2"/>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2"/>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2"/>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2"/>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2"/>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2"/>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2"/>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2"/>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2"/>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2"/>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2"/>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2"/>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2"/>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2"/>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2"/>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2"/>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2"/>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2"/>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2"/>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2"/>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2"/>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2"/>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2"/>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2"/>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2"/>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2"/>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2"/>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2"/>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2"/>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2"/>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2"/>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2"/>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2"/>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2"/>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2"/>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2"/>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2"/>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2"/>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2"/>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2"/>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2"/>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2"/>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2"/>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2"/>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2"/>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2"/>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2"/>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2"/>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2"/>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2"/>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2"/>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2"/>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2"/>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2"/>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2"/>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2"/>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2"/>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2"/>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2"/>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2"/>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2"/>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2"/>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2"/>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2"/>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2"/>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2"/>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2"/>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2"/>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2"/>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2"/>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2"/>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2"/>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2"/>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2"/>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2"/>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2"/>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2"/>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2"/>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2"/>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2"/>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2"/>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2"/>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2"/>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2"/>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2"/>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1"/>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3"/>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1"/>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3"/>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1"/>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3"/>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2"/>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2"/>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2"/>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2"/>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2"/>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2"/>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2"/>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2"/>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2"/>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2"/>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2"/>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2"/>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2"/>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2"/>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2"/>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2"/>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2"/>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2"/>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2"/>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2"/>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2"/>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2"/>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2"/>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2"/>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2"/>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2"/>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2"/>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2"/>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2"/>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2"/>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2"/>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2"/>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2"/>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2"/>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2"/>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2"/>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2"/>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2"/>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2"/>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2"/>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2"/>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2"/>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2"/>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2"/>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2"/>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2"/>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2"/>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2"/>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2"/>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2"/>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2"/>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2"/>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2"/>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2"/>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2"/>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2"/>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2"/>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2"/>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2"/>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2"/>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2"/>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2"/>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2"/>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2"/>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2"/>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2"/>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2"/>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2"/>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2"/>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2"/>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2"/>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2"/>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2"/>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2"/>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2"/>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2"/>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2"/>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2"/>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2"/>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2"/>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2"/>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2"/>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2"/>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2"/>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2"/>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2"/>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2"/>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2"/>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2"/>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2"/>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2"/>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2"/>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1"/>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3"/>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1"/>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3"/>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1"/>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3"/>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2"/>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2"/>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2"/>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2"/>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2"/>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2"/>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2"/>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2"/>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2"/>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2"/>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2"/>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2"/>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2"/>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2"/>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2"/>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2"/>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2"/>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2"/>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2"/>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2"/>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2"/>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2"/>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2"/>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2"/>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2"/>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2"/>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2"/>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2"/>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2"/>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2"/>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2"/>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2"/>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2"/>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2"/>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2"/>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2"/>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2"/>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2"/>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2"/>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2"/>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2"/>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2"/>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2"/>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2"/>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2"/>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2"/>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2"/>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2"/>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2"/>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2"/>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2"/>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2"/>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2"/>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2"/>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2"/>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2"/>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2"/>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2"/>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2"/>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2"/>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2"/>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2"/>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2"/>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2"/>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2"/>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2"/>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2"/>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2"/>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2"/>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2"/>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2"/>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2"/>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2"/>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2"/>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2"/>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2"/>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2"/>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2"/>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2"/>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2"/>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2"/>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2"/>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2"/>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2"/>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2"/>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2"/>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2"/>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2"/>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2"/>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2"/>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2"/>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2"/>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1"/>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3"/>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1"/>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3"/>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1"/>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3"/>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2"/>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2"/>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2"/>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2"/>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2"/>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2"/>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2"/>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2"/>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2"/>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2"/>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2"/>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2"/>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2"/>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2"/>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2"/>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2"/>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2"/>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2"/>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2"/>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2"/>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2"/>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2"/>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2"/>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2"/>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2"/>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2"/>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2"/>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2"/>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2"/>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2"/>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2"/>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2"/>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2"/>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2"/>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2"/>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2"/>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2"/>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2"/>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2"/>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2"/>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2"/>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2"/>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2"/>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2"/>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2"/>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2"/>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2"/>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2"/>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2"/>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2"/>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2"/>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2"/>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2"/>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2"/>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2"/>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2"/>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2"/>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2"/>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2"/>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2"/>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2"/>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2"/>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2"/>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2"/>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2"/>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2"/>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2"/>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2"/>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2"/>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2"/>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2"/>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2"/>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2"/>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2"/>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2"/>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2"/>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2"/>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2"/>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2"/>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2"/>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2"/>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2"/>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2"/>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2"/>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2"/>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2"/>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2"/>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2"/>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2"/>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2"/>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2"/>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2"/>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1"/>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3"/>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1"/>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3"/>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1"/>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3"/>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2"/>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2"/>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2"/>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2"/>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2"/>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2"/>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2"/>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2"/>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2"/>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2"/>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2"/>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2"/>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2"/>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2"/>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2"/>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2"/>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2"/>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2"/>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2"/>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2"/>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2"/>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2"/>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2"/>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2"/>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2"/>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2"/>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2"/>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2"/>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2"/>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2"/>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2"/>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2"/>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2"/>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2"/>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2"/>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2"/>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2"/>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2"/>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2"/>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2"/>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2"/>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2"/>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2"/>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2"/>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2"/>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2"/>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2"/>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2"/>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2"/>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2"/>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2"/>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2"/>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2"/>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2"/>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2"/>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2"/>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2"/>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2"/>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2"/>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2"/>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2"/>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2"/>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2"/>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2"/>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2"/>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2"/>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2"/>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2"/>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2"/>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2"/>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2"/>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2"/>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2"/>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2"/>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2"/>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2"/>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2"/>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2"/>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2"/>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2"/>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2"/>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2"/>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2"/>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2"/>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2"/>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2"/>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2"/>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2"/>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2"/>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2"/>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2"/>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2"/>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1"/>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3"/>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1"/>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3"/>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1"/>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3"/>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3"/>
      <c r="F588" s="1663"/>
      <c r="H588" s="1663"/>
      <c r="I588" s="1663"/>
      <c r="J588" s="1663"/>
      <c r="K588" s="1663"/>
      <c r="L588" s="1663"/>
      <c r="M588" s="1663"/>
      <c r="N588" s="1663"/>
      <c r="O588" s="1663"/>
      <c r="P588" s="1663"/>
      <c r="Q588" s="1663"/>
      <c r="R588" s="1663"/>
      <c r="S588" s="1663"/>
      <c r="T588" s="1663"/>
      <c r="U588" s="1663"/>
      <c r="V588" s="1663"/>
      <c r="W588" s="1663"/>
      <c r="X588" s="1663"/>
      <c r="Y588" s="1663"/>
      <c r="Z588" s="1663"/>
      <c r="AA588" s="1663"/>
      <c r="AB588" s="1663"/>
      <c r="AC588" s="1663"/>
      <c r="AD588" s="1663"/>
      <c r="AE588" s="1663"/>
      <c r="AF588" s="1663"/>
      <c r="AG588" s="1663"/>
      <c r="AH588" s="1663"/>
      <c r="AI588" s="1663"/>
      <c r="AJ588" s="1663"/>
      <c r="AK588" s="1663"/>
      <c r="AL588" s="1663"/>
      <c r="AM588" s="1663"/>
      <c r="AN588" s="1663"/>
      <c r="AO588" s="1663"/>
      <c r="AP588" s="1663"/>
      <c r="AQ588" s="1663"/>
      <c r="AR588" s="1663"/>
      <c r="AS588" s="1663"/>
      <c r="AT588" s="1663"/>
    </row>
    <row r="589" spans="1:72" s="1664" customFormat="1">
      <c r="C589" s="1665"/>
      <c r="D589" s="1665"/>
    </row>
    <row r="590" spans="1:72" s="1664" customFormat="1">
      <c r="C590" s="1665"/>
      <c r="D590" s="1665"/>
    </row>
    <row r="593" spans="2:2">
      <c r="B593" s="166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5" t="s">
        <v>0</v>
      </c>
      <c r="B1" s="3205" t="s">
        <v>4</v>
      </c>
      <c r="C1" s="3205" t="s">
        <v>5</v>
      </c>
      <c r="D1" s="3206" t="s">
        <v>53</v>
      </c>
      <c r="E1" s="3206" t="s">
        <v>54</v>
      </c>
      <c r="F1" s="3206"/>
      <c r="G1" s="3206"/>
      <c r="H1" s="3206"/>
      <c r="I1" s="3206"/>
      <c r="J1" s="3206"/>
      <c r="K1" s="3206"/>
      <c r="L1" s="3206"/>
      <c r="M1" s="3206"/>
    </row>
    <row r="2" spans="1:13" ht="27" customHeight="1">
      <c r="A2" s="3205"/>
      <c r="B2" s="3205"/>
      <c r="C2" s="3205"/>
      <c r="D2" s="3206"/>
      <c r="E2" s="3206" t="s">
        <v>37</v>
      </c>
      <c r="F2" s="3206" t="s">
        <v>38</v>
      </c>
      <c r="G2" s="3206"/>
      <c r="H2" s="3206"/>
      <c r="I2" s="3206"/>
      <c r="J2" s="3206" t="s">
        <v>39</v>
      </c>
      <c r="K2" s="3206"/>
      <c r="L2" s="3206"/>
      <c r="M2" s="3206"/>
    </row>
    <row r="3" spans="1:13" ht="28.5">
      <c r="A3" s="3205"/>
      <c r="B3" s="3205"/>
      <c r="C3" s="3205"/>
      <c r="D3" s="3206"/>
      <c r="E3" s="32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6" t="s">
        <v>55</v>
      </c>
      <c r="B9" s="3206"/>
      <c r="C9" s="32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L50"/>
  <sheetViews>
    <sheetView topLeftCell="B1" workbookViewId="0">
      <selection activeCell="L14" sqref="L14"/>
    </sheetView>
  </sheetViews>
  <sheetFormatPr defaultRowHeight="13.5"/>
  <cols>
    <col min="1" max="16384" width="9" style="2928"/>
  </cols>
  <sheetData>
    <row r="2" spans="1:12">
      <c r="A2" s="2928">
        <v>1</v>
      </c>
      <c r="B2" s="2928" t="s">
        <v>3123</v>
      </c>
      <c r="C2" s="2928">
        <v>1</v>
      </c>
      <c r="D2" s="2928" t="s">
        <v>3124</v>
      </c>
      <c r="E2" s="2929">
        <v>101</v>
      </c>
      <c r="F2" s="2930">
        <v>334.06</v>
      </c>
      <c r="H2" s="2928" t="str">
        <f>$B$2&amp;C2&amp;$D$2&amp;E2</f>
        <v>朝阳区光华路15号院1号楼1层101</v>
      </c>
    </row>
    <row r="3" spans="1:12">
      <c r="A3" s="2928">
        <v>2</v>
      </c>
      <c r="C3" s="2928">
        <v>1</v>
      </c>
      <c r="E3" s="2929">
        <v>102</v>
      </c>
      <c r="F3" s="2930">
        <v>300.45999999999998</v>
      </c>
      <c r="H3" s="2928" t="str">
        <f t="shared" ref="H3:H48" si="0">$B$2&amp;C3&amp;$D$2&amp;E3</f>
        <v>朝阳区光华路15号院1号楼1层102</v>
      </c>
    </row>
    <row r="4" spans="1:12">
      <c r="A4" s="2928">
        <v>3</v>
      </c>
      <c r="C4" s="2928">
        <v>1</v>
      </c>
      <c r="E4" s="2929">
        <v>103</v>
      </c>
      <c r="F4" s="2930">
        <v>145.61000000000001</v>
      </c>
      <c r="H4" s="2928" t="str">
        <f t="shared" si="0"/>
        <v>朝阳区光华路15号院1号楼1层103</v>
      </c>
    </row>
    <row r="5" spans="1:12">
      <c r="A5" s="2928">
        <v>4</v>
      </c>
      <c r="C5" s="2928">
        <v>1</v>
      </c>
      <c r="E5" s="2929">
        <v>104</v>
      </c>
      <c r="F5" s="2930">
        <v>260.87</v>
      </c>
      <c r="H5" s="2928" t="str">
        <f t="shared" si="0"/>
        <v>朝阳区光华路15号院1号楼1层104</v>
      </c>
    </row>
    <row r="6" spans="1:12">
      <c r="A6" s="2928">
        <v>5</v>
      </c>
      <c r="C6" s="2928">
        <v>1</v>
      </c>
      <c r="E6" s="2929">
        <v>105</v>
      </c>
      <c r="F6" s="2930">
        <v>349.41</v>
      </c>
      <c r="H6" s="2928" t="str">
        <f t="shared" si="0"/>
        <v>朝阳区光华路15号院1号楼1层105</v>
      </c>
    </row>
    <row r="7" spans="1:12">
      <c r="A7" s="2928">
        <v>6</v>
      </c>
      <c r="C7" s="2928">
        <v>1</v>
      </c>
      <c r="E7" s="2929">
        <v>106</v>
      </c>
      <c r="F7" s="2930">
        <v>137.94999999999999</v>
      </c>
      <c r="H7" s="2928" t="str">
        <f t="shared" si="0"/>
        <v>朝阳区光华路15号院1号楼1层106</v>
      </c>
    </row>
    <row r="8" spans="1:12">
      <c r="A8" s="2928">
        <v>7</v>
      </c>
      <c r="C8" s="2928">
        <v>1</v>
      </c>
      <c r="E8" s="2929">
        <v>107</v>
      </c>
      <c r="F8" s="2930">
        <v>125.23</v>
      </c>
      <c r="H8" s="2928" t="str">
        <f t="shared" si="0"/>
        <v>朝阳区光华路15号院1号楼1层107</v>
      </c>
    </row>
    <row r="9" spans="1:12">
      <c r="A9" s="2928">
        <v>8</v>
      </c>
      <c r="C9" s="2928">
        <v>2</v>
      </c>
      <c r="E9" s="2929">
        <v>201</v>
      </c>
      <c r="F9" s="2930">
        <v>755.97</v>
      </c>
      <c r="H9" s="2928" t="str">
        <f t="shared" si="0"/>
        <v>朝阳区光华路15号院1号楼2层201</v>
      </c>
    </row>
    <row r="10" spans="1:12">
      <c r="A10" s="2928">
        <v>9</v>
      </c>
      <c r="C10" s="2928">
        <v>2</v>
      </c>
      <c r="E10" s="2929">
        <v>202</v>
      </c>
      <c r="F10" s="2930">
        <v>328.45</v>
      </c>
      <c r="H10" s="2928" t="str">
        <f t="shared" si="0"/>
        <v>朝阳区光华路15号院1号楼2层202</v>
      </c>
    </row>
    <row r="11" spans="1:12">
      <c r="A11" s="2928">
        <v>10</v>
      </c>
      <c r="C11" s="2928">
        <v>2</v>
      </c>
      <c r="E11" s="2929">
        <v>203</v>
      </c>
      <c r="F11" s="2930">
        <v>570.51</v>
      </c>
      <c r="H11" s="2928" t="str">
        <f t="shared" si="0"/>
        <v>朝阳区光华路15号院1号楼2层203</v>
      </c>
    </row>
    <row r="12" spans="1:12">
      <c r="A12" s="2928">
        <v>11</v>
      </c>
      <c r="C12" s="2928">
        <v>2</v>
      </c>
      <c r="E12" s="2929">
        <v>204</v>
      </c>
      <c r="F12" s="2930">
        <v>108.82</v>
      </c>
      <c r="H12" s="2928" t="str">
        <f t="shared" si="0"/>
        <v>朝阳区光华路15号院1号楼2层204</v>
      </c>
    </row>
    <row r="13" spans="1:12">
      <c r="A13" s="2928">
        <v>12</v>
      </c>
      <c r="C13" s="2928">
        <v>2</v>
      </c>
      <c r="E13" s="2929">
        <v>205</v>
      </c>
      <c r="F13" s="2930">
        <v>117.86</v>
      </c>
      <c r="H13" s="2928" t="str">
        <f t="shared" si="0"/>
        <v>朝阳区光华路15号院1号楼2层205</v>
      </c>
    </row>
    <row r="14" spans="1:12">
      <c r="A14" s="2928">
        <v>13</v>
      </c>
      <c r="C14" s="2928">
        <v>10</v>
      </c>
      <c r="E14" s="2929">
        <v>1001</v>
      </c>
      <c r="F14" s="2930">
        <v>735.72</v>
      </c>
      <c r="H14" s="2928" t="str">
        <f t="shared" si="0"/>
        <v>朝阳区光华路15号院1号楼10层1001</v>
      </c>
      <c r="L14" s="2928" t="s">
        <v>3125</v>
      </c>
    </row>
    <row r="15" spans="1:12">
      <c r="A15" s="2928">
        <v>14</v>
      </c>
      <c r="C15" s="2928">
        <v>10</v>
      </c>
      <c r="E15" s="2929">
        <v>1002</v>
      </c>
      <c r="F15" s="2930">
        <v>222.94</v>
      </c>
      <c r="H15" s="2928" t="str">
        <f t="shared" si="0"/>
        <v>朝阳区光华路15号院1号楼10层1002</v>
      </c>
    </row>
    <row r="16" spans="1:12">
      <c r="A16" s="2928">
        <v>15</v>
      </c>
      <c r="C16" s="2928">
        <v>10</v>
      </c>
      <c r="E16" s="2929">
        <v>1003</v>
      </c>
      <c r="F16" s="2930">
        <v>96.58</v>
      </c>
      <c r="H16" s="2928" t="str">
        <f t="shared" si="0"/>
        <v>朝阳区光华路15号院1号楼10层1003</v>
      </c>
    </row>
    <row r="17" spans="1:8">
      <c r="A17" s="2928">
        <v>16</v>
      </c>
      <c r="C17" s="2928">
        <v>10</v>
      </c>
      <c r="E17" s="2929">
        <v>1004</v>
      </c>
      <c r="F17" s="2930">
        <v>639.46</v>
      </c>
      <c r="H17" s="2928" t="str">
        <f t="shared" si="0"/>
        <v>朝阳区光华路15号院1号楼10层1004</v>
      </c>
    </row>
    <row r="18" spans="1:8">
      <c r="A18" s="2928">
        <v>17</v>
      </c>
      <c r="C18" s="2928">
        <v>10</v>
      </c>
      <c r="E18" s="2929">
        <v>1005</v>
      </c>
      <c r="F18" s="2930">
        <v>222.94</v>
      </c>
      <c r="H18" s="2928" t="str">
        <f t="shared" si="0"/>
        <v>朝阳区光华路15号院1号楼10层1005</v>
      </c>
    </row>
    <row r="19" spans="1:8">
      <c r="A19" s="2928">
        <v>18</v>
      </c>
      <c r="C19" s="2928">
        <v>10</v>
      </c>
      <c r="E19" s="2929">
        <v>1006</v>
      </c>
      <c r="F19" s="2930">
        <v>222.94</v>
      </c>
      <c r="H19" s="2928" t="str">
        <f t="shared" si="0"/>
        <v>朝阳区光华路15号院1号楼10层1006</v>
      </c>
    </row>
    <row r="20" spans="1:8">
      <c r="A20" s="2928">
        <v>19</v>
      </c>
      <c r="C20" s="2928">
        <v>10</v>
      </c>
      <c r="E20" s="2929">
        <v>1007</v>
      </c>
      <c r="F20" s="2930">
        <v>80.22</v>
      </c>
      <c r="H20" s="2928" t="str">
        <f t="shared" si="0"/>
        <v>朝阳区光华路15号院1号楼10层1007</v>
      </c>
    </row>
    <row r="21" spans="1:8">
      <c r="A21" s="2928">
        <v>20</v>
      </c>
      <c r="C21" s="2928">
        <v>10</v>
      </c>
      <c r="E21" s="2929">
        <v>1008</v>
      </c>
      <c r="F21" s="2930">
        <v>80.22</v>
      </c>
      <c r="H21" s="2928" t="str">
        <f t="shared" si="0"/>
        <v>朝阳区光华路15号院1号楼10层1008</v>
      </c>
    </row>
    <row r="22" spans="1:8">
      <c r="A22" s="2928">
        <v>21</v>
      </c>
      <c r="C22" s="2928">
        <v>13</v>
      </c>
      <c r="E22" s="2929">
        <v>1301</v>
      </c>
      <c r="F22" s="2930">
        <v>733.77</v>
      </c>
      <c r="H22" s="2928" t="str">
        <f t="shared" si="0"/>
        <v>朝阳区光华路15号院1号楼13层1301</v>
      </c>
    </row>
    <row r="23" spans="1:8">
      <c r="A23" s="2928">
        <v>22</v>
      </c>
      <c r="C23" s="2928">
        <v>13</v>
      </c>
      <c r="E23" s="2929">
        <v>1302</v>
      </c>
      <c r="F23" s="2930">
        <v>222.94</v>
      </c>
      <c r="H23" s="2928" t="str">
        <f t="shared" si="0"/>
        <v>朝阳区光华路15号院1号楼13层1302</v>
      </c>
    </row>
    <row r="24" spans="1:8">
      <c r="A24" s="2928">
        <v>23</v>
      </c>
      <c r="C24" s="2928">
        <v>13</v>
      </c>
      <c r="E24" s="2929">
        <v>1303</v>
      </c>
      <c r="F24" s="2930">
        <v>94.41</v>
      </c>
      <c r="H24" s="2928" t="str">
        <f t="shared" si="0"/>
        <v>朝阳区光华路15号院1号楼13层1303</v>
      </c>
    </row>
    <row r="25" spans="1:8">
      <c r="A25" s="2928">
        <v>24</v>
      </c>
      <c r="C25" s="2928">
        <v>13</v>
      </c>
      <c r="E25" s="2929">
        <v>1304</v>
      </c>
      <c r="F25" s="2930">
        <v>703.89</v>
      </c>
      <c r="H25" s="2928" t="str">
        <f t="shared" si="0"/>
        <v>朝阳区光华路15号院1号楼13层1304</v>
      </c>
    </row>
    <row r="26" spans="1:8">
      <c r="A26" s="2928">
        <v>25</v>
      </c>
      <c r="C26" s="2928">
        <v>13</v>
      </c>
      <c r="E26" s="2929">
        <v>1305</v>
      </c>
      <c r="F26" s="2930">
        <v>222.94</v>
      </c>
      <c r="H26" s="2928" t="str">
        <f t="shared" si="0"/>
        <v>朝阳区光华路15号院1号楼13层1305</v>
      </c>
    </row>
    <row r="27" spans="1:8">
      <c r="A27" s="2928">
        <v>26</v>
      </c>
      <c r="C27" s="2928">
        <v>13</v>
      </c>
      <c r="E27" s="2929">
        <v>1306</v>
      </c>
      <c r="F27" s="2930">
        <v>222.94</v>
      </c>
      <c r="H27" s="2928" t="str">
        <f t="shared" si="0"/>
        <v>朝阳区光华路15号院1号楼13层1306</v>
      </c>
    </row>
    <row r="28" spans="1:8">
      <c r="A28" s="2928">
        <v>27</v>
      </c>
      <c r="C28" s="2928">
        <v>13</v>
      </c>
      <c r="E28" s="2929">
        <v>1307</v>
      </c>
      <c r="F28" s="2930">
        <v>81.58</v>
      </c>
      <c r="H28" s="2928" t="str">
        <f t="shared" si="0"/>
        <v>朝阳区光华路15号院1号楼13层1307</v>
      </c>
    </row>
    <row r="29" spans="1:8">
      <c r="A29" s="2928">
        <v>28</v>
      </c>
      <c r="C29" s="2928">
        <v>13</v>
      </c>
      <c r="E29" s="2929">
        <v>1308</v>
      </c>
      <c r="F29" s="2930">
        <v>81.58</v>
      </c>
      <c r="H29" s="2928" t="str">
        <f t="shared" si="0"/>
        <v>朝阳区光华路15号院1号楼13层1308</v>
      </c>
    </row>
    <row r="30" spans="1:8">
      <c r="A30" s="2928">
        <v>29</v>
      </c>
      <c r="C30" s="2928">
        <v>15</v>
      </c>
      <c r="E30" s="2929">
        <v>1501</v>
      </c>
      <c r="F30" s="2930">
        <v>733.77</v>
      </c>
      <c r="H30" s="2928" t="str">
        <f t="shared" si="0"/>
        <v>朝阳区光华路15号院1号楼15层1501</v>
      </c>
    </row>
    <row r="31" spans="1:8">
      <c r="A31" s="2928">
        <v>30</v>
      </c>
      <c r="C31" s="2928">
        <v>15</v>
      </c>
      <c r="E31" s="2929">
        <v>1502</v>
      </c>
      <c r="F31" s="2930">
        <v>222.94</v>
      </c>
      <c r="H31" s="2928" t="str">
        <f t="shared" si="0"/>
        <v>朝阳区光华路15号院1号楼15层1502</v>
      </c>
    </row>
    <row r="32" spans="1:8">
      <c r="A32" s="2928">
        <v>31</v>
      </c>
      <c r="C32" s="2928">
        <v>15</v>
      </c>
      <c r="E32" s="2929">
        <v>1503</v>
      </c>
      <c r="F32" s="2930">
        <v>94.41</v>
      </c>
      <c r="H32" s="2928" t="str">
        <f t="shared" si="0"/>
        <v>朝阳区光华路15号院1号楼15层1503</v>
      </c>
    </row>
    <row r="33" spans="1:8">
      <c r="A33" s="2928">
        <v>32</v>
      </c>
      <c r="C33" s="2928">
        <v>15</v>
      </c>
      <c r="E33" s="2929">
        <v>1504</v>
      </c>
      <c r="F33" s="2930">
        <v>703.89</v>
      </c>
      <c r="H33" s="2928" t="str">
        <f t="shared" si="0"/>
        <v>朝阳区光华路15号院1号楼15层1504</v>
      </c>
    </row>
    <row r="34" spans="1:8">
      <c r="A34" s="2928">
        <v>33</v>
      </c>
      <c r="C34" s="2928">
        <v>15</v>
      </c>
      <c r="E34" s="2929">
        <v>1505</v>
      </c>
      <c r="F34" s="2930">
        <v>222.94</v>
      </c>
      <c r="H34" s="2928" t="str">
        <f t="shared" si="0"/>
        <v>朝阳区光华路15号院1号楼15层1505</v>
      </c>
    </row>
    <row r="35" spans="1:8">
      <c r="A35" s="2928">
        <v>34</v>
      </c>
      <c r="C35" s="2928">
        <v>15</v>
      </c>
      <c r="E35" s="2929">
        <v>1506</v>
      </c>
      <c r="F35" s="2930">
        <v>222.94</v>
      </c>
      <c r="H35" s="2928" t="str">
        <f t="shared" si="0"/>
        <v>朝阳区光华路15号院1号楼15层1506</v>
      </c>
    </row>
    <row r="36" spans="1:8">
      <c r="A36" s="2928">
        <v>35</v>
      </c>
      <c r="C36" s="2928">
        <v>15</v>
      </c>
      <c r="E36" s="2929">
        <v>1507</v>
      </c>
      <c r="F36" s="2930">
        <v>81.58</v>
      </c>
      <c r="H36" s="2928" t="str">
        <f t="shared" si="0"/>
        <v>朝阳区光华路15号院1号楼15层1507</v>
      </c>
    </row>
    <row r="37" spans="1:8">
      <c r="A37" s="2928">
        <v>36</v>
      </c>
      <c r="C37" s="2928">
        <v>15</v>
      </c>
      <c r="E37" s="2929">
        <v>1508</v>
      </c>
      <c r="F37" s="2930">
        <v>81.58</v>
      </c>
      <c r="H37" s="2928" t="str">
        <f t="shared" si="0"/>
        <v>朝阳区光华路15号院1号楼15层1508</v>
      </c>
    </row>
    <row r="38" spans="1:8">
      <c r="A38" s="2928">
        <v>37</v>
      </c>
      <c r="C38" s="2928">
        <v>16</v>
      </c>
      <c r="E38" s="2929">
        <v>1601</v>
      </c>
      <c r="F38" s="2930">
        <v>733.77</v>
      </c>
      <c r="H38" s="2928" t="str">
        <f t="shared" si="0"/>
        <v>朝阳区光华路15号院1号楼16层1601</v>
      </c>
    </row>
    <row r="39" spans="1:8">
      <c r="A39" s="2928">
        <v>38</v>
      </c>
      <c r="C39" s="2928">
        <v>16</v>
      </c>
      <c r="E39" s="2929">
        <v>1602</v>
      </c>
      <c r="F39" s="2930">
        <v>222.94</v>
      </c>
      <c r="H39" s="2928" t="str">
        <f t="shared" si="0"/>
        <v>朝阳区光华路15号院1号楼16层1602</v>
      </c>
    </row>
    <row r="40" spans="1:8">
      <c r="A40" s="2928">
        <v>39</v>
      </c>
      <c r="C40" s="2928">
        <v>16</v>
      </c>
      <c r="E40" s="2929">
        <v>1603</v>
      </c>
      <c r="F40" s="2930">
        <v>94.41</v>
      </c>
      <c r="H40" s="2928" t="str">
        <f t="shared" si="0"/>
        <v>朝阳区光华路15号院1号楼16层1603</v>
      </c>
    </row>
    <row r="41" spans="1:8">
      <c r="A41" s="2928">
        <v>40</v>
      </c>
      <c r="C41" s="2928">
        <v>16</v>
      </c>
      <c r="E41" s="2929">
        <v>1604</v>
      </c>
      <c r="F41" s="2930">
        <v>703.89</v>
      </c>
      <c r="H41" s="2928" t="str">
        <f t="shared" si="0"/>
        <v>朝阳区光华路15号院1号楼16层1604</v>
      </c>
    </row>
    <row r="42" spans="1:8">
      <c r="A42" s="2928">
        <v>41</v>
      </c>
      <c r="C42" s="2928">
        <v>16</v>
      </c>
      <c r="E42" s="2929">
        <v>1605</v>
      </c>
      <c r="F42" s="2930">
        <v>222.94</v>
      </c>
      <c r="H42" s="2928" t="str">
        <f t="shared" si="0"/>
        <v>朝阳区光华路15号院1号楼16层1605</v>
      </c>
    </row>
    <row r="43" spans="1:8">
      <c r="A43" s="2928">
        <v>42</v>
      </c>
      <c r="C43" s="2928">
        <v>16</v>
      </c>
      <c r="E43" s="2929">
        <v>1606</v>
      </c>
      <c r="F43" s="2930">
        <v>222.94</v>
      </c>
      <c r="H43" s="2928" t="str">
        <f t="shared" si="0"/>
        <v>朝阳区光华路15号院1号楼16层1606</v>
      </c>
    </row>
    <row r="44" spans="1:8">
      <c r="A44" s="2928">
        <v>43</v>
      </c>
      <c r="C44" s="2928">
        <v>16</v>
      </c>
      <c r="E44" s="2929">
        <v>1607</v>
      </c>
      <c r="F44" s="2930">
        <v>81.58</v>
      </c>
      <c r="H44" s="2928" t="str">
        <f t="shared" si="0"/>
        <v>朝阳区光华路15号院1号楼16层1607</v>
      </c>
    </row>
    <row r="45" spans="1:8">
      <c r="A45" s="2928">
        <v>44</v>
      </c>
      <c r="C45" s="2928">
        <v>16</v>
      </c>
      <c r="E45" s="2929">
        <v>1608</v>
      </c>
      <c r="F45" s="2930">
        <v>81.58</v>
      </c>
      <c r="H45" s="2928" t="str">
        <f t="shared" si="0"/>
        <v>朝阳区光华路15号院1号楼16层1608</v>
      </c>
    </row>
    <row r="46" spans="1:8">
      <c r="A46" s="2928">
        <v>45</v>
      </c>
      <c r="C46" s="2928">
        <v>19</v>
      </c>
      <c r="E46" s="2929">
        <v>1901</v>
      </c>
      <c r="F46" s="2930">
        <v>2188.15</v>
      </c>
      <c r="H46" s="2928" t="str">
        <f t="shared" si="0"/>
        <v>朝阳区光华路15号院1号楼19层1901</v>
      </c>
    </row>
    <row r="47" spans="1:8">
      <c r="A47" s="2928">
        <v>46</v>
      </c>
      <c r="C47" s="2928">
        <v>19</v>
      </c>
      <c r="E47" s="2929">
        <v>1902</v>
      </c>
      <c r="F47" s="2930">
        <v>81.58</v>
      </c>
      <c r="H47" s="2928" t="str">
        <f t="shared" si="0"/>
        <v>朝阳区光华路15号院1号楼19层1902</v>
      </c>
    </row>
    <row r="48" spans="1:8">
      <c r="A48" s="2928">
        <v>47</v>
      </c>
      <c r="C48" s="2928">
        <v>19</v>
      </c>
      <c r="E48" s="2929">
        <v>1903</v>
      </c>
      <c r="F48" s="2930">
        <v>81.58</v>
      </c>
      <c r="H48" s="2928" t="str">
        <f t="shared" si="0"/>
        <v>朝阳区光华路15号院1号楼19层1903</v>
      </c>
    </row>
    <row r="49" spans="6:7">
      <c r="F49" s="2928">
        <f>SUM(F2:F48)</f>
        <v>15279.68</v>
      </c>
      <c r="G49" s="2928">
        <v>15279.68</v>
      </c>
    </row>
    <row r="50" spans="6:7">
      <c r="G50" s="2928">
        <f>G49-F49</f>
        <v>0</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G30"/>
  <sheetViews>
    <sheetView workbookViewId="0">
      <selection activeCell="J23" sqref="J23"/>
    </sheetView>
  </sheetViews>
  <sheetFormatPr defaultRowHeight="13.5"/>
  <cols>
    <col min="1" max="1" width="9" style="2928"/>
    <col min="2" max="5" width="10.5" style="2928" bestFit="1" customWidth="1"/>
    <col min="6" max="6" width="9" style="2928"/>
    <col min="7" max="7" width="13.125" style="2928" customWidth="1"/>
    <col min="8" max="16384" width="9" style="2928"/>
  </cols>
  <sheetData>
    <row r="2" spans="1:6">
      <c r="A2" s="2928" t="s">
        <v>3209</v>
      </c>
      <c r="B2" s="2928">
        <v>1</v>
      </c>
      <c r="C2" s="2928">
        <v>101</v>
      </c>
      <c r="D2" s="2928">
        <v>2741.34</v>
      </c>
    </row>
    <row r="3" spans="1:6">
      <c r="B3" s="2928">
        <v>2</v>
      </c>
      <c r="C3" s="2928">
        <v>201</v>
      </c>
      <c r="D3" s="2928">
        <v>3534.98</v>
      </c>
    </row>
    <row r="4" spans="1:6">
      <c r="B4" s="2928">
        <v>3</v>
      </c>
      <c r="C4" s="2928">
        <v>301</v>
      </c>
      <c r="D4" s="2928">
        <v>3631.02</v>
      </c>
    </row>
    <row r="5" spans="1:6">
      <c r="B5" s="2928">
        <v>4</v>
      </c>
      <c r="C5" s="2928">
        <v>401</v>
      </c>
      <c r="D5" s="2928">
        <v>3642.43</v>
      </c>
    </row>
    <row r="6" spans="1:6">
      <c r="B6" s="2928" t="s">
        <v>3210</v>
      </c>
      <c r="C6" s="2928" t="s">
        <v>3211</v>
      </c>
      <c r="D6" s="2928">
        <v>3741.2</v>
      </c>
    </row>
    <row r="7" spans="1:6">
      <c r="D7" s="2928">
        <f>SUM(D2:D6)</f>
        <v>17290.97</v>
      </c>
    </row>
    <row r="12" spans="1:6">
      <c r="B12" s="2928">
        <v>101</v>
      </c>
      <c r="C12" s="2928">
        <v>201</v>
      </c>
      <c r="D12" s="2928">
        <v>301</v>
      </c>
      <c r="E12" s="2928">
        <v>401</v>
      </c>
      <c r="F12" s="2928" t="s">
        <v>3211</v>
      </c>
    </row>
    <row r="13" spans="1:6">
      <c r="B13" s="2928">
        <v>3360300</v>
      </c>
      <c r="C13" s="2928">
        <v>10000000</v>
      </c>
      <c r="D13" s="2928">
        <v>10000000</v>
      </c>
      <c r="E13" s="2928">
        <v>10000000</v>
      </c>
      <c r="F13" s="2928">
        <v>2306400</v>
      </c>
    </row>
    <row r="14" spans="1:6">
      <c r="B14" s="2928">
        <v>10000000</v>
      </c>
      <c r="C14" s="2928">
        <v>10000000</v>
      </c>
      <c r="D14" s="2928">
        <v>10000000</v>
      </c>
      <c r="E14" s="2928">
        <v>10000000</v>
      </c>
      <c r="F14" s="2928">
        <v>10000000</v>
      </c>
    </row>
    <row r="15" spans="1:6">
      <c r="B15" s="2928">
        <v>10000000</v>
      </c>
      <c r="C15" s="2928">
        <v>10000000</v>
      </c>
      <c r="D15" s="2928">
        <v>10000000</v>
      </c>
      <c r="E15" s="2928">
        <v>10000000</v>
      </c>
      <c r="F15" s="2928">
        <v>10000000</v>
      </c>
    </row>
    <row r="16" spans="1:6">
      <c r="B16" s="2928">
        <v>10000000</v>
      </c>
      <c r="C16" s="2928">
        <v>10000000</v>
      </c>
      <c r="D16" s="2928">
        <v>10000000</v>
      </c>
      <c r="E16" s="2928">
        <v>10000000</v>
      </c>
      <c r="F16" s="2928">
        <v>10000000</v>
      </c>
    </row>
    <row r="17" spans="2:7">
      <c r="B17" s="2928">
        <v>10000000</v>
      </c>
      <c r="C17" s="2928">
        <v>10000000</v>
      </c>
      <c r="D17" s="2928">
        <v>10000000</v>
      </c>
      <c r="E17" s="2928">
        <v>10000000</v>
      </c>
      <c r="F17" s="2928">
        <v>10000000</v>
      </c>
    </row>
    <row r="18" spans="2:7">
      <c r="B18" s="2928">
        <v>10000000</v>
      </c>
      <c r="C18" s="2928">
        <v>10000000</v>
      </c>
      <c r="D18" s="2928">
        <v>10000000</v>
      </c>
      <c r="E18" s="2928">
        <v>10000000</v>
      </c>
      <c r="F18" s="2928">
        <v>10000000</v>
      </c>
    </row>
    <row r="19" spans="2:7">
      <c r="B19" s="2928">
        <v>10000000</v>
      </c>
      <c r="C19" s="2928">
        <v>10000000</v>
      </c>
      <c r="D19" s="2928">
        <v>10000000</v>
      </c>
      <c r="E19" s="2928">
        <v>10000000</v>
      </c>
      <c r="F19" s="2928">
        <v>10000000</v>
      </c>
    </row>
    <row r="20" spans="2:7">
      <c r="B20" s="2928">
        <v>10000000</v>
      </c>
      <c r="C20" s="2928">
        <v>10000000</v>
      </c>
      <c r="D20" s="2928">
        <v>10000000</v>
      </c>
      <c r="E20" s="2928">
        <v>10000000</v>
      </c>
      <c r="F20" s="2928">
        <v>10000000</v>
      </c>
    </row>
    <row r="21" spans="2:7">
      <c r="B21" s="2928">
        <v>10000000</v>
      </c>
      <c r="C21" s="2928">
        <v>10000000</v>
      </c>
      <c r="D21" s="2928">
        <v>10000000</v>
      </c>
      <c r="E21" s="2928">
        <v>10000000</v>
      </c>
      <c r="F21" s="2928">
        <v>10000000</v>
      </c>
    </row>
    <row r="22" spans="2:7">
      <c r="B22" s="2928">
        <v>10000000</v>
      </c>
      <c r="C22" s="2928">
        <v>9074100</v>
      </c>
      <c r="D22" s="2928">
        <v>10000000</v>
      </c>
      <c r="E22" s="2928">
        <v>3909350</v>
      </c>
    </row>
    <row r="23" spans="2:7">
      <c r="B23" s="2928">
        <v>10000000</v>
      </c>
      <c r="C23" s="2928">
        <v>10000000</v>
      </c>
      <c r="D23" s="2928">
        <v>10000000</v>
      </c>
      <c r="E23" s="2928">
        <v>10000000</v>
      </c>
    </row>
    <row r="24" spans="2:7">
      <c r="B24" s="2928">
        <v>10000000</v>
      </c>
      <c r="C24" s="2928">
        <v>10000000</v>
      </c>
      <c r="D24" s="2928">
        <v>10000000</v>
      </c>
      <c r="E24" s="2928">
        <v>10000000</v>
      </c>
    </row>
    <row r="25" spans="2:7">
      <c r="B25" s="2928">
        <v>10000000</v>
      </c>
      <c r="C25" s="2928">
        <v>10000000</v>
      </c>
      <c r="D25" s="2928">
        <v>10000000</v>
      </c>
      <c r="E25" s="2928">
        <v>10000000</v>
      </c>
    </row>
    <row r="26" spans="2:7">
      <c r="C26" s="2928">
        <v>10000000</v>
      </c>
      <c r="D26" s="2928">
        <v>3395900</v>
      </c>
      <c r="E26" s="2928">
        <v>10000000</v>
      </c>
    </row>
    <row r="27" spans="2:7">
      <c r="C27" s="2928">
        <v>10000000</v>
      </c>
      <c r="D27" s="2928">
        <v>10000000</v>
      </c>
      <c r="E27" s="2928">
        <v>10000000</v>
      </c>
    </row>
    <row r="28" spans="2:7">
      <c r="C28" s="2928">
        <v>10000000</v>
      </c>
      <c r="D28" s="2928">
        <v>10000000</v>
      </c>
      <c r="E28" s="2928">
        <v>10000000</v>
      </c>
    </row>
    <row r="29" spans="2:7">
      <c r="D29" s="2928">
        <v>10000000</v>
      </c>
    </row>
    <row r="30" spans="2:7">
      <c r="B30" s="2928">
        <f>SUM(B13:B29)</f>
        <v>123360300</v>
      </c>
      <c r="C30" s="2928">
        <f>SUM(C13:C29)</f>
        <v>159074100</v>
      </c>
      <c r="D30" s="2928">
        <f>SUM(D13:D29)</f>
        <v>163395900</v>
      </c>
      <c r="E30" s="2928">
        <f>SUM(E13:E29)</f>
        <v>153909350</v>
      </c>
      <c r="F30" s="2928">
        <f>SUM(F13:F29)</f>
        <v>82306400</v>
      </c>
      <c r="G30" s="2928">
        <f>SUM(B30:F30)/10000</f>
        <v>68204.604999999996</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C1" zoomScale="90" zoomScaleNormal="100" zoomScaleSheetLayoutView="90" workbookViewId="0">
      <selection activeCell="I8" sqref="I8"/>
    </sheetView>
  </sheetViews>
  <sheetFormatPr defaultColWidth="9.25" defaultRowHeight="14.25"/>
  <cols>
    <col min="1" max="1" width="12.125" style="1667" customWidth="1"/>
    <col min="2" max="2" width="10.25" style="1667" customWidth="1"/>
    <col min="3" max="3" width="18.5" style="1667" customWidth="1"/>
    <col min="4" max="4" width="11.625" style="1667" customWidth="1"/>
    <col min="5" max="5" width="13.375" style="1667" customWidth="1"/>
    <col min="6" max="8" width="11.5" style="1667" customWidth="1"/>
    <col min="9" max="9" width="11.125" style="1667" customWidth="1"/>
    <col min="10" max="10" width="3.125" style="1667" customWidth="1"/>
    <col min="11" max="16" width="10" style="1667" customWidth="1"/>
    <col min="17" max="17" width="2.625" style="1667" customWidth="1"/>
    <col min="18" max="18" width="9.375" style="1667" bestFit="1" customWidth="1"/>
    <col min="19" max="19" width="10.5" style="1667" bestFit="1" customWidth="1"/>
    <col min="20" max="16384" width="9.25" style="1667"/>
  </cols>
  <sheetData>
    <row r="1" spans="1:16" ht="19.5" thickBot="1">
      <c r="A1" s="1666" t="s">
        <v>1754</v>
      </c>
      <c r="B1" s="1198"/>
      <c r="C1" s="1198"/>
      <c r="D1" s="1198"/>
      <c r="E1" s="1198"/>
      <c r="F1" s="1198"/>
      <c r="G1" s="1198"/>
      <c r="H1" s="1198"/>
      <c r="I1" s="1198"/>
      <c r="J1" s="1198"/>
      <c r="K1" s="1198"/>
      <c r="L1" s="1198"/>
      <c r="M1" s="1198"/>
      <c r="N1" s="1198"/>
      <c r="O1" s="1198"/>
      <c r="P1" s="1198"/>
    </row>
    <row r="2" spans="1:16" ht="15">
      <c r="A2" s="3216" t="s">
        <v>1755</v>
      </c>
      <c r="B2" s="3216"/>
      <c r="C2" s="3216"/>
      <c r="D2" s="849" t="s">
        <v>1731</v>
      </c>
      <c r="E2" s="1668" t="s">
        <v>1732</v>
      </c>
      <c r="F2" s="2612"/>
      <c r="G2" s="2605"/>
      <c r="H2" s="2606"/>
      <c r="I2" s="2318" t="s">
        <v>1756</v>
      </c>
      <c r="J2" s="2612"/>
      <c r="K2" s="2612"/>
      <c r="L2" s="2612"/>
      <c r="M2" s="2612"/>
      <c r="N2" s="2613"/>
      <c r="O2" s="2612"/>
      <c r="P2" s="2612"/>
    </row>
    <row r="3" spans="1:16" ht="15.75" thickBot="1">
      <c r="A3" s="3217" t="s">
        <v>1729</v>
      </c>
      <c r="B3" s="3217"/>
      <c r="C3" s="3217"/>
      <c r="D3" s="44">
        <f>'数据-基础表'!AY6</f>
        <v>0</v>
      </c>
      <c r="E3" s="44">
        <f>'数据-基础表'!AZ5</f>
        <v>69.52</v>
      </c>
      <c r="F3" s="2612"/>
      <c r="G3" s="45"/>
      <c r="H3" s="46" t="s">
        <v>1730</v>
      </c>
      <c r="I3" s="904" t="e">
        <f>ROUND('数据-基础表'!B3/'数据-基础表'!A3,2)</f>
        <v>#DIV/0!</v>
      </c>
      <c r="J3" s="2612"/>
      <c r="K3" s="2612"/>
      <c r="L3" s="2612"/>
      <c r="M3" s="2612"/>
      <c r="N3" s="2613"/>
      <c r="O3" s="2612"/>
      <c r="P3" s="2612"/>
    </row>
    <row r="4" spans="1:16" ht="15">
      <c r="A4" s="3218"/>
      <c r="B4" s="3219"/>
      <c r="C4" s="3220"/>
      <c r="D4" s="1669" t="s">
        <v>1731</v>
      </c>
      <c r="E4" s="1670" t="s">
        <v>1732</v>
      </c>
      <c r="F4" s="2612"/>
      <c r="G4" s="2607" t="s">
        <v>1757</v>
      </c>
      <c r="H4" s="46" t="s">
        <v>1737</v>
      </c>
      <c r="I4" s="904" t="e">
        <f>ROUND(SUMIF('数据-基础表'!I9:AS9,"地上",'数据-基础表'!I5:AS5)/'数据-基础表'!A3,2)</f>
        <v>#DIV/0!</v>
      </c>
      <c r="J4" s="2612"/>
      <c r="K4" s="2612"/>
      <c r="L4" s="2612"/>
      <c r="M4" s="2612"/>
      <c r="N4" s="2613"/>
      <c r="O4" s="2612"/>
      <c r="P4" s="2612"/>
    </row>
    <row r="5" spans="1:16">
      <c r="A5" s="45" t="s">
        <v>1733</v>
      </c>
      <c r="B5" s="3221" t="s">
        <v>1734</v>
      </c>
      <c r="C5" s="3221"/>
      <c r="D5" s="46">
        <f>ROUND($D$3*E5/$E$3,2)</f>
        <v>0</v>
      </c>
      <c r="E5" s="47">
        <f>SUMIF('数据-基础表'!$11:$11,"住宅",'数据-基础表'!$5:$5)</f>
        <v>69.52</v>
      </c>
      <c r="F5" s="2612"/>
      <c r="G5" s="45"/>
      <c r="H5" s="46" t="s">
        <v>1730</v>
      </c>
      <c r="I5" s="904" t="e">
        <f>ROUND(E31/D31,2)</f>
        <v>#DIV/0!</v>
      </c>
      <c r="J5" s="2612"/>
      <c r="K5" s="2612"/>
      <c r="L5" s="2612"/>
      <c r="M5" s="2612"/>
      <c r="N5" s="2612"/>
      <c r="O5" s="2612"/>
      <c r="P5" s="2612"/>
    </row>
    <row r="6" spans="1:16" ht="15" thickBot="1">
      <c r="A6" s="1672"/>
      <c r="B6" s="3221" t="s">
        <v>1735</v>
      </c>
      <c r="C6" s="3221"/>
      <c r="D6" s="46">
        <f>ROUND($D$3*E6/$E$3,2)</f>
        <v>0</v>
      </c>
      <c r="E6" s="47">
        <f>E3-E5</f>
        <v>0</v>
      </c>
      <c r="F6" s="2612"/>
      <c r="G6" s="1674" t="s">
        <v>1736</v>
      </c>
      <c r="H6" s="48" t="s">
        <v>1737</v>
      </c>
      <c r="I6" s="2608" t="e">
        <f>ROUND(F31/D31,2)</f>
        <v>#DIV/0!</v>
      </c>
      <c r="J6" s="2612"/>
      <c r="K6" s="2612"/>
      <c r="L6" s="2612"/>
      <c r="M6" s="2612"/>
      <c r="N6" s="2612"/>
      <c r="O6" s="2612"/>
      <c r="P6" s="2612"/>
    </row>
    <row r="7" spans="1:16" ht="15.75" thickBot="1">
      <c r="A7" s="3213"/>
      <c r="B7" s="3214"/>
      <c r="C7" s="3215"/>
      <c r="D7" s="1669" t="s">
        <v>1731</v>
      </c>
      <c r="E7" s="1673" t="s">
        <v>1738</v>
      </c>
      <c r="F7" s="2612"/>
      <c r="G7" s="2609" t="s">
        <v>1739</v>
      </c>
      <c r="H7" s="100"/>
      <c r="I7" s="2610">
        <v>2.5</v>
      </c>
      <c r="J7" s="2612"/>
      <c r="K7" s="2612"/>
      <c r="L7" s="2612"/>
      <c r="M7" s="2612"/>
      <c r="N7" s="2612"/>
      <c r="O7" s="2612"/>
      <c r="P7" s="2612"/>
    </row>
    <row r="8" spans="1:16">
      <c r="A8" s="45" t="s">
        <v>1740</v>
      </c>
      <c r="B8" s="48" t="s">
        <v>1741</v>
      </c>
      <c r="C8" s="46" t="s">
        <v>1742</v>
      </c>
      <c r="D8" s="46">
        <f t="shared" ref="D8:D15" si="0">ROUND($D$3*E8/$E$3,2)</f>
        <v>0</v>
      </c>
      <c r="E8" s="49">
        <f>SUMIF('数据-基础表'!BB10:BK10,"地上",'数据-基础表'!BB5:BK5)</f>
        <v>69.52</v>
      </c>
      <c r="F8" s="2612"/>
      <c r="G8" s="2612"/>
      <c r="H8" s="2612"/>
      <c r="I8" s="2612"/>
      <c r="J8" s="2612"/>
      <c r="K8" s="2612"/>
      <c r="L8" s="2612"/>
      <c r="M8" s="2612"/>
      <c r="N8" s="2612"/>
      <c r="O8" s="2612"/>
      <c r="P8" s="2612"/>
    </row>
    <row r="9" spans="1:16">
      <c r="A9" s="1674"/>
      <c r="B9" s="1675"/>
      <c r="C9" s="46" t="s">
        <v>1743</v>
      </c>
      <c r="D9" s="46">
        <f t="shared" si="0"/>
        <v>0</v>
      </c>
      <c r="E9" s="50">
        <v>0</v>
      </c>
      <c r="F9" s="2612"/>
      <c r="G9" s="2612"/>
      <c r="H9" s="2612"/>
      <c r="I9" s="2612"/>
      <c r="J9" s="2612"/>
      <c r="K9" s="2612"/>
      <c r="L9" s="2612"/>
      <c r="M9" s="2612"/>
      <c r="N9" s="2612"/>
      <c r="O9" s="2612"/>
      <c r="P9" s="2612"/>
    </row>
    <row r="10" spans="1:16">
      <c r="A10" s="1674"/>
      <c r="B10" s="1675"/>
      <c r="C10" s="46" t="s">
        <v>1752</v>
      </c>
      <c r="D10" s="46">
        <f t="shared" si="0"/>
        <v>0</v>
      </c>
      <c r="E10" s="49">
        <f>SUMPRODUCT(('数据-基础表'!BB10:BK10="地下")*('数据-基础表'!BB11:BK11="商业")*('数据-基础表'!BB5:BK5))</f>
        <v>0</v>
      </c>
      <c r="F10" s="2612"/>
      <c r="G10" s="2612"/>
      <c r="H10" s="2612"/>
      <c r="I10" s="2612"/>
      <c r="J10" s="2612"/>
      <c r="K10" s="2612"/>
      <c r="L10" s="2612"/>
      <c r="M10" s="2612"/>
      <c r="N10" s="2612"/>
      <c r="O10" s="2612"/>
      <c r="P10" s="2612"/>
    </row>
    <row r="11" spans="1:16">
      <c r="A11" s="1674"/>
      <c r="B11" s="1675"/>
      <c r="C11" s="46" t="s">
        <v>1744</v>
      </c>
      <c r="D11" s="46">
        <f t="shared" si="0"/>
        <v>0</v>
      </c>
      <c r="E11" s="49">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c r="A12" s="1674"/>
      <c r="B12" s="1675"/>
      <c r="C12" s="46" t="s">
        <v>1745</v>
      </c>
      <c r="D12" s="46">
        <f t="shared" si="0"/>
        <v>0</v>
      </c>
      <c r="E12" s="49">
        <f>SUMPRODUCT(('数据-基础表'!BB10:BK10="地下")*('数据-基础表'!BB11:BK11="仓储")*('数据-基础表'!BB5:BK5))</f>
        <v>0</v>
      </c>
      <c r="F12" s="2612"/>
      <c r="G12" s="2612"/>
      <c r="H12" s="2612"/>
      <c r="I12" s="2612"/>
      <c r="J12" s="2612"/>
      <c r="K12" s="2612"/>
      <c r="L12" s="2612"/>
      <c r="M12" s="2612"/>
      <c r="N12" s="2612"/>
      <c r="O12" s="2612"/>
      <c r="P12" s="2612"/>
    </row>
    <row r="13" spans="1:16">
      <c r="A13" s="1674"/>
      <c r="B13" s="1675"/>
      <c r="C13" s="46" t="s">
        <v>1746</v>
      </c>
      <c r="D13" s="46">
        <f t="shared" si="0"/>
        <v>0</v>
      </c>
      <c r="E13" s="49">
        <f>SUMPRODUCT(('数据-基础表'!BB10:BK10="地下")*('数据-基础表'!BB11:BK11="车库")*('数据-基础表'!BB5:BK5))</f>
        <v>0</v>
      </c>
      <c r="F13" s="2612"/>
      <c r="G13" s="2612"/>
      <c r="H13" s="2612"/>
      <c r="I13" s="2612"/>
      <c r="J13" s="2612"/>
      <c r="K13" s="2612"/>
      <c r="L13" s="2612"/>
      <c r="M13" s="2612"/>
      <c r="N13" s="2612"/>
      <c r="O13" s="2612"/>
      <c r="P13" s="2612"/>
    </row>
    <row r="14" spans="1:16">
      <c r="A14" s="1674"/>
      <c r="B14" s="1675"/>
      <c r="C14" s="46" t="s">
        <v>1758</v>
      </c>
      <c r="D14" s="46">
        <f t="shared" si="0"/>
        <v>0</v>
      </c>
      <c r="E14" s="49">
        <f>SUMPRODUCT(('数据-基础表'!BB10:BK10="地下")*('数据-基础表'!BB11:BK11="车库—商业")*('数据-基础表'!BB5:BK5))</f>
        <v>0</v>
      </c>
      <c r="F14" s="2612"/>
      <c r="G14" s="2612"/>
      <c r="H14" s="2612"/>
      <c r="I14" s="2612"/>
      <c r="J14" s="2612"/>
      <c r="K14" s="2612"/>
      <c r="L14" s="2612"/>
      <c r="M14" s="2612"/>
      <c r="N14" s="2612"/>
      <c r="O14" s="2612"/>
      <c r="P14" s="2612"/>
    </row>
    <row r="15" spans="1:16" ht="15" thickBot="1">
      <c r="A15" s="1674"/>
      <c r="B15" s="1675"/>
      <c r="C15" s="46" t="s">
        <v>1753</v>
      </c>
      <c r="D15" s="46">
        <f t="shared" si="0"/>
        <v>0</v>
      </c>
      <c r="E15" s="49">
        <f>SUMPRODUCT(('数据-基础表'!BB10:BK10="地下")*('数据-基础表'!BB11:BK11="车库—办公")*('数据-基础表'!BB5:BK5))</f>
        <v>0</v>
      </c>
      <c r="F15" s="2612"/>
      <c r="G15" s="2612"/>
      <c r="H15" s="2612"/>
      <c r="I15" s="2612"/>
      <c r="J15" s="2612"/>
      <c r="K15" s="2612"/>
      <c r="L15" s="2612"/>
      <c r="M15" s="2612"/>
      <c r="N15" s="2612"/>
      <c r="O15" s="2612"/>
      <c r="P15" s="2612"/>
    </row>
    <row r="16" spans="1:16" ht="15.75" thickBot="1">
      <c r="A16" s="1672"/>
      <c r="B16" s="1675"/>
      <c r="C16" s="48" t="s">
        <v>1747</v>
      </c>
      <c r="D16" s="48">
        <f>SUM(D8:D15)</f>
        <v>0</v>
      </c>
      <c r="E16" s="51">
        <f>SUM(E8:E15)</f>
        <v>69.52</v>
      </c>
      <c r="F16" s="2612"/>
      <c r="G16" s="2612"/>
      <c r="H16" s="1676" t="s">
        <v>1759</v>
      </c>
      <c r="I16" s="1677"/>
      <c r="J16" s="1198"/>
      <c r="K16" s="3210" t="s">
        <v>1759</v>
      </c>
      <c r="L16" s="3211"/>
      <c r="M16" s="3211"/>
      <c r="N16" s="3211"/>
      <c r="O16" s="3211"/>
      <c r="P16" s="3212"/>
    </row>
    <row r="17" spans="1:19" ht="15">
      <c r="A17" s="1678" t="s">
        <v>1760</v>
      </c>
      <c r="B17" s="1679" t="s">
        <v>1761</v>
      </c>
      <c r="C17" s="1680" t="s">
        <v>1762</v>
      </c>
      <c r="D17" s="1681" t="s">
        <v>1750</v>
      </c>
      <c r="E17" s="1682" t="s">
        <v>1751</v>
      </c>
      <c r="F17" s="1683"/>
      <c r="G17" s="1684"/>
      <c r="H17" s="1685" t="s">
        <v>1763</v>
      </c>
      <c r="I17" s="1686" t="s">
        <v>1748</v>
      </c>
      <c r="J17" s="1198"/>
      <c r="K17" s="3207" t="s">
        <v>1764</v>
      </c>
      <c r="L17" s="3208"/>
      <c r="M17" s="3209"/>
      <c r="N17" s="3207" t="s">
        <v>1765</v>
      </c>
      <c r="O17" s="3208"/>
      <c r="P17" s="3209"/>
      <c r="R17" s="871" t="s">
        <v>1766</v>
      </c>
      <c r="S17" s="58"/>
    </row>
    <row r="18" spans="1:19" ht="15">
      <c r="A18" s="1674"/>
      <c r="B18" s="1671"/>
      <c r="C18" s="1687"/>
      <c r="D18" s="1688"/>
      <c r="E18" s="1689" t="s">
        <v>1767</v>
      </c>
      <c r="F18" s="1690" t="s">
        <v>1768</v>
      </c>
      <c r="G18" s="1691" t="s">
        <v>1769</v>
      </c>
      <c r="H18" s="1103" t="s">
        <v>1770</v>
      </c>
      <c r="I18" s="1692" t="s">
        <v>1771</v>
      </c>
      <c r="J18" s="1198"/>
      <c r="K18" s="1103" t="s">
        <v>1772</v>
      </c>
      <c r="L18" s="1693" t="s">
        <v>1773</v>
      </c>
      <c r="M18" s="904" t="s">
        <v>1774</v>
      </c>
      <c r="N18" s="1103" t="s">
        <v>1772</v>
      </c>
      <c r="O18" s="1693" t="s">
        <v>1773</v>
      </c>
      <c r="P18" s="904" t="s">
        <v>1774</v>
      </c>
      <c r="R18" s="46" t="s">
        <v>1775</v>
      </c>
      <c r="S18" s="46" t="s">
        <v>1776</v>
      </c>
    </row>
    <row r="19" spans="1:19">
      <c r="A19" s="1694"/>
      <c r="B19" s="48" t="s">
        <v>1749</v>
      </c>
      <c r="C19" s="2947" t="s">
        <v>3481</v>
      </c>
      <c r="D19" s="46">
        <f>ROUND($D$3*E19/$E$3,2)</f>
        <v>0</v>
      </c>
      <c r="E19" s="54">
        <f t="shared" ref="E19:E26" si="1">SUM(F19:G19)</f>
        <v>69.52</v>
      </c>
      <c r="F19" s="2735">
        <f>'数据-基础表'!I13</f>
        <v>69.52</v>
      </c>
      <c r="G19" s="1374">
        <f>'数据-基础表'!K5</f>
        <v>0</v>
      </c>
      <c r="H19" s="645">
        <f>ROUND($D$3*I19/$E$3,2)</f>
        <v>0</v>
      </c>
      <c r="I19" s="49">
        <f t="shared" ref="I19:I26" si="2">IF($I$17="自定义",P19,M19)</f>
        <v>0</v>
      </c>
      <c r="J19" s="1198"/>
      <c r="K19" s="645">
        <f t="shared" ref="K19:K26" si="3">ROUND(E$28*E19/E$27,2)</f>
        <v>0</v>
      </c>
      <c r="L19" s="46">
        <f t="shared" ref="L19:L26" si="4">ROUND(IF(COUNTIF(C19,"*住宅*")&gt;0,E$29*E19/E$32,0),2)</f>
        <v>0</v>
      </c>
      <c r="M19" s="49">
        <f>K19+L19</f>
        <v>0</v>
      </c>
      <c r="N19" s="71"/>
      <c r="O19" s="1696"/>
      <c r="P19" s="49">
        <f>N19+O19</f>
        <v>0</v>
      </c>
      <c r="R19" s="46">
        <f t="shared" ref="R19:S26" si="5">D19+H19</f>
        <v>0</v>
      </c>
      <c r="S19" s="54">
        <f t="shared" si="5"/>
        <v>69.52</v>
      </c>
    </row>
    <row r="20" spans="1:19">
      <c r="A20" s="1694"/>
      <c r="B20" s="48" t="s">
        <v>1777</v>
      </c>
      <c r="C20" s="1695"/>
      <c r="D20" s="46">
        <f t="shared" ref="D20:D26" si="6">ROUND($D$3*E20/$E$3,2)</f>
        <v>0</v>
      </c>
      <c r="E20" s="54">
        <f t="shared" si="1"/>
        <v>0</v>
      </c>
      <c r="F20" s="2735"/>
      <c r="G20" s="1374"/>
      <c r="H20" s="645">
        <f t="shared" ref="H20:H26" si="7">ROUND($D$3*I20/$E$3,2)</f>
        <v>0</v>
      </c>
      <c r="I20" s="49">
        <f t="shared" si="2"/>
        <v>0</v>
      </c>
      <c r="J20" s="1198"/>
      <c r="K20" s="645">
        <f t="shared" si="3"/>
        <v>0</v>
      </c>
      <c r="L20" s="46">
        <f t="shared" si="4"/>
        <v>0</v>
      </c>
      <c r="M20" s="49">
        <f t="shared" ref="M20:M26" si="8">K20+L20</f>
        <v>0</v>
      </c>
      <c r="N20" s="71"/>
      <c r="O20" s="1696"/>
      <c r="P20" s="49">
        <f t="shared" ref="P20:P26" si="9">N20+O20</f>
        <v>0</v>
      </c>
      <c r="R20" s="46">
        <f t="shared" si="5"/>
        <v>0</v>
      </c>
      <c r="S20" s="54">
        <f t="shared" si="5"/>
        <v>0</v>
      </c>
    </row>
    <row r="21" spans="1:19">
      <c r="A21" s="1694"/>
      <c r="B21" s="48" t="s">
        <v>1777</v>
      </c>
      <c r="C21" s="1695"/>
      <c r="D21" s="46">
        <f t="shared" si="6"/>
        <v>0</v>
      </c>
      <c r="E21" s="54">
        <f t="shared" si="1"/>
        <v>0</v>
      </c>
      <c r="F21" s="2735"/>
      <c r="G21" s="1374"/>
      <c r="H21" s="645">
        <f t="shared" si="7"/>
        <v>0</v>
      </c>
      <c r="I21" s="49">
        <f t="shared" si="2"/>
        <v>0</v>
      </c>
      <c r="J21" s="1198"/>
      <c r="K21" s="645">
        <f t="shared" si="3"/>
        <v>0</v>
      </c>
      <c r="L21" s="46">
        <f t="shared" si="4"/>
        <v>0</v>
      </c>
      <c r="M21" s="49">
        <f t="shared" si="8"/>
        <v>0</v>
      </c>
      <c r="N21" s="71"/>
      <c r="O21" s="1696"/>
      <c r="P21" s="49">
        <f t="shared" si="9"/>
        <v>0</v>
      </c>
      <c r="R21" s="46">
        <f t="shared" si="5"/>
        <v>0</v>
      </c>
      <c r="S21" s="54">
        <f t="shared" si="5"/>
        <v>0</v>
      </c>
    </row>
    <row r="22" spans="1:19">
      <c r="A22" s="1694"/>
      <c r="B22" s="48" t="s">
        <v>1777</v>
      </c>
      <c r="C22" s="56"/>
      <c r="D22" s="46">
        <f t="shared" si="6"/>
        <v>0</v>
      </c>
      <c r="E22" s="54">
        <f t="shared" si="1"/>
        <v>0</v>
      </c>
      <c r="F22" s="2736"/>
      <c r="G22" s="2737"/>
      <c r="H22" s="645">
        <f t="shared" si="7"/>
        <v>0</v>
      </c>
      <c r="I22" s="49">
        <f t="shared" si="2"/>
        <v>0</v>
      </c>
      <c r="J22" s="1198"/>
      <c r="K22" s="645">
        <f t="shared" si="3"/>
        <v>0</v>
      </c>
      <c r="L22" s="46">
        <f t="shared" si="4"/>
        <v>0</v>
      </c>
      <c r="M22" s="49">
        <f t="shared" si="8"/>
        <v>0</v>
      </c>
      <c r="N22" s="71"/>
      <c r="O22" s="1696"/>
      <c r="P22" s="49">
        <f t="shared" si="9"/>
        <v>0</v>
      </c>
      <c r="R22" s="46">
        <f t="shared" si="5"/>
        <v>0</v>
      </c>
      <c r="S22" s="54">
        <f t="shared" si="5"/>
        <v>0</v>
      </c>
    </row>
    <row r="23" spans="1:19">
      <c r="A23" s="1694"/>
      <c r="B23" s="48" t="s">
        <v>1777</v>
      </c>
      <c r="C23" s="56"/>
      <c r="D23" s="46">
        <f>ROUND($D$3*E23/$E$3,2)</f>
        <v>0</v>
      </c>
      <c r="E23" s="54">
        <f>SUM(F23:G23)</f>
        <v>0</v>
      </c>
      <c r="F23" s="2736"/>
      <c r="G23" s="2737"/>
      <c r="H23" s="645">
        <f>ROUND($D$3*I23/$E$3,2)</f>
        <v>0</v>
      </c>
      <c r="I23" s="49">
        <f t="shared" si="2"/>
        <v>0</v>
      </c>
      <c r="J23" s="1198"/>
      <c r="K23" s="645">
        <f t="shared" si="3"/>
        <v>0</v>
      </c>
      <c r="L23" s="46">
        <f t="shared" si="4"/>
        <v>0</v>
      </c>
      <c r="M23" s="49">
        <f t="shared" si="8"/>
        <v>0</v>
      </c>
      <c r="N23" s="71"/>
      <c r="O23" s="1696"/>
      <c r="P23" s="49">
        <f t="shared" si="9"/>
        <v>0</v>
      </c>
      <c r="R23" s="46">
        <f t="shared" si="5"/>
        <v>0</v>
      </c>
      <c r="S23" s="54">
        <f t="shared" si="5"/>
        <v>0</v>
      </c>
    </row>
    <row r="24" spans="1:19">
      <c r="A24" s="1694"/>
      <c r="B24" s="48" t="s">
        <v>1777</v>
      </c>
      <c r="C24" s="56"/>
      <c r="D24" s="46">
        <f>ROUND($D$3*E24/$E$3,2)</f>
        <v>0</v>
      </c>
      <c r="E24" s="54">
        <f>SUM(F24:G24)</f>
        <v>0</v>
      </c>
      <c r="F24" s="2736"/>
      <c r="G24" s="2737"/>
      <c r="H24" s="645">
        <f>ROUND($D$3*I24/$E$3,2)</f>
        <v>0</v>
      </c>
      <c r="I24" s="49">
        <f t="shared" si="2"/>
        <v>0</v>
      </c>
      <c r="J24" s="1198"/>
      <c r="K24" s="645">
        <f t="shared" si="3"/>
        <v>0</v>
      </c>
      <c r="L24" s="46">
        <f t="shared" si="4"/>
        <v>0</v>
      </c>
      <c r="M24" s="49">
        <f t="shared" si="8"/>
        <v>0</v>
      </c>
      <c r="N24" s="71"/>
      <c r="O24" s="1696"/>
      <c r="P24" s="49">
        <f t="shared" si="9"/>
        <v>0</v>
      </c>
      <c r="R24" s="46">
        <f t="shared" si="5"/>
        <v>0</v>
      </c>
      <c r="S24" s="54">
        <f t="shared" si="5"/>
        <v>0</v>
      </c>
    </row>
    <row r="25" spans="1:19">
      <c r="A25" s="1694"/>
      <c r="B25" s="48" t="s">
        <v>1777</v>
      </c>
      <c r="C25" s="56"/>
      <c r="D25" s="46">
        <f t="shared" si="6"/>
        <v>0</v>
      </c>
      <c r="E25" s="54">
        <f t="shared" si="1"/>
        <v>0</v>
      </c>
      <c r="F25" s="2736"/>
      <c r="G25" s="2737"/>
      <c r="H25" s="45">
        <f t="shared" si="7"/>
        <v>0</v>
      </c>
      <c r="I25" s="49">
        <f t="shared" si="2"/>
        <v>0</v>
      </c>
      <c r="J25" s="1198"/>
      <c r="K25" s="645">
        <f t="shared" si="3"/>
        <v>0</v>
      </c>
      <c r="L25" s="46">
        <f t="shared" si="4"/>
        <v>0</v>
      </c>
      <c r="M25" s="49">
        <f t="shared" si="8"/>
        <v>0</v>
      </c>
      <c r="N25" s="71"/>
      <c r="O25" s="1696"/>
      <c r="P25" s="49">
        <f t="shared" si="9"/>
        <v>0</v>
      </c>
      <c r="R25" s="46">
        <f t="shared" si="5"/>
        <v>0</v>
      </c>
      <c r="S25" s="54">
        <f t="shared" si="5"/>
        <v>0</v>
      </c>
    </row>
    <row r="26" spans="1:19">
      <c r="A26" s="1694"/>
      <c r="B26" s="48" t="s">
        <v>1777</v>
      </c>
      <c r="C26" s="57"/>
      <c r="D26" s="46">
        <f t="shared" si="6"/>
        <v>0</v>
      </c>
      <c r="E26" s="54">
        <f t="shared" si="1"/>
        <v>0</v>
      </c>
      <c r="F26" s="2736"/>
      <c r="G26" s="2737"/>
      <c r="H26" s="45">
        <f t="shared" si="7"/>
        <v>0</v>
      </c>
      <c r="I26" s="49">
        <f t="shared" si="2"/>
        <v>0</v>
      </c>
      <c r="J26" s="1198"/>
      <c r="K26" s="45">
        <f t="shared" si="3"/>
        <v>0</v>
      </c>
      <c r="L26" s="48">
        <f t="shared" si="4"/>
        <v>0</v>
      </c>
      <c r="M26" s="51">
        <f t="shared" si="8"/>
        <v>0</v>
      </c>
      <c r="N26" s="1697"/>
      <c r="O26" s="1698"/>
      <c r="P26" s="51">
        <f t="shared" si="9"/>
        <v>0</v>
      </c>
      <c r="R26" s="46">
        <f t="shared" si="5"/>
        <v>0</v>
      </c>
      <c r="S26" s="54">
        <f t="shared" si="5"/>
        <v>0</v>
      </c>
    </row>
    <row r="27" spans="1:19" ht="15.75" thickBot="1">
      <c r="A27" s="1694"/>
      <c r="B27" s="46"/>
      <c r="C27" s="1699" t="s">
        <v>1778</v>
      </c>
      <c r="D27" s="1199">
        <f>SUM(D19:D26)</f>
        <v>0</v>
      </c>
      <c r="E27" s="1200">
        <f>IF(SUM(E19:E26)='数据-基础表'!BA5,SUM(E19:E26),IF(F27="地上面积有误","面积有误","地下面积有误"))</f>
        <v>69.52</v>
      </c>
      <c r="F27" s="1199">
        <f>IF(SUM(F19:F26)=E8,SUM(F19:F26),"地上面积有误")</f>
        <v>69.52</v>
      </c>
      <c r="G27" s="1201">
        <f>SUM(G19:G26)</f>
        <v>0</v>
      </c>
      <c r="H27" s="1202">
        <f>SUM(H19:H26)</f>
        <v>0</v>
      </c>
      <c r="I27" s="1203">
        <f>SUM(I19:I26)</f>
        <v>0</v>
      </c>
      <c r="J27" s="1198"/>
      <c r="K27" s="1204">
        <f>SUM(K19:K26)</f>
        <v>0</v>
      </c>
      <c r="L27" s="887">
        <f>SUM(L19:L26)</f>
        <v>0</v>
      </c>
      <c r="M27" s="1205">
        <f>SUM(M19:M26)</f>
        <v>0</v>
      </c>
      <c r="N27" s="1204">
        <f t="shared" ref="N27:O27" si="10">SUM(N19:N26)</f>
        <v>0</v>
      </c>
      <c r="O27" s="887">
        <f t="shared" si="10"/>
        <v>0</v>
      </c>
      <c r="P27" s="99">
        <f>SUM(P19:P26)</f>
        <v>0</v>
      </c>
      <c r="R27" s="1091">
        <f>IF(SUM(R19:R26)=$D$3,SUM(R19:R26),SUM(R19:R26)&amp;"误差"&amp;ROUND(SUM(R19:R26)-$D$3,2))</f>
        <v>0</v>
      </c>
      <c r="S27" s="46">
        <f>IF(SUM(S19:S26)=$E$3,SUM(S19:S26),SUM(S19:S26)&amp;"误差"&amp;ROUND(SUM(S19:S26)-E3,2))</f>
        <v>69.52</v>
      </c>
    </row>
    <row r="28" spans="1:19">
      <c r="A28" s="1694"/>
      <c r="B28" s="48" t="s">
        <v>1779</v>
      </c>
      <c r="C28" s="58" t="s">
        <v>1780</v>
      </c>
      <c r="D28" s="46">
        <f>ROUND($D$3*E28/$E$3,2)</f>
        <v>0</v>
      </c>
      <c r="E28" s="54">
        <f>SUM(F28:G28)</f>
        <v>0</v>
      </c>
      <c r="F28" s="58">
        <f>'数据-基础表'!BQ5+'数据-基础表'!BS5</f>
        <v>0</v>
      </c>
      <c r="G28" s="59">
        <f>'数据-基础表'!BR5+'数据-基础表'!BT5</f>
        <v>0</v>
      </c>
      <c r="H28" s="2612"/>
      <c r="I28" s="2612"/>
      <c r="J28" s="2612"/>
      <c r="K28" s="2612"/>
      <c r="L28" s="2612"/>
      <c r="M28" s="2612"/>
      <c r="N28" s="2612"/>
      <c r="O28" s="2612"/>
      <c r="P28" s="2612"/>
    </row>
    <row r="29" spans="1:19">
      <c r="A29" s="1694"/>
      <c r="B29" s="48" t="s">
        <v>1779</v>
      </c>
      <c r="C29" s="1700" t="s">
        <v>1781</v>
      </c>
      <c r="D29" s="46">
        <f>ROUND($D$3*E29/$E$3,2)</f>
        <v>0</v>
      </c>
      <c r="E29" s="54">
        <f>SUM(F29:G29)</f>
        <v>0</v>
      </c>
      <c r="F29" s="60">
        <f>'数据-基础表'!BM5+'数据-基础表'!BO5</f>
        <v>0</v>
      </c>
      <c r="G29" s="51">
        <f>'数据-基础表'!BN5+'数据-基础表'!BP5</f>
        <v>0</v>
      </c>
      <c r="H29" s="2612"/>
      <c r="I29" s="2612"/>
      <c r="J29" s="2612"/>
      <c r="K29" s="2612"/>
      <c r="L29" s="2612"/>
      <c r="M29" s="2612"/>
      <c r="N29" s="2612"/>
      <c r="O29" s="2612"/>
      <c r="P29" s="2612"/>
    </row>
    <row r="30" spans="1:19" ht="15">
      <c r="A30" s="1694"/>
      <c r="B30" s="48"/>
      <c r="C30" s="1701" t="s">
        <v>1778</v>
      </c>
      <c r="D30" s="1199">
        <f>SUM(D28:D29)</f>
        <v>0</v>
      </c>
      <c r="E30" s="1199">
        <f>SUM(E28:E29)</f>
        <v>0</v>
      </c>
      <c r="F30" s="1199">
        <f>SUM(F28:F29)</f>
        <v>0</v>
      </c>
      <c r="G30" s="1201">
        <f>SUM(G28:G29)</f>
        <v>0</v>
      </c>
      <c r="H30" s="2612"/>
      <c r="I30" s="2612"/>
      <c r="J30" s="2612"/>
      <c r="K30" s="2612"/>
      <c r="L30" s="2612"/>
      <c r="M30" s="2612"/>
      <c r="N30" s="2612"/>
      <c r="O30" s="2612"/>
      <c r="P30" s="2612"/>
    </row>
    <row r="31" spans="1:19" ht="15.75" thickBot="1">
      <c r="A31" s="1702"/>
      <c r="B31" s="101"/>
      <c r="C31" s="887" t="s">
        <v>1782</v>
      </c>
      <c r="D31" s="651">
        <f>D27+D30</f>
        <v>0</v>
      </c>
      <c r="E31" s="651">
        <f>E27+E30</f>
        <v>69.52</v>
      </c>
      <c r="F31" s="652">
        <f>F27+F30</f>
        <v>69.52</v>
      </c>
      <c r="G31" s="653">
        <f>G27+G30</f>
        <v>0</v>
      </c>
      <c r="H31" s="2612"/>
      <c r="I31" s="2612"/>
      <c r="J31" s="2612"/>
      <c r="K31" s="2612"/>
      <c r="L31" s="2612"/>
      <c r="M31" s="2612"/>
      <c r="N31" s="2612"/>
      <c r="O31" s="2612"/>
      <c r="P31" s="2612"/>
    </row>
    <row r="32" spans="1:19">
      <c r="A32" s="1671"/>
      <c r="B32" s="1671" t="s">
        <v>1783</v>
      </c>
      <c r="C32" s="1671"/>
      <c r="D32" s="1671"/>
      <c r="E32" s="1114">
        <f>SUMIF(C19:C26,"*住宅*",E19:E26)</f>
        <v>69.52</v>
      </c>
      <c r="F32" s="1671"/>
      <c r="G32" s="1671"/>
      <c r="H32" s="2612"/>
      <c r="I32" s="2612"/>
      <c r="J32" s="2612"/>
      <c r="K32" s="2612"/>
      <c r="L32" s="2612"/>
      <c r="M32" s="2612"/>
      <c r="N32" s="2612"/>
      <c r="O32" s="2612"/>
      <c r="P32" s="2612"/>
    </row>
    <row r="33" spans="4:4">
      <c r="D33" s="170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U518" sqref="U518"/>
      <selection pane="topRight" activeCell="U518" sqref="U518"/>
      <selection pane="bottomLeft" activeCell="U518" sqref="U518"/>
      <selection pane="bottomRight" activeCell="E40" sqref="E40"/>
    </sheetView>
  </sheetViews>
  <sheetFormatPr defaultColWidth="13.75" defaultRowHeight="12.75"/>
  <cols>
    <col min="1" max="1" width="20.875" style="1763" customWidth="1"/>
    <col min="2" max="2" width="12" style="1706" customWidth="1"/>
    <col min="3" max="3" width="12.75" style="1706" customWidth="1"/>
    <col min="4" max="4" width="9.125" style="1764" customWidth="1"/>
    <col min="5" max="5" width="15" style="1706" bestFit="1" customWidth="1"/>
    <col min="6" max="10" width="8.875" style="1706" customWidth="1"/>
    <col min="11" max="12" width="12.375" style="1634" customWidth="1"/>
    <col min="13" max="13" width="8.625" style="1706" customWidth="1"/>
    <col min="14" max="14" width="11.875" style="1706" customWidth="1"/>
    <col min="15" max="15" width="8.5" style="1706" customWidth="1"/>
    <col min="16" max="17" width="10.875" style="1706" customWidth="1"/>
    <col min="18" max="19" width="12.5" style="1706" customWidth="1"/>
    <col min="20" max="20" width="12.125" style="1706" customWidth="1"/>
    <col min="21" max="21" width="6.5" style="1706" customWidth="1"/>
    <col min="22" max="22" width="10.5" style="1706" customWidth="1"/>
    <col min="23" max="30" width="6.75" style="1706" customWidth="1"/>
    <col min="31" max="31" width="8" style="1706" customWidth="1"/>
    <col min="32" max="34" width="7.25" style="1706" customWidth="1"/>
    <col min="35" max="39" width="8" style="1706" customWidth="1"/>
    <col min="40" max="40" width="13.75" style="127"/>
    <col min="41" max="41" width="11.625" style="127" customWidth="1"/>
    <col min="42" max="42" width="9.75" style="127" customWidth="1"/>
    <col min="43" max="67" width="13.75" style="127"/>
    <col min="68" max="16384" width="13.75" style="1706"/>
  </cols>
  <sheetData>
    <row r="1" spans="1:67" ht="19.5" thickBot="1">
      <c r="A1" s="1704" t="s">
        <v>1784</v>
      </c>
      <c r="B1" s="654"/>
      <c r="C1" s="126"/>
      <c r="D1" s="1705"/>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24"/>
      <c r="AO1" s="2624"/>
      <c r="AP1" s="2624"/>
      <c r="AQ1" s="2624"/>
      <c r="AR1" s="2624"/>
    </row>
    <row r="2" spans="1:67" s="1596" customFormat="1" ht="15.75" thickBot="1">
      <c r="A2" s="1707" t="s">
        <v>1785</v>
      </c>
      <c r="B2" s="1107">
        <f>项目基本情况!D3</f>
        <v>41685</v>
      </c>
      <c r="C2" s="1198"/>
      <c r="D2" s="1708"/>
      <c r="E2" s="1198"/>
      <c r="F2" s="1198"/>
      <c r="G2" s="1198"/>
      <c r="H2" s="1198"/>
      <c r="I2" s="1198"/>
      <c r="J2" s="1198"/>
      <c r="K2" s="986"/>
      <c r="L2" s="986"/>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2612"/>
      <c r="AO2" s="2612"/>
      <c r="AP2" s="2612"/>
      <c r="AQ2" s="2612"/>
      <c r="AR2" s="2612"/>
      <c r="AS2" s="1667"/>
      <c r="AT2" s="1667"/>
      <c r="AU2" s="1667"/>
      <c r="AV2" s="1667"/>
      <c r="AW2" s="1667"/>
      <c r="AX2" s="1667"/>
      <c r="AY2" s="1667"/>
      <c r="AZ2" s="1667"/>
      <c r="BA2" s="1667"/>
      <c r="BB2" s="1667"/>
      <c r="BC2" s="1667"/>
      <c r="BD2" s="1667"/>
      <c r="BE2" s="1667"/>
      <c r="BF2" s="1667"/>
      <c r="BG2" s="1667"/>
      <c r="BH2" s="1667"/>
      <c r="BI2" s="1667"/>
      <c r="BJ2" s="1667"/>
      <c r="BK2" s="1667"/>
      <c r="BL2" s="1667"/>
      <c r="BM2" s="1667"/>
      <c r="BN2" s="1667"/>
      <c r="BO2" s="1667"/>
    </row>
    <row r="3" spans="1:67" s="1596" customFormat="1" ht="15" thickBot="1">
      <c r="A3" s="1594"/>
      <c r="B3" s="1687"/>
      <c r="C3" s="1198"/>
      <c r="D3" s="1708"/>
      <c r="E3" s="1198"/>
      <c r="F3" s="1198"/>
      <c r="G3" s="1198"/>
      <c r="H3" s="1198"/>
      <c r="I3" s="1198"/>
      <c r="J3" s="1198"/>
      <c r="K3" s="986"/>
      <c r="L3" s="986"/>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2612"/>
      <c r="AO3" s="2612"/>
      <c r="AP3" s="2612"/>
      <c r="AQ3" s="2612"/>
      <c r="AR3" s="2612"/>
      <c r="AS3" s="1667"/>
      <c r="AT3" s="1667"/>
      <c r="AU3" s="1667"/>
      <c r="AV3" s="1667"/>
      <c r="AW3" s="1667"/>
      <c r="AX3" s="1667"/>
      <c r="AY3" s="1667"/>
      <c r="AZ3" s="1667"/>
      <c r="BA3" s="1667"/>
      <c r="BB3" s="1667"/>
      <c r="BC3" s="1667"/>
      <c r="BD3" s="1667"/>
      <c r="BE3" s="1667"/>
      <c r="BF3" s="1667"/>
      <c r="BG3" s="1667"/>
      <c r="BH3" s="1667"/>
      <c r="BI3" s="1667"/>
      <c r="BJ3" s="1667"/>
      <c r="BK3" s="1667"/>
      <c r="BL3" s="1667"/>
      <c r="BM3" s="1667"/>
      <c r="BN3" s="1667"/>
      <c r="BO3" s="1667"/>
    </row>
    <row r="4" spans="1:67" s="1596" customFormat="1" ht="15" thickBot="1">
      <c r="A4" s="61" t="s">
        <v>1786</v>
      </c>
      <c r="B4" s="1709"/>
      <c r="C4" s="1710"/>
      <c r="D4" s="1711"/>
      <c r="E4" s="1710" t="s">
        <v>1787</v>
      </c>
      <c r="F4" s="1710"/>
      <c r="G4" s="1710"/>
      <c r="H4" s="1710"/>
      <c r="I4" s="1710"/>
      <c r="J4" s="1712"/>
      <c r="K4" s="1713"/>
      <c r="L4" s="1714"/>
      <c r="M4" s="1710"/>
      <c r="N4" s="1710" t="s">
        <v>1788</v>
      </c>
      <c r="O4" s="1710"/>
      <c r="P4" s="1710"/>
      <c r="Q4" s="1710"/>
      <c r="R4" s="1710"/>
      <c r="S4" s="1712"/>
      <c r="T4" s="2611" t="str">
        <f>'数据-汇总表'!I17</f>
        <v>按面积比例</v>
      </c>
      <c r="U4" s="1709" t="s">
        <v>1789</v>
      </c>
      <c r="V4" s="1710"/>
      <c r="W4" s="1710"/>
      <c r="X4" s="1710"/>
      <c r="Y4" s="1712"/>
      <c r="Z4" s="1680" t="s">
        <v>1790</v>
      </c>
      <c r="AA4" s="1680"/>
      <c r="AB4" s="1680"/>
      <c r="AC4" s="1680"/>
      <c r="AD4" s="1680"/>
      <c r="AE4" s="1678" t="s">
        <v>1791</v>
      </c>
      <c r="AF4" s="1680"/>
      <c r="AG4" s="1715"/>
      <c r="AH4" s="1709"/>
      <c r="AI4" s="1710"/>
      <c r="AJ4" s="1710"/>
      <c r="AK4" s="1710"/>
      <c r="AL4" s="1710"/>
      <c r="AM4" s="1712"/>
      <c r="AN4" s="2612"/>
      <c r="AO4" s="2612"/>
      <c r="AP4" s="2612"/>
      <c r="AQ4" s="2612"/>
      <c r="AR4" s="2612"/>
      <c r="AS4" s="1667"/>
      <c r="AT4" s="1667"/>
      <c r="AU4" s="1667"/>
      <c r="AV4" s="1667"/>
      <c r="AW4" s="1667"/>
      <c r="AX4" s="1667"/>
      <c r="AY4" s="1667"/>
      <c r="AZ4" s="1667"/>
      <c r="BA4" s="1667"/>
      <c r="BB4" s="1667"/>
      <c r="BC4" s="1667"/>
      <c r="BD4" s="1667"/>
      <c r="BE4" s="1667"/>
      <c r="BF4" s="1667"/>
      <c r="BG4" s="1667"/>
      <c r="BH4" s="1667"/>
      <c r="BI4" s="1667"/>
      <c r="BJ4" s="1667"/>
      <c r="BK4" s="1667"/>
      <c r="BL4" s="1667"/>
      <c r="BM4" s="1667"/>
      <c r="BN4" s="1667"/>
      <c r="BO4" s="1667"/>
    </row>
    <row r="5" spans="1:67" s="1597" customFormat="1" ht="42">
      <c r="A5" s="1716" t="s">
        <v>1792</v>
      </c>
      <c r="B5" s="1717" t="s">
        <v>1793</v>
      </c>
      <c r="C5" s="1718" t="s">
        <v>1794</v>
      </c>
      <c r="D5" s="1719" t="s">
        <v>1795</v>
      </c>
      <c r="E5" s="512" t="s">
        <v>1796</v>
      </c>
      <c r="F5" s="1720" t="s">
        <v>1797</v>
      </c>
      <c r="G5" s="512" t="s">
        <v>1798</v>
      </c>
      <c r="H5" s="512" t="s">
        <v>1799</v>
      </c>
      <c r="I5" s="512" t="s">
        <v>1800</v>
      </c>
      <c r="J5" s="1378" t="s">
        <v>1801</v>
      </c>
      <c r="K5" s="1721" t="s">
        <v>1802</v>
      </c>
      <c r="L5" s="1722" t="s">
        <v>1803</v>
      </c>
      <c r="M5" s="1723" t="s">
        <v>1804</v>
      </c>
      <c r="N5" s="1724" t="s">
        <v>3129</v>
      </c>
      <c r="O5" s="1722" t="s">
        <v>1805</v>
      </c>
      <c r="P5" s="1725" t="s">
        <v>1806</v>
      </c>
      <c r="Q5" s="62" t="s">
        <v>1807</v>
      </c>
      <c r="R5" s="1726" t="s">
        <v>1808</v>
      </c>
      <c r="S5" s="1727" t="s">
        <v>1809</v>
      </c>
      <c r="T5" s="1728" t="s">
        <v>1810</v>
      </c>
      <c r="U5" s="1108" t="s">
        <v>1811</v>
      </c>
      <c r="V5" s="512" t="s">
        <v>1812</v>
      </c>
      <c r="W5" s="512" t="s">
        <v>1813</v>
      </c>
      <c r="X5" s="64"/>
      <c r="Y5" s="63" t="s">
        <v>1814</v>
      </c>
      <c r="Z5" s="1228" t="s">
        <v>1811</v>
      </c>
      <c r="AA5" s="512" t="s">
        <v>1812</v>
      </c>
      <c r="AB5" s="512" t="s">
        <v>1813</v>
      </c>
      <c r="AC5" s="64"/>
      <c r="AD5" s="64" t="s">
        <v>1814</v>
      </c>
      <c r="AE5" s="1108" t="s">
        <v>1815</v>
      </c>
      <c r="AF5" s="512" t="s">
        <v>1816</v>
      </c>
      <c r="AG5" s="63" t="s">
        <v>1817</v>
      </c>
      <c r="AH5" s="1108" t="s">
        <v>1818</v>
      </c>
      <c r="AI5" s="1228" t="s">
        <v>1819</v>
      </c>
      <c r="AJ5" s="1228" t="s">
        <v>1820</v>
      </c>
      <c r="AK5" s="512" t="s">
        <v>1821</v>
      </c>
      <c r="AL5" s="512" t="s">
        <v>1822</v>
      </c>
      <c r="AM5" s="63" t="s">
        <v>1823</v>
      </c>
      <c r="AN5" s="1729" t="s">
        <v>1824</v>
      </c>
      <c r="AO5" s="1599" t="s">
        <v>1825</v>
      </c>
      <c r="AP5" s="1091" t="s">
        <v>1826</v>
      </c>
      <c r="AQ5" s="1730" t="s">
        <v>1827</v>
      </c>
      <c r="AR5" s="1730"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6" customFormat="1" ht="14.25">
      <c r="A6" s="1731" t="str">
        <f>'数据-汇总表'!C19</f>
        <v>住宅</v>
      </c>
      <c r="B6" s="1732" t="str">
        <f>IF(A6=0,"","经营性")</f>
        <v>经营性</v>
      </c>
      <c r="C6" s="1733" t="s">
        <v>3310</v>
      </c>
      <c r="D6" s="907">
        <f>SUMIF(项目基本情况!D$12:I$12,C6,项目基本情况!D$14:I$14)</f>
        <v>70</v>
      </c>
      <c r="E6" s="906">
        <f>IF(B6="","",SUMIF(项目基本情况!D$12:I$12,C6,项目基本情况!D$13:I$13))</f>
        <v>0</v>
      </c>
      <c r="F6" s="65">
        <f>SUMIF(项目基本情况!D$12:I$12,C6,项目基本情况!D$15:I$15)</f>
        <v>0</v>
      </c>
      <c r="G6" s="66">
        <f>IF(ISERROR(ROUND(POWER(1+H6,D6-F6)*(POWER(1+H6,F6)-1)/(POWER(1+H6,D6)-1),3)),0,ROUND(POWER(1+H6,D6-F6)*(POWER(1+H6,F6)-1)/(POWER(1+H6,D6)-1),3))</f>
        <v>0</v>
      </c>
      <c r="H6" s="699">
        <v>0.05</v>
      </c>
      <c r="I6" s="699">
        <v>5.5E-2</v>
      </c>
      <c r="J6" s="67">
        <v>8.5000000000000006E-2</v>
      </c>
      <c r="K6" s="1093">
        <f>SUMIF('数据-汇总表'!C$19:C$33,A6,'数据-汇总表'!E$19:E$33)</f>
        <v>69.52</v>
      </c>
      <c r="L6" s="700">
        <v>3500</v>
      </c>
      <c r="M6" s="68">
        <f t="shared" ref="M6:M14" si="0">ROUND(K6*L6/10000,0)</f>
        <v>24</v>
      </c>
      <c r="N6" s="698">
        <f>N22</f>
        <v>0.76</v>
      </c>
      <c r="O6" s="68" t="str">
        <f>IF($N$5="成新度","——",ROUND(M6*N6,0))</f>
        <v>——</v>
      </c>
      <c r="P6" s="69" t="str">
        <f>IF($N$5="成新度","——",M6-O6)</f>
        <v>——</v>
      </c>
      <c r="Q6" s="2987">
        <v>0.2</v>
      </c>
      <c r="R6" s="70">
        <f ca="1">SUMIF('数据-汇总表'!C$19:C$33,A6,'数据-汇总表'!R$19:R$27)</f>
        <v>0</v>
      </c>
      <c r="S6" s="52">
        <f>IF('数据-汇总表'!$I$17="按面积比例",SUMIF('数据-汇总表'!C$19:C$33,A6,'数据-汇总表'!K$19:K$33),SUMIF('数据-汇总表'!C$19:C$33,A6,'数据-汇总表'!N$19:N$33))</f>
        <v>0</v>
      </c>
      <c r="T6" s="1219">
        <f>ROUND($L$14*S6/10000,0)</f>
        <v>0</v>
      </c>
      <c r="U6" s="71"/>
      <c r="V6" s="72">
        <v>2.7E-2</v>
      </c>
      <c r="W6" s="72">
        <v>0</v>
      </c>
      <c r="X6" s="1102"/>
      <c r="Y6" s="73">
        <f>N6</f>
        <v>0.76</v>
      </c>
      <c r="Z6" s="74"/>
      <c r="AA6" s="67">
        <v>3.5000000000000003E-2</v>
      </c>
      <c r="AB6" s="67">
        <v>0.05</v>
      </c>
      <c r="AC6" s="1102"/>
      <c r="AD6" s="75">
        <f>AD20</f>
        <v>0.59</v>
      </c>
      <c r="AE6" s="1103" t="e">
        <f ca="1">IF(AN6="",0,SUMIF(INDIRECT("'"&amp;AN6&amp;"'"&amp;"!E:E"),$AE$5,INDIRECT("'"&amp;AN6&amp;"'"&amp;"!F:F")))</f>
        <v>#N/A</v>
      </c>
      <c r="AF6" s="79" t="str">
        <f>项目基本情况!I15</f>
        <v/>
      </c>
      <c r="AG6" s="135">
        <f>IF(AF6="",0,AE6-AF6)</f>
        <v>0</v>
      </c>
      <c r="AH6" s="76"/>
      <c r="AI6" s="78">
        <v>365</v>
      </c>
      <c r="AJ6" s="79"/>
      <c r="AK6" s="2988">
        <v>1.4999999999999999E-2</v>
      </c>
      <c r="AL6" s="81">
        <v>1.5E-3</v>
      </c>
      <c r="AM6" s="82">
        <v>0.01</v>
      </c>
      <c r="AN6" s="1734" t="s">
        <v>3139</v>
      </c>
      <c r="AO6" s="53" t="e">
        <f ca="1">SUMIF(INDIRECT("'"&amp;AN6&amp;"'"&amp;"!A:A"),"总价",INDIRECT("'"&amp;AN6&amp;"'"&amp;"!B:B"))</f>
        <v>#N/A</v>
      </c>
      <c r="AP6" s="1735">
        <f>IF(C6="住宅",K6*L6,0)</f>
        <v>243320</v>
      </c>
      <c r="AQ6" s="53">
        <f>ROUND($L$14*$N$14*S6/10000,0)</f>
        <v>0</v>
      </c>
      <c r="AR6" s="53">
        <f>ROUND($L$14*(1-$N$14)*S6/10000,0)</f>
        <v>0</v>
      </c>
      <c r="AS6" s="1667"/>
      <c r="AT6" s="1667"/>
      <c r="AU6" s="1667"/>
      <c r="AV6" s="1667"/>
      <c r="AW6" s="1667"/>
      <c r="AX6" s="1667"/>
      <c r="AY6" s="1667"/>
      <c r="AZ6" s="1667"/>
      <c r="BA6" s="1667"/>
      <c r="BB6" s="1667"/>
      <c r="BC6" s="1667"/>
      <c r="BD6" s="1667"/>
      <c r="BE6" s="1667"/>
      <c r="BF6" s="1667"/>
      <c r="BG6" s="1667"/>
      <c r="BH6" s="1667"/>
      <c r="BI6" s="1667"/>
      <c r="BJ6" s="1667"/>
      <c r="BK6" s="1667"/>
      <c r="BL6" s="1667"/>
      <c r="BM6" s="1667"/>
      <c r="BN6" s="1667"/>
      <c r="BO6" s="1667"/>
    </row>
    <row r="7" spans="1:67" s="1596" customFormat="1" ht="14.25">
      <c r="A7" s="1731">
        <f>'数据-汇总表'!C20</f>
        <v>0</v>
      </c>
      <c r="B7" s="1732" t="str">
        <f t="shared" ref="B7:B13" si="1">IF(A7=0,"","经营性")</f>
        <v/>
      </c>
      <c r="C7" s="1733"/>
      <c r="D7" s="907">
        <f>SUMIF(项目基本情况!D$12:I$12,C7,项目基本情况!D$14:I$14)</f>
        <v>0</v>
      </c>
      <c r="E7" s="906"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699"/>
      <c r="I7" s="699"/>
      <c r="J7" s="67"/>
      <c r="K7" s="1093">
        <f>SUMIF('数据-汇总表'!C$19:C$33,A7,'数据-汇总表'!E$19:E$33)</f>
        <v>0</v>
      </c>
      <c r="L7" s="700"/>
      <c r="M7" s="68">
        <f t="shared" si="0"/>
        <v>0</v>
      </c>
      <c r="N7" s="698"/>
      <c r="O7" s="68" t="str">
        <f t="shared" ref="O7:O14" si="3">IF($N$5="成新度","——",ROUND(M7*N7,0))</f>
        <v>——</v>
      </c>
      <c r="P7" s="69" t="str">
        <f t="shared" ref="P7:P14" si="4">IF($N$5="成新度","——",M7-O7)</f>
        <v>——</v>
      </c>
      <c r="Q7" s="701"/>
      <c r="R7" s="70">
        <f ca="1">SUMIF('数据-汇总表'!C$19:C$33,A7,'数据-汇总表'!R$19:R$27)</f>
        <v>0</v>
      </c>
      <c r="S7" s="52">
        <f>IF('数据-汇总表'!$I$17="按面积比例",SUMIF('数据-汇总表'!C$19:C$33,A7,'数据-汇总表'!K$19:K$33),SUMIF('数据-汇总表'!C$19:C$33,A7,'数据-汇总表'!N$19:N$33))</f>
        <v>0</v>
      </c>
      <c r="T7" s="1219">
        <f t="shared" ref="T7:T13" si="5">ROUND($L$14*S7/10000,0)</f>
        <v>0</v>
      </c>
      <c r="U7" s="71"/>
      <c r="V7" s="72"/>
      <c r="W7" s="72"/>
      <c r="X7" s="1102"/>
      <c r="Y7" s="73"/>
      <c r="Z7" s="74"/>
      <c r="AA7" s="67"/>
      <c r="AB7" s="67"/>
      <c r="AC7" s="1102"/>
      <c r="AD7" s="75"/>
      <c r="AE7" s="1103">
        <f t="shared" ref="AE7:AE13" ca="1" si="6">IF(AN7="",0,SUMIF(INDIRECT("'"&amp;AN7&amp;"'"&amp;"!E:E"),$AE$5,INDIRECT("'"&amp;AN7&amp;"'"&amp;"!F:F")))</f>
        <v>0</v>
      </c>
      <c r="AF7" s="79"/>
      <c r="AG7" s="135">
        <f t="shared" ref="AG7:AG13" si="7">IF(AF7="",0,AE7-AF7)</f>
        <v>0</v>
      </c>
      <c r="AH7" s="76"/>
      <c r="AI7" s="78"/>
      <c r="AJ7" s="79"/>
      <c r="AK7" s="80"/>
      <c r="AL7" s="81"/>
      <c r="AM7" s="82"/>
      <c r="AN7" s="1734"/>
      <c r="AO7" s="53" t="e">
        <f t="shared" ref="AO7:AO13" ca="1" si="8">SUMIF(INDIRECT("'"&amp;AN7&amp;"'"&amp;"!A:A"),"总价",INDIRECT("'"&amp;AN7&amp;"'"&amp;"!B:B"))</f>
        <v>#REF!</v>
      </c>
      <c r="AP7" s="1735">
        <f t="shared" ref="AP7:AP13" si="9">IF(C7="住宅",K7*L7,0)</f>
        <v>0</v>
      </c>
      <c r="AQ7" s="53">
        <f t="shared" ref="AQ7:AQ13" si="10">ROUND($L$14*$N$14*S7/10000,0)</f>
        <v>0</v>
      </c>
      <c r="AR7" s="53">
        <f t="shared" ref="AR7:AR13" si="11">ROUND($L$14*(1-$N$14)*S7/10000,0)</f>
        <v>0</v>
      </c>
      <c r="AS7" s="1667"/>
      <c r="AT7" s="1667"/>
      <c r="AU7" s="1667"/>
      <c r="AV7" s="1667"/>
      <c r="AW7" s="1667"/>
      <c r="AX7" s="1667"/>
      <c r="AY7" s="1667"/>
      <c r="AZ7" s="1667"/>
      <c r="BA7" s="1667"/>
      <c r="BB7" s="1667"/>
      <c r="BC7" s="1667"/>
      <c r="BD7" s="1667"/>
      <c r="BE7" s="1667"/>
      <c r="BF7" s="1667"/>
      <c r="BG7" s="1667"/>
      <c r="BH7" s="1667"/>
      <c r="BI7" s="1667"/>
      <c r="BJ7" s="1667"/>
      <c r="BK7" s="1667"/>
      <c r="BL7" s="1667"/>
      <c r="BM7" s="1667"/>
      <c r="BN7" s="1667"/>
      <c r="BO7" s="1667"/>
    </row>
    <row r="8" spans="1:67" s="1596" customFormat="1" ht="14.25">
      <c r="A8" s="1731">
        <f>'数据-汇总表'!C21</f>
        <v>0</v>
      </c>
      <c r="B8" s="1732" t="str">
        <f t="shared" si="1"/>
        <v/>
      </c>
      <c r="C8" s="1733"/>
      <c r="D8" s="907">
        <f>SUMIF(项目基本情况!D$12:I$12,C8,项目基本情况!D$14:I$14)</f>
        <v>0</v>
      </c>
      <c r="E8" s="906" t="str">
        <f>IF(B8="","",SUMIF(项目基本情况!D$12:I$12,C8,项目基本情况!D$13:I$13))</f>
        <v/>
      </c>
      <c r="F8" s="65">
        <f>SUMIF(项目基本情况!D$12:I$12,C8,项目基本情况!D$15:I$15)</f>
        <v>0</v>
      </c>
      <c r="G8" s="66">
        <f t="shared" si="2"/>
        <v>0</v>
      </c>
      <c r="H8" s="699"/>
      <c r="I8" s="699"/>
      <c r="J8" s="67"/>
      <c r="K8" s="1093">
        <f>SUMIF('数据-汇总表'!C$19:C$33,A8,'数据-汇总表'!E$19:E$33)</f>
        <v>0</v>
      </c>
      <c r="L8" s="700"/>
      <c r="M8" s="68">
        <f>ROUND(K8*L8/10000,0)</f>
        <v>0</v>
      </c>
      <c r="N8" s="698"/>
      <c r="O8" s="68" t="str">
        <f t="shared" si="3"/>
        <v>——</v>
      </c>
      <c r="P8" s="69" t="str">
        <f t="shared" si="4"/>
        <v>——</v>
      </c>
      <c r="Q8" s="701"/>
      <c r="R8" s="70">
        <f ca="1">SUMIF('数据-汇总表'!C$19:C$33,A8,'数据-汇总表'!R$19:R$27)</f>
        <v>0</v>
      </c>
      <c r="S8" s="52">
        <f>IF('数据-汇总表'!$I$17="按面积比例",SUMIF('数据-汇总表'!C$19:C$33,A8,'数据-汇总表'!K$19:K$33),SUMIF('数据-汇总表'!C$19:C$33,A8,'数据-汇总表'!N$19:N$33))</f>
        <v>0</v>
      </c>
      <c r="T8" s="1219">
        <f t="shared" si="5"/>
        <v>0</v>
      </c>
      <c r="U8" s="146"/>
      <c r="V8" s="702"/>
      <c r="W8" s="702"/>
      <c r="X8" s="1102"/>
      <c r="Y8" s="703"/>
      <c r="Z8" s="74"/>
      <c r="AA8" s="67"/>
      <c r="AB8" s="67"/>
      <c r="AC8" s="1102"/>
      <c r="AD8" s="75"/>
      <c r="AE8" s="1103">
        <f t="shared" ca="1" si="6"/>
        <v>0</v>
      </c>
      <c r="AF8" s="79"/>
      <c r="AG8" s="135">
        <f t="shared" si="7"/>
        <v>0</v>
      </c>
      <c r="AH8" s="704"/>
      <c r="AI8" s="78"/>
      <c r="AJ8" s="79"/>
      <c r="AK8" s="705"/>
      <c r="AL8" s="706"/>
      <c r="AM8" s="111"/>
      <c r="AN8" s="1734"/>
      <c r="AO8" s="53" t="e">
        <f t="shared" ca="1" si="8"/>
        <v>#REF!</v>
      </c>
      <c r="AP8" s="1735">
        <f t="shared" si="9"/>
        <v>0</v>
      </c>
      <c r="AQ8" s="53">
        <f t="shared" si="10"/>
        <v>0</v>
      </c>
      <c r="AR8" s="53">
        <f t="shared" si="11"/>
        <v>0</v>
      </c>
      <c r="AS8" s="1667"/>
      <c r="AT8" s="1667"/>
      <c r="AU8" s="1667"/>
      <c r="AV8" s="1667"/>
      <c r="AW8" s="1667"/>
      <c r="AX8" s="1667"/>
      <c r="AY8" s="1667"/>
      <c r="AZ8" s="1667"/>
      <c r="BA8" s="1667"/>
      <c r="BB8" s="1667"/>
      <c r="BC8" s="1667"/>
      <c r="BD8" s="1667"/>
      <c r="BE8" s="1667"/>
      <c r="BF8" s="1667"/>
      <c r="BG8" s="1667"/>
      <c r="BH8" s="1667"/>
      <c r="BI8" s="1667"/>
      <c r="BJ8" s="1667"/>
      <c r="BK8" s="1667"/>
      <c r="BL8" s="1667"/>
      <c r="BM8" s="1667"/>
      <c r="BN8" s="1667"/>
      <c r="BO8" s="1667"/>
    </row>
    <row r="9" spans="1:67" s="1596" customFormat="1" ht="14.25">
      <c r="A9" s="1731">
        <f>'数据-汇总表'!C22</f>
        <v>0</v>
      </c>
      <c r="B9" s="1732" t="str">
        <f t="shared" si="1"/>
        <v/>
      </c>
      <c r="C9" s="1733"/>
      <c r="D9" s="907">
        <f>SUMIF(项目基本情况!D$12:I$12,C9,项目基本情况!D$14:I$14)</f>
        <v>0</v>
      </c>
      <c r="E9" s="906" t="str">
        <f>IF(B9="","",SUMIF(项目基本情况!D$12:I$12,C9,项目基本情况!D$13:I$13))</f>
        <v/>
      </c>
      <c r="F9" s="65">
        <f>SUMIF(项目基本情况!D$12:I$12,C9,项目基本情况!D$15:I$15)</f>
        <v>0</v>
      </c>
      <c r="G9" s="66">
        <f t="shared" si="2"/>
        <v>0</v>
      </c>
      <c r="H9" s="67"/>
      <c r="I9" s="67"/>
      <c r="J9" s="67"/>
      <c r="K9" s="1093">
        <f>SUMIF('数据-汇总表'!C$19:C$33,A9,'数据-汇总表'!E$19:E$33)</f>
        <v>0</v>
      </c>
      <c r="L9" s="700"/>
      <c r="M9" s="68">
        <f t="shared" si="0"/>
        <v>0</v>
      </c>
      <c r="N9" s="698"/>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19">
        <f t="shared" si="5"/>
        <v>0</v>
      </c>
      <c r="U9" s="71"/>
      <c r="V9" s="72"/>
      <c r="W9" s="72"/>
      <c r="X9" s="1102"/>
      <c r="Y9" s="73"/>
      <c r="Z9" s="74"/>
      <c r="AA9" s="67"/>
      <c r="AB9" s="67"/>
      <c r="AC9" s="1102"/>
      <c r="AD9" s="75"/>
      <c r="AE9" s="1103">
        <f t="shared" ca="1" si="6"/>
        <v>0</v>
      </c>
      <c r="AF9" s="79"/>
      <c r="AG9" s="135">
        <f t="shared" si="7"/>
        <v>0</v>
      </c>
      <c r="AH9" s="76"/>
      <c r="AI9" s="78"/>
      <c r="AJ9" s="79"/>
      <c r="AK9" s="80"/>
      <c r="AL9" s="81"/>
      <c r="AM9" s="82"/>
      <c r="AN9" s="1734"/>
      <c r="AO9" s="53" t="e">
        <f t="shared" ca="1" si="8"/>
        <v>#REF!</v>
      </c>
      <c r="AP9" s="1735">
        <f t="shared" si="9"/>
        <v>0</v>
      </c>
      <c r="AQ9" s="53">
        <f t="shared" si="10"/>
        <v>0</v>
      </c>
      <c r="AR9" s="53">
        <f t="shared" si="11"/>
        <v>0</v>
      </c>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row>
    <row r="10" spans="1:67" s="1596" customFormat="1" ht="14.25">
      <c r="A10" s="1731">
        <f>'数据-汇总表'!C23</f>
        <v>0</v>
      </c>
      <c r="B10" s="1732" t="str">
        <f t="shared" si="1"/>
        <v/>
      </c>
      <c r="C10" s="1733"/>
      <c r="D10" s="907">
        <f>SUMIF(项目基本情况!D$12:I$12,C10,项目基本情况!D$14:I$14)</f>
        <v>0</v>
      </c>
      <c r="E10" s="906" t="str">
        <f>IF(B10="","",SUMIF(项目基本情况!D$12:I$12,C10,项目基本情况!D$13:I$13))</f>
        <v/>
      </c>
      <c r="F10" s="65">
        <f>SUMIF(项目基本情况!D$12:I$12,C10,项目基本情况!D$15:I$15)</f>
        <v>0</v>
      </c>
      <c r="G10" s="66">
        <f t="shared" si="2"/>
        <v>0</v>
      </c>
      <c r="H10" s="67"/>
      <c r="I10" s="67"/>
      <c r="J10" s="67"/>
      <c r="K10" s="1093">
        <f>SUMIF('数据-汇总表'!C$19:C$33,A10,'数据-汇总表'!E$19:E$33)</f>
        <v>0</v>
      </c>
      <c r="L10" s="700"/>
      <c r="M10" s="68">
        <f t="shared" si="0"/>
        <v>0</v>
      </c>
      <c r="N10" s="698"/>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19">
        <f t="shared" si="5"/>
        <v>0</v>
      </c>
      <c r="U10" s="71"/>
      <c r="V10" s="72"/>
      <c r="W10" s="72"/>
      <c r="X10" s="1102"/>
      <c r="Y10" s="73"/>
      <c r="Z10" s="74"/>
      <c r="AA10" s="67"/>
      <c r="AB10" s="67"/>
      <c r="AC10" s="1102"/>
      <c r="AD10" s="75"/>
      <c r="AE10" s="1103">
        <f t="shared" ca="1" si="6"/>
        <v>0</v>
      </c>
      <c r="AF10" s="79"/>
      <c r="AG10" s="135">
        <f t="shared" si="7"/>
        <v>0</v>
      </c>
      <c r="AH10" s="76"/>
      <c r="AI10" s="78"/>
      <c r="AJ10" s="79"/>
      <c r="AK10" s="80"/>
      <c r="AL10" s="81"/>
      <c r="AM10" s="82"/>
      <c r="AN10" s="1734"/>
      <c r="AO10" s="53" t="e">
        <f t="shared" ca="1" si="8"/>
        <v>#REF!</v>
      </c>
      <c r="AP10" s="1735">
        <f t="shared" si="9"/>
        <v>0</v>
      </c>
      <c r="AQ10" s="53">
        <f t="shared" si="10"/>
        <v>0</v>
      </c>
      <c r="AR10" s="53">
        <f t="shared" si="11"/>
        <v>0</v>
      </c>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row>
    <row r="11" spans="1:67" s="1596" customFormat="1" ht="14.25">
      <c r="A11" s="1731">
        <f>'数据-汇总表'!C24</f>
        <v>0</v>
      </c>
      <c r="B11" s="1732" t="str">
        <f t="shared" si="1"/>
        <v/>
      </c>
      <c r="C11" s="1733"/>
      <c r="D11" s="907">
        <f>SUMIF(项目基本情况!D$12:I$12,C11,项目基本情况!D$14:I$14)</f>
        <v>0</v>
      </c>
      <c r="E11" s="906" t="str">
        <f>IF(B11="","",SUMIF(项目基本情况!D$12:I$12,C11,项目基本情况!D$13:I$13))</f>
        <v/>
      </c>
      <c r="F11" s="65">
        <f>SUMIF(项目基本情况!D$12:I$12,C11,项目基本情况!D$15:I$15)</f>
        <v>0</v>
      </c>
      <c r="G11" s="66">
        <f t="shared" si="2"/>
        <v>0</v>
      </c>
      <c r="H11" s="67"/>
      <c r="I11" s="67"/>
      <c r="J11" s="67"/>
      <c r="K11" s="1093">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19">
        <f t="shared" si="5"/>
        <v>0</v>
      </c>
      <c r="U11" s="76"/>
      <c r="V11" s="67"/>
      <c r="W11" s="67"/>
      <c r="X11" s="1102"/>
      <c r="Y11" s="73"/>
      <c r="Z11" s="86"/>
      <c r="AA11" s="67"/>
      <c r="AB11" s="67"/>
      <c r="AC11" s="1102"/>
      <c r="AD11" s="75"/>
      <c r="AE11" s="1103">
        <f t="shared" ca="1" si="6"/>
        <v>0</v>
      </c>
      <c r="AF11" s="79"/>
      <c r="AG11" s="135">
        <f t="shared" si="7"/>
        <v>0</v>
      </c>
      <c r="AH11" s="76"/>
      <c r="AI11" s="78"/>
      <c r="AJ11" s="79"/>
      <c r="AK11" s="80"/>
      <c r="AL11" s="81"/>
      <c r="AM11" s="82"/>
      <c r="AN11" s="1734"/>
      <c r="AO11" s="53" t="e">
        <f t="shared" ca="1" si="8"/>
        <v>#REF!</v>
      </c>
      <c r="AP11" s="1735">
        <f t="shared" si="9"/>
        <v>0</v>
      </c>
      <c r="AQ11" s="53">
        <f t="shared" si="10"/>
        <v>0</v>
      </c>
      <c r="AR11" s="53">
        <f t="shared" si="11"/>
        <v>0</v>
      </c>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row>
    <row r="12" spans="1:67" s="1596" customFormat="1" ht="14.25">
      <c r="A12" s="1731">
        <f>'数据-汇总表'!C25</f>
        <v>0</v>
      </c>
      <c r="B12" s="1732" t="str">
        <f t="shared" si="1"/>
        <v/>
      </c>
      <c r="C12" s="1733"/>
      <c r="D12" s="907">
        <f>SUMIF(项目基本情况!D$12:I$12,C12,项目基本情况!D$14:I$14)</f>
        <v>0</v>
      </c>
      <c r="E12" s="906"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3">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19">
        <f t="shared" si="5"/>
        <v>0</v>
      </c>
      <c r="U12" s="76"/>
      <c r="V12" s="67"/>
      <c r="W12" s="67"/>
      <c r="X12" s="1102"/>
      <c r="Y12" s="73"/>
      <c r="Z12" s="86"/>
      <c r="AA12" s="67"/>
      <c r="AB12" s="67"/>
      <c r="AC12" s="1102"/>
      <c r="AD12" s="75"/>
      <c r="AE12" s="1103">
        <f t="shared" ca="1" si="6"/>
        <v>0</v>
      </c>
      <c r="AF12" s="79"/>
      <c r="AG12" s="135">
        <f t="shared" si="7"/>
        <v>0</v>
      </c>
      <c r="AH12" s="76"/>
      <c r="AI12" s="78"/>
      <c r="AJ12" s="79"/>
      <c r="AK12" s="80"/>
      <c r="AL12" s="81"/>
      <c r="AM12" s="82"/>
      <c r="AN12" s="1734"/>
      <c r="AO12" s="53" t="e">
        <f t="shared" ca="1" si="8"/>
        <v>#REF!</v>
      </c>
      <c r="AP12" s="1735">
        <f t="shared" si="9"/>
        <v>0</v>
      </c>
      <c r="AQ12" s="53">
        <f t="shared" si="10"/>
        <v>0</v>
      </c>
      <c r="AR12" s="53">
        <f t="shared" si="11"/>
        <v>0</v>
      </c>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row>
    <row r="13" spans="1:67" s="1596" customFormat="1" ht="14.25">
      <c r="A13" s="1731">
        <f>'数据-汇总表'!C26</f>
        <v>0</v>
      </c>
      <c r="B13" s="1732" t="str">
        <f t="shared" si="1"/>
        <v/>
      </c>
      <c r="C13" s="1733"/>
      <c r="D13" s="907">
        <f>SUMIF(项目基本情况!D$12:I$12,C13,项目基本情况!D$14:I$14)</f>
        <v>0</v>
      </c>
      <c r="E13" s="906"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3">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19">
        <f t="shared" si="5"/>
        <v>0</v>
      </c>
      <c r="U13" s="71"/>
      <c r="V13" s="72"/>
      <c r="W13" s="72"/>
      <c r="X13" s="1102"/>
      <c r="Y13" s="73"/>
      <c r="Z13" s="74"/>
      <c r="AA13" s="67"/>
      <c r="AB13" s="67"/>
      <c r="AC13" s="1102"/>
      <c r="AD13" s="75"/>
      <c r="AE13" s="1103">
        <f t="shared" ca="1" si="6"/>
        <v>0</v>
      </c>
      <c r="AF13" s="79"/>
      <c r="AG13" s="135">
        <f t="shared" si="7"/>
        <v>0</v>
      </c>
      <c r="AH13" s="76"/>
      <c r="AI13" s="78"/>
      <c r="AJ13" s="79"/>
      <c r="AK13" s="80"/>
      <c r="AL13" s="81"/>
      <c r="AM13" s="82"/>
      <c r="AN13" s="1734"/>
      <c r="AO13" s="53" t="e">
        <f t="shared" ca="1" si="8"/>
        <v>#REF!</v>
      </c>
      <c r="AP13" s="1735">
        <f t="shared" si="9"/>
        <v>0</v>
      </c>
      <c r="AQ13" s="53">
        <f t="shared" si="10"/>
        <v>0</v>
      </c>
      <c r="AR13" s="53">
        <f t="shared" si="11"/>
        <v>0</v>
      </c>
      <c r="AS13" s="1667"/>
      <c r="AT13" s="1667"/>
      <c r="AU13" s="1667"/>
      <c r="AV13" s="1667"/>
      <c r="AW13" s="1667"/>
      <c r="AX13" s="1667"/>
      <c r="AY13" s="1667"/>
      <c r="AZ13" s="1667"/>
      <c r="BA13" s="1667"/>
      <c r="BB13" s="1667"/>
      <c r="BC13" s="1667"/>
      <c r="BD13" s="1667"/>
      <c r="BE13" s="1667"/>
      <c r="BF13" s="1667"/>
      <c r="BG13" s="1667"/>
      <c r="BH13" s="1667"/>
      <c r="BI13" s="1667"/>
      <c r="BJ13" s="1667"/>
      <c r="BK13" s="1667"/>
      <c r="BL13" s="1667"/>
      <c r="BM13" s="1667"/>
      <c r="BN13" s="1667"/>
      <c r="BO13" s="1667"/>
    </row>
    <row r="14" spans="1:67" s="1596" customFormat="1" ht="14.25">
      <c r="A14" s="1736" t="s">
        <v>1829</v>
      </c>
      <c r="B14" s="1732" t="s">
        <v>1830</v>
      </c>
      <c r="C14" s="1737" t="s">
        <v>1829</v>
      </c>
      <c r="D14" s="907"/>
      <c r="E14" s="906"/>
      <c r="F14" s="65"/>
      <c r="G14" s="66"/>
      <c r="H14" s="1092"/>
      <c r="I14" s="1092"/>
      <c r="J14" s="1092"/>
      <c r="K14" s="1093">
        <f>SUMIF('数据-汇总表'!C$19:C$33,A14,'数据-汇总表'!E$19:E$33)</f>
        <v>0</v>
      </c>
      <c r="L14" s="84"/>
      <c r="M14" s="68">
        <f t="shared" si="0"/>
        <v>0</v>
      </c>
      <c r="N14" s="85"/>
      <c r="O14" s="68" t="str">
        <f t="shared" si="3"/>
        <v>——</v>
      </c>
      <c r="P14" s="69" t="str">
        <f t="shared" si="4"/>
        <v>——</v>
      </c>
      <c r="Q14" s="1096"/>
      <c r="R14" s="70"/>
      <c r="S14" s="52"/>
      <c r="T14" s="1219"/>
      <c r="U14" s="645"/>
      <c r="V14" s="1098"/>
      <c r="W14" s="1098"/>
      <c r="X14" s="1099"/>
      <c r="Y14" s="1100"/>
      <c r="Z14" s="58"/>
      <c r="AA14" s="1101"/>
      <c r="AB14" s="1101"/>
      <c r="AC14" s="1102"/>
      <c r="AD14" s="1099"/>
      <c r="AE14" s="1103"/>
      <c r="AF14" s="53"/>
      <c r="AG14" s="135"/>
      <c r="AH14" s="1103"/>
      <c r="AI14" s="1410"/>
      <c r="AJ14" s="53"/>
      <c r="AK14" s="1104"/>
      <c r="AL14" s="1105"/>
      <c r="AM14" s="1106"/>
      <c r="AN14" s="2624"/>
      <c r="AO14" s="2612"/>
      <c r="AP14" s="2612"/>
      <c r="AQ14" s="2612"/>
      <c r="AR14" s="2612"/>
      <c r="AS14" s="1667"/>
      <c r="AT14" s="1667"/>
      <c r="AU14" s="1667"/>
      <c r="AV14" s="1667"/>
      <c r="AW14" s="1667"/>
      <c r="AX14" s="1667"/>
      <c r="AY14" s="1667"/>
      <c r="AZ14" s="1667"/>
      <c r="BA14" s="1667"/>
      <c r="BB14" s="1667"/>
      <c r="BC14" s="1667"/>
      <c r="BD14" s="1667"/>
      <c r="BE14" s="1667"/>
      <c r="BF14" s="1667"/>
      <c r="BG14" s="1667"/>
      <c r="BH14" s="1667"/>
      <c r="BI14" s="1667"/>
      <c r="BJ14" s="1667"/>
      <c r="BK14" s="1667"/>
      <c r="BL14" s="1667"/>
      <c r="BM14" s="1667"/>
      <c r="BN14" s="1667"/>
      <c r="BO14" s="1667"/>
    </row>
    <row r="15" spans="1:67" s="1596" customFormat="1" ht="27">
      <c r="A15" s="1736" t="s">
        <v>1831</v>
      </c>
      <c r="B15" s="1732" t="s">
        <v>1830</v>
      </c>
      <c r="C15" s="1737" t="s">
        <v>1832</v>
      </c>
      <c r="D15" s="907"/>
      <c r="E15" s="906"/>
      <c r="F15" s="65"/>
      <c r="G15" s="66"/>
      <c r="H15" s="1092"/>
      <c r="I15" s="1092"/>
      <c r="J15" s="1092"/>
      <c r="K15" s="1093">
        <f>SUMIF('数据-汇总表'!C$19:C$33,A15,'数据-汇总表'!E$19:E$33)</f>
        <v>0</v>
      </c>
      <c r="L15" s="1094"/>
      <c r="M15" s="68"/>
      <c r="N15" s="1095"/>
      <c r="O15" s="68"/>
      <c r="P15" s="69"/>
      <c r="Q15" s="1096"/>
      <c r="R15" s="70"/>
      <c r="S15" s="52"/>
      <c r="T15" s="1219"/>
      <c r="U15" s="645"/>
      <c r="V15" s="1098"/>
      <c r="W15" s="1098"/>
      <c r="X15" s="1099"/>
      <c r="Y15" s="1100"/>
      <c r="Z15" s="58"/>
      <c r="AA15" s="1101"/>
      <c r="AB15" s="1101"/>
      <c r="AC15" s="1102"/>
      <c r="AD15" s="1099"/>
      <c r="AE15" s="1103"/>
      <c r="AF15" s="53"/>
      <c r="AG15" s="135"/>
      <c r="AH15" s="1103"/>
      <c r="AI15" s="1410"/>
      <c r="AJ15" s="53"/>
      <c r="AK15" s="1104"/>
      <c r="AL15" s="1105"/>
      <c r="AM15" s="1106"/>
      <c r="AN15" s="2624"/>
      <c r="AO15" s="2612"/>
      <c r="AP15" s="2612"/>
      <c r="AQ15" s="2612"/>
      <c r="AR15" s="2612"/>
      <c r="AS15" s="1667"/>
      <c r="AT15" s="1667"/>
      <c r="AU15" s="1667"/>
      <c r="AV15" s="1667"/>
      <c r="AW15" s="1667"/>
      <c r="AX15" s="1667"/>
      <c r="AY15" s="1667"/>
      <c r="AZ15" s="1667"/>
      <c r="BA15" s="1667"/>
      <c r="BB15" s="1667"/>
      <c r="BC15" s="1667"/>
      <c r="BD15" s="1667"/>
      <c r="BE15" s="1667"/>
      <c r="BF15" s="1667"/>
      <c r="BG15" s="1667"/>
      <c r="BH15" s="1667"/>
      <c r="BI15" s="1667"/>
      <c r="BJ15" s="1667"/>
      <c r="BK15" s="1667"/>
      <c r="BL15" s="1667"/>
      <c r="BM15" s="1667"/>
      <c r="BN15" s="1667"/>
      <c r="BO15" s="1667"/>
    </row>
    <row r="16" spans="1:67" s="1596" customFormat="1" ht="15.75" thickBot="1">
      <c r="A16" s="1738" t="s">
        <v>1833</v>
      </c>
      <c r="B16" s="87"/>
      <c r="C16" s="885"/>
      <c r="D16" s="1739"/>
      <c r="E16" s="87"/>
      <c r="F16" s="87"/>
      <c r="G16" s="88" t="e">
        <f>ROUND(SUMPRODUCT(G6:G13,K6:K13)/SUMPRODUCT((G6:G13&gt;0)*(K6:K13)),3)</f>
        <v>#DIV/0!</v>
      </c>
      <c r="H16" s="89">
        <f>ROUND(SUMPRODUCT(H6:H13,K6:K13)/SUMPRODUCT((H6:H13&gt;0)*(K6:K13)),3)</f>
        <v>0.05</v>
      </c>
      <c r="I16" s="90"/>
      <c r="J16" s="90"/>
      <c r="K16" s="91">
        <f>SUM(K6:K15)</f>
        <v>69.52</v>
      </c>
      <c r="L16" s="92">
        <f>ROUND(M16*10000/SUM(K6:K14),0)</f>
        <v>3452</v>
      </c>
      <c r="M16" s="92">
        <f>SUM(M6:M14)</f>
        <v>24</v>
      </c>
      <c r="N16" s="93">
        <f>ROUND(SUMPRODUCT(M6:M14,N6:N14)/M16,3)</f>
        <v>0.76</v>
      </c>
      <c r="O16" s="92">
        <f>SUM(O6:O14)</f>
        <v>0</v>
      </c>
      <c r="P16" s="92">
        <f>SUM(P6:P14)</f>
        <v>0</v>
      </c>
      <c r="Q16" s="94">
        <f>ROUND(SUMPRODUCT(Q6:Q13,K6:K13)/SUMPRODUCT((Q6:Q13&gt;0)*(K6:K13)),2)</f>
        <v>0.2</v>
      </c>
      <c r="R16" s="1097">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24"/>
      <c r="AO16" s="2612"/>
      <c r="AP16" s="2612"/>
      <c r="AQ16" s="2612"/>
      <c r="AR16" s="2612"/>
      <c r="AS16" s="1667"/>
      <c r="AT16" s="1667"/>
      <c r="AU16" s="1667"/>
      <c r="AV16" s="1667"/>
      <c r="AW16" s="1667"/>
      <c r="AX16" s="1667"/>
      <c r="AY16" s="1667"/>
      <c r="AZ16" s="1667"/>
      <c r="BA16" s="1667"/>
      <c r="BB16" s="1667"/>
      <c r="BC16" s="1667"/>
      <c r="BD16" s="1667"/>
      <c r="BE16" s="1667"/>
      <c r="BF16" s="1667"/>
      <c r="BG16" s="1667"/>
      <c r="BH16" s="1667"/>
      <c r="BI16" s="1667"/>
      <c r="BJ16" s="1667"/>
      <c r="BK16" s="1667"/>
      <c r="BL16" s="1667"/>
      <c r="BM16" s="1667"/>
      <c r="BN16" s="1667"/>
      <c r="BO16" s="1667"/>
    </row>
    <row r="17" spans="1:44" ht="13.5" thickBot="1">
      <c r="A17" s="1740"/>
      <c r="B17" s="2633"/>
      <c r="C17" s="2624"/>
      <c r="D17" s="2626"/>
      <c r="E17" s="2626"/>
      <c r="F17" s="2624"/>
      <c r="G17" s="2624"/>
      <c r="H17" s="2624"/>
      <c r="I17" s="2624"/>
      <c r="J17" s="2624"/>
      <c r="K17" s="2625"/>
      <c r="L17" s="2625"/>
      <c r="M17" s="2624"/>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c r="AL17" s="2624"/>
      <c r="AM17" s="2624"/>
      <c r="AN17" s="2624"/>
      <c r="AO17" s="2624"/>
      <c r="AP17" s="2624"/>
      <c r="AQ17" s="2624"/>
      <c r="AR17" s="2624"/>
    </row>
    <row r="18" spans="1:44" ht="15" thickBot="1">
      <c r="A18" s="61" t="s">
        <v>1834</v>
      </c>
      <c r="B18" s="2636"/>
      <c r="C18" s="2612"/>
      <c r="D18" s="2627"/>
      <c r="E18" s="2612"/>
      <c r="F18" s="2612"/>
      <c r="G18" s="2612"/>
      <c r="H18" s="2612"/>
      <c r="I18" s="2612"/>
      <c r="J18" s="2612"/>
      <c r="K18" s="2625"/>
      <c r="L18" s="2625"/>
      <c r="M18" s="2624"/>
      <c r="N18" s="2624"/>
      <c r="O18" s="2624"/>
      <c r="P18" s="2624"/>
      <c r="Q18" s="2624"/>
      <c r="R18" s="2624"/>
      <c r="S18" s="2624"/>
      <c r="T18" s="2624"/>
      <c r="U18" s="2624"/>
      <c r="V18" s="2624"/>
      <c r="W18" s="2624"/>
      <c r="X18" s="2624"/>
      <c r="Y18" s="2624"/>
      <c r="Z18" s="2624"/>
      <c r="AA18" s="2624"/>
      <c r="AB18" s="2624"/>
      <c r="AC18" s="2931" t="s">
        <v>3287</v>
      </c>
      <c r="AD18" s="2624">
        <f>ROUND(1-(1-0%)*(2029-N19)/60,2)</f>
        <v>0.42</v>
      </c>
      <c r="AE18" s="2624"/>
      <c r="AF18" s="2624"/>
      <c r="AG18" s="2624"/>
      <c r="AH18" s="2624"/>
      <c r="AI18" s="2624"/>
      <c r="AJ18" s="2624"/>
      <c r="AK18" s="2624"/>
      <c r="AL18" s="2624"/>
      <c r="AM18" s="2624"/>
      <c r="AN18" s="2624"/>
      <c r="AO18" s="2624"/>
      <c r="AP18" s="2624"/>
      <c r="AQ18" s="2624"/>
      <c r="AR18" s="2624"/>
    </row>
    <row r="19" spans="1:44" ht="14.25">
      <c r="A19" s="1741" t="s">
        <v>1835</v>
      </c>
      <c r="B19" s="102">
        <v>0</v>
      </c>
      <c r="C19" s="2738" t="s">
        <v>2974</v>
      </c>
      <c r="D19" s="2627"/>
      <c r="E19" s="2612"/>
      <c r="F19" s="2612"/>
      <c r="G19" s="2612"/>
      <c r="H19" s="2612"/>
      <c r="I19" s="2612"/>
      <c r="J19" s="2612"/>
      <c r="K19" s="2625"/>
      <c r="L19" s="2625"/>
      <c r="M19" s="2931" t="s">
        <v>3127</v>
      </c>
      <c r="N19" s="2624">
        <v>1994</v>
      </c>
      <c r="O19" s="2624"/>
      <c r="P19" s="2624"/>
      <c r="Q19" s="2624"/>
      <c r="R19" s="2624"/>
      <c r="S19" s="2624"/>
      <c r="T19" s="2624"/>
      <c r="U19" s="2624"/>
      <c r="V19" s="2931" t="s">
        <v>3131</v>
      </c>
      <c r="W19" s="2931" t="s">
        <v>3132</v>
      </c>
      <c r="X19" s="2931" t="s">
        <v>3133</v>
      </c>
      <c r="Y19" s="2624"/>
      <c r="Z19" s="2624"/>
      <c r="AA19" s="2624"/>
      <c r="AB19" s="2624"/>
      <c r="AC19" s="2931" t="s">
        <v>3285</v>
      </c>
      <c r="AD19" s="2980">
        <v>0.75</v>
      </c>
      <c r="AE19" s="2624"/>
      <c r="AF19" s="2624"/>
      <c r="AG19" s="2624"/>
      <c r="AH19" s="2624"/>
      <c r="AI19" s="2624"/>
      <c r="AJ19" s="2624"/>
      <c r="AK19" s="2624"/>
      <c r="AL19" s="2624"/>
      <c r="AM19" s="2624"/>
      <c r="AN19" s="2624"/>
      <c r="AO19" s="2624"/>
      <c r="AP19" s="2624"/>
      <c r="AQ19" s="2624"/>
      <c r="AR19" s="2624"/>
    </row>
    <row r="20" spans="1:44" ht="14.25">
      <c r="A20" s="1742" t="s">
        <v>1836</v>
      </c>
      <c r="B20" s="103">
        <v>1.5</v>
      </c>
      <c r="C20" s="2739" t="s">
        <v>2972</v>
      </c>
      <c r="D20" s="2627"/>
      <c r="E20" s="2612"/>
      <c r="F20" s="2612"/>
      <c r="G20" s="2612"/>
      <c r="H20" s="2612"/>
      <c r="I20" s="2612"/>
      <c r="J20" s="2612"/>
      <c r="K20" s="2625"/>
      <c r="L20" s="2625"/>
      <c r="M20" s="2931" t="s">
        <v>3128</v>
      </c>
      <c r="N20" s="2932">
        <f>ROUND(1-(1-2%)*(2014-N19)/50,2)</f>
        <v>0.61</v>
      </c>
      <c r="O20" s="2624"/>
      <c r="P20" s="2624"/>
      <c r="Q20" s="2624"/>
      <c r="R20" s="2624"/>
      <c r="S20" s="2624"/>
      <c r="T20" s="2624"/>
      <c r="U20" s="2624" t="s">
        <v>3134</v>
      </c>
      <c r="V20" s="2948">
        <v>2741.34</v>
      </c>
      <c r="W20" s="2624">
        <v>1</v>
      </c>
      <c r="X20" s="2624">
        <v>14</v>
      </c>
      <c r="Y20" s="2624">
        <f ca="1">ROUND(X20/$X$25*$Y$25,0)</f>
        <v>39860</v>
      </c>
      <c r="Z20" s="2624"/>
      <c r="AA20" s="2624"/>
      <c r="AB20" s="2624"/>
      <c r="AC20" s="2931" t="s">
        <v>3288</v>
      </c>
      <c r="AD20" s="2624">
        <f>ROUND((AD18+AD19)/2,2)</f>
        <v>0.59</v>
      </c>
      <c r="AE20" s="2624"/>
      <c r="AF20" s="2624"/>
      <c r="AG20" s="2624"/>
      <c r="AH20" s="2624"/>
      <c r="AI20" s="2624"/>
      <c r="AJ20" s="2624"/>
      <c r="AK20" s="2624"/>
      <c r="AL20" s="2624"/>
      <c r="AM20" s="2624"/>
      <c r="AN20" s="2624"/>
      <c r="AO20" s="2624"/>
      <c r="AP20" s="2624"/>
      <c r="AQ20" s="2624"/>
      <c r="AR20" s="2624"/>
    </row>
    <row r="21" spans="1:44" ht="14.25">
      <c r="A21" s="1743" t="s">
        <v>1837</v>
      </c>
      <c r="B21" s="103">
        <f>B20</f>
        <v>1.5</v>
      </c>
      <c r="C21" s="2612"/>
      <c r="D21" s="2627"/>
      <c r="E21" s="2612"/>
      <c r="F21" s="2612"/>
      <c r="G21" s="2612"/>
      <c r="H21" s="2612"/>
      <c r="I21" s="2612"/>
      <c r="J21" s="2612"/>
      <c r="K21" s="2625"/>
      <c r="L21" s="2625"/>
      <c r="M21" s="2981" t="s">
        <v>3285</v>
      </c>
      <c r="N21" s="2982">
        <v>0.9</v>
      </c>
      <c r="O21" s="2624"/>
      <c r="P21" s="2624"/>
      <c r="Q21" s="2624"/>
      <c r="R21" s="2624"/>
      <c r="S21" s="2624"/>
      <c r="T21" s="2624"/>
      <c r="U21" s="2624" t="s">
        <v>3135</v>
      </c>
      <c r="V21" s="2948">
        <v>3534.98</v>
      </c>
      <c r="W21" s="2624">
        <v>0.75</v>
      </c>
      <c r="X21" s="2624">
        <f>ROUND($X$20*W21,1)</f>
        <v>10.5</v>
      </c>
      <c r="Y21" s="2624">
        <f ca="1">ROUND(X21/$X$25*$Y$25,0)</f>
        <v>29895</v>
      </c>
      <c r="Z21" s="2624"/>
      <c r="AA21" s="2624"/>
      <c r="AB21" s="2624"/>
      <c r="AC21" s="2624"/>
      <c r="AD21" s="2624"/>
      <c r="AE21" s="2624"/>
      <c r="AF21" s="2624"/>
      <c r="AG21" s="2624"/>
      <c r="AH21" s="2624"/>
      <c r="AI21" s="2624"/>
      <c r="AJ21" s="2624"/>
      <c r="AK21" s="2624"/>
      <c r="AL21" s="2624"/>
      <c r="AM21" s="2624"/>
      <c r="AN21" s="2624"/>
      <c r="AO21" s="2624"/>
      <c r="AP21" s="2624"/>
      <c r="AQ21" s="2624"/>
      <c r="AR21" s="2624"/>
    </row>
    <row r="22" spans="1:44" ht="14.25">
      <c r="A22" s="1742" t="s">
        <v>1838</v>
      </c>
      <c r="B22" s="104">
        <f>B19+B20</f>
        <v>1.5</v>
      </c>
      <c r="C22" s="2612"/>
      <c r="D22" s="2627"/>
      <c r="E22" s="2612"/>
      <c r="F22" s="2612"/>
      <c r="G22" s="2612"/>
      <c r="H22" s="2612"/>
      <c r="I22" s="2612"/>
      <c r="J22" s="2612"/>
      <c r="K22" s="2625"/>
      <c r="L22" s="2625"/>
      <c r="M22" s="2931" t="s">
        <v>3286</v>
      </c>
      <c r="N22" s="2624">
        <f>ROUND((N20+N21)/2,2)</f>
        <v>0.76</v>
      </c>
      <c r="O22" s="2624"/>
      <c r="P22" s="2624"/>
      <c r="Q22" s="2624"/>
      <c r="R22" s="2624"/>
      <c r="S22" s="2624"/>
      <c r="T22" s="2624"/>
      <c r="U22" s="2624" t="s">
        <v>3136</v>
      </c>
      <c r="V22" s="2948">
        <v>3631.02</v>
      </c>
      <c r="W22" s="2624">
        <v>0.7</v>
      </c>
      <c r="X22" s="2624">
        <f>ROUND($X$20*W22,1)</f>
        <v>9.8000000000000007</v>
      </c>
      <c r="Y22" s="2624">
        <f ca="1">ROUND(X22/$X$25*$Y$25,0)</f>
        <v>27902</v>
      </c>
      <c r="Z22" s="2624"/>
      <c r="AA22" s="2624"/>
      <c r="AB22" s="2624"/>
      <c r="AC22" s="2624"/>
      <c r="AD22" s="2624"/>
      <c r="AE22" s="2624"/>
      <c r="AF22" s="2624"/>
      <c r="AG22" s="2624"/>
      <c r="AH22" s="2624"/>
      <c r="AI22" s="2624"/>
      <c r="AJ22" s="2624"/>
      <c r="AK22" s="2624"/>
      <c r="AL22" s="2624"/>
      <c r="AM22" s="2624"/>
      <c r="AN22" s="2624"/>
      <c r="AO22" s="2624"/>
      <c r="AP22" s="2624"/>
      <c r="AQ22" s="2624"/>
      <c r="AR22" s="2624"/>
    </row>
    <row r="23" spans="1:44" ht="14.25">
      <c r="A23" s="1743" t="s">
        <v>1839</v>
      </c>
      <c r="B23" s="104">
        <f>B19+B21</f>
        <v>1.5</v>
      </c>
      <c r="C23" s="2612"/>
      <c r="D23" s="2627"/>
      <c r="E23" s="2612"/>
      <c r="F23" s="2612"/>
      <c r="G23" s="2612"/>
      <c r="H23" s="2612"/>
      <c r="I23" s="2612"/>
      <c r="J23" s="2612"/>
      <c r="K23" s="2625"/>
      <c r="L23" s="2625"/>
      <c r="M23" s="2624"/>
      <c r="N23" s="2624"/>
      <c r="O23" s="2624"/>
      <c r="P23" s="2624"/>
      <c r="Q23" s="2624"/>
      <c r="R23" s="2624"/>
      <c r="S23" s="2624"/>
      <c r="T23" s="2624"/>
      <c r="U23" s="2624" t="s">
        <v>3137</v>
      </c>
      <c r="V23" s="2948">
        <v>3642.43</v>
      </c>
      <c r="W23" s="2624">
        <v>0.7</v>
      </c>
      <c r="X23" s="2624">
        <f>ROUND($X$20*W23,1)</f>
        <v>9.8000000000000007</v>
      </c>
      <c r="Y23" s="2624">
        <f ca="1">ROUND(X23/$X$25*$Y$25,0)</f>
        <v>27902</v>
      </c>
      <c r="Z23" s="2624"/>
      <c r="AA23" s="2624"/>
      <c r="AB23" s="2624"/>
      <c r="AC23" s="2624"/>
      <c r="AD23" s="2624"/>
      <c r="AE23" s="2624"/>
      <c r="AF23" s="2624"/>
      <c r="AG23" s="2624"/>
      <c r="AH23" s="2624"/>
      <c r="AI23" s="2624"/>
      <c r="AJ23" s="2624"/>
      <c r="AK23" s="2624"/>
      <c r="AL23" s="2624"/>
      <c r="AM23" s="2624"/>
      <c r="AN23" s="2624"/>
      <c r="AO23" s="2624"/>
      <c r="AP23" s="2624"/>
      <c r="AQ23" s="2624"/>
      <c r="AR23" s="2624"/>
    </row>
    <row r="24" spans="1:44" ht="15" thickBot="1">
      <c r="A24" s="1744" t="s">
        <v>1840</v>
      </c>
      <c r="B24" s="105">
        <f>B20-B21</f>
        <v>0</v>
      </c>
      <c r="C24" s="2612"/>
      <c r="D24" s="2627"/>
      <c r="E24" s="2612"/>
      <c r="F24" s="2612"/>
      <c r="G24" s="2612"/>
      <c r="H24" s="2612"/>
      <c r="I24" s="2612"/>
      <c r="J24" s="2612"/>
      <c r="K24" s="2625"/>
      <c r="L24" s="2625"/>
      <c r="M24" s="2624"/>
      <c r="N24" s="2624"/>
      <c r="O24" s="2624"/>
      <c r="P24" s="2624"/>
      <c r="Q24" s="2624"/>
      <c r="R24" s="2624"/>
      <c r="S24" s="2624"/>
      <c r="T24" s="2624"/>
      <c r="U24" s="2624" t="s">
        <v>3138</v>
      </c>
      <c r="V24" s="2948">
        <v>3741.2</v>
      </c>
      <c r="W24" s="2624">
        <v>0.45</v>
      </c>
      <c r="X24" s="2624">
        <f>ROUND($X$20*W24,1)</f>
        <v>6.3</v>
      </c>
      <c r="Y24" s="2624">
        <f ca="1">ROUND(X24/$X$25*$Y$25,0)</f>
        <v>17937</v>
      </c>
      <c r="Z24" s="2624"/>
      <c r="AA24" s="2624"/>
      <c r="AB24" s="2624"/>
      <c r="AC24" s="2624"/>
      <c r="AD24" s="2624"/>
      <c r="AE24" s="2624"/>
      <c r="AF24" s="2624"/>
      <c r="AG24" s="2624"/>
      <c r="AH24" s="2624"/>
      <c r="AI24" s="2624"/>
      <c r="AJ24" s="2624"/>
      <c r="AK24" s="2624"/>
      <c r="AL24" s="2624"/>
      <c r="AM24" s="2624"/>
      <c r="AN24" s="2624"/>
      <c r="AO24" s="2624"/>
      <c r="AP24" s="2624"/>
      <c r="AQ24" s="2624"/>
      <c r="AR24" s="2624"/>
    </row>
    <row r="25" spans="1:44" ht="15" thickBot="1">
      <c r="A25" s="1594"/>
      <c r="B25" s="1687"/>
      <c r="C25" s="2612"/>
      <c r="D25" s="2627"/>
      <c r="E25" s="2612"/>
      <c r="F25" s="2612"/>
      <c r="G25" s="2612"/>
      <c r="H25" s="2612"/>
      <c r="I25" s="2612"/>
      <c r="J25" s="2612"/>
      <c r="K25" s="2625"/>
      <c r="L25" s="2625"/>
      <c r="M25" s="2624"/>
      <c r="N25" s="2624"/>
      <c r="O25" s="2624"/>
      <c r="P25" s="2624"/>
      <c r="Q25" s="2624"/>
      <c r="R25" s="2624"/>
      <c r="S25" s="2624"/>
      <c r="T25" s="2624"/>
      <c r="U25" s="2624"/>
      <c r="V25" s="2948">
        <f>SUM(V20:V24)</f>
        <v>17290.97</v>
      </c>
      <c r="W25" s="2624"/>
      <c r="X25" s="2624">
        <f>ROUND(X20*V20/V25+X21*V21/V25+X22*V22/V25+X23*V23/V25+X24*V24/V25,1)</f>
        <v>9.9</v>
      </c>
      <c r="Y25" s="2624">
        <f ca="1">结果表!G20</f>
        <v>28187</v>
      </c>
      <c r="Z25" s="2624"/>
      <c r="AA25" s="2624"/>
      <c r="AB25" s="2624"/>
      <c r="AC25" s="2624"/>
      <c r="AD25" s="2624"/>
      <c r="AE25" s="2624"/>
      <c r="AF25" s="2624"/>
      <c r="AG25" s="2624"/>
      <c r="AH25" s="2624"/>
      <c r="AI25" s="2624"/>
      <c r="AJ25" s="2624"/>
      <c r="AK25" s="2624"/>
      <c r="AL25" s="2624"/>
      <c r="AM25" s="2624"/>
      <c r="AN25" s="2624"/>
      <c r="AO25" s="2624"/>
      <c r="AP25" s="2624"/>
      <c r="AQ25" s="2624"/>
      <c r="AR25" s="2624"/>
    </row>
    <row r="26" spans="1:44" ht="15" thickBot="1">
      <c r="A26" s="1707" t="s">
        <v>1841</v>
      </c>
      <c r="B26" s="1745" t="s">
        <v>1842</v>
      </c>
      <c r="C26" s="2628" t="s">
        <v>1843</v>
      </c>
      <c r="D26" s="2627"/>
      <c r="E26" s="2612"/>
      <c r="F26" s="2612"/>
      <c r="G26" s="2612"/>
      <c r="H26" s="2612"/>
      <c r="I26" s="2612"/>
      <c r="J26" s="2612"/>
      <c r="K26" s="2625"/>
      <c r="L26" s="2625"/>
      <c r="M26" s="2624"/>
      <c r="N26" s="2624"/>
      <c r="O26" s="2624"/>
      <c r="P26" s="2624"/>
      <c r="Q26" s="2624"/>
      <c r="R26" s="2624"/>
      <c r="S26" s="2624"/>
      <c r="T26" s="2624"/>
      <c r="U26" s="2624"/>
      <c r="V26" s="2624"/>
      <c r="W26" s="2624"/>
      <c r="X26" s="2624"/>
      <c r="Y26" s="2624">
        <f ca="1">系统读取表!B5</f>
        <v>2074059</v>
      </c>
      <c r="Z26" s="2624"/>
      <c r="AA26" s="2624"/>
      <c r="AB26" s="2624"/>
      <c r="AC26" s="2624"/>
      <c r="AD26" s="2624"/>
      <c r="AE26" s="2624"/>
      <c r="AF26" s="2624"/>
      <c r="AG26" s="2624"/>
      <c r="AH26" s="2624"/>
      <c r="AI26" s="2624"/>
      <c r="AJ26" s="2624"/>
      <c r="AK26" s="2624"/>
      <c r="AL26" s="2624"/>
      <c r="AM26" s="2624"/>
      <c r="AN26" s="2624"/>
      <c r="AO26" s="2624"/>
      <c r="AP26" s="2624"/>
      <c r="AQ26" s="2624"/>
      <c r="AR26" s="2624"/>
    </row>
    <row r="27" spans="1:44" ht="27.75">
      <c r="A27" s="1746" t="s">
        <v>1844</v>
      </c>
      <c r="B27" s="106">
        <v>160</v>
      </c>
      <c r="C27" s="2740" t="s">
        <v>2976</v>
      </c>
      <c r="D27" s="2630"/>
      <c r="E27" s="2613"/>
      <c r="F27" s="2613"/>
      <c r="G27" s="2612"/>
      <c r="H27" s="2612"/>
      <c r="I27" s="2612"/>
      <c r="J27" s="2612"/>
      <c r="K27" s="2625"/>
      <c r="L27" s="2625"/>
      <c r="M27" s="2624"/>
      <c r="N27" s="2624"/>
      <c r="O27" s="2624"/>
      <c r="P27" s="2624"/>
      <c r="Q27" s="2624"/>
      <c r="R27" s="2624"/>
      <c r="S27" s="2624"/>
      <c r="T27" s="2624"/>
      <c r="U27" s="2624"/>
      <c r="V27" s="2624"/>
      <c r="W27" s="2624"/>
      <c r="X27" s="2624"/>
      <c r="Y27" s="2624"/>
      <c r="Z27" s="2624"/>
      <c r="AA27" s="2624"/>
      <c r="AB27" s="2624"/>
      <c r="AC27" s="2624"/>
      <c r="AD27" s="2624"/>
      <c r="AE27" s="2624"/>
      <c r="AF27" s="2624"/>
      <c r="AG27" s="2624"/>
      <c r="AH27" s="2624"/>
      <c r="AI27" s="2624"/>
      <c r="AJ27" s="2624"/>
      <c r="AK27" s="2624"/>
      <c r="AL27" s="2624"/>
      <c r="AM27" s="2624"/>
      <c r="AN27" s="2624"/>
      <c r="AO27" s="2624"/>
      <c r="AP27" s="2624"/>
      <c r="AQ27" s="2624"/>
      <c r="AR27" s="2624"/>
    </row>
    <row r="28" spans="1:44" ht="27.75">
      <c r="A28" s="1747" t="s">
        <v>1845</v>
      </c>
      <c r="B28" s="108">
        <v>200</v>
      </c>
      <c r="C28" s="2631"/>
      <c r="D28" s="2630"/>
      <c r="E28" s="2613"/>
      <c r="F28" s="2613"/>
      <c r="G28" s="2612"/>
      <c r="H28" s="2612"/>
      <c r="I28" s="2612"/>
      <c r="J28" s="2612"/>
      <c r="K28" s="2625"/>
      <c r="L28" s="2625"/>
      <c r="M28" s="2624"/>
      <c r="N28" s="2624"/>
      <c r="O28" s="2624"/>
      <c r="P28" s="2624"/>
      <c r="Q28" s="2624"/>
      <c r="R28" s="2624"/>
      <c r="S28" s="2624"/>
      <c r="T28" s="2624"/>
      <c r="U28" s="2624"/>
      <c r="V28" s="2624"/>
      <c r="W28" s="2624"/>
      <c r="X28" s="2624"/>
      <c r="Y28" s="2624"/>
      <c r="Z28" s="2624"/>
      <c r="AA28" s="2624"/>
      <c r="AB28" s="2624"/>
      <c r="AC28" s="2624"/>
      <c r="AD28" s="2624"/>
      <c r="AE28" s="2624"/>
      <c r="AF28" s="2624"/>
      <c r="AG28" s="2624"/>
      <c r="AH28" s="2624"/>
      <c r="AI28" s="2624"/>
      <c r="AJ28" s="2624"/>
      <c r="AK28" s="2624"/>
      <c r="AL28" s="2624"/>
      <c r="AM28" s="2624"/>
      <c r="AN28" s="2624"/>
      <c r="AO28" s="2624"/>
      <c r="AP28" s="2624"/>
      <c r="AQ28" s="2624"/>
      <c r="AR28" s="2624"/>
    </row>
    <row r="29" spans="1:44" ht="28.5" thickBot="1">
      <c r="A29" s="1748" t="s">
        <v>1846</v>
      </c>
      <c r="B29" s="110">
        <f>ROUND(B28*K16/10000,0)</f>
        <v>1</v>
      </c>
      <c r="C29" s="2741" t="s">
        <v>2963</v>
      </c>
      <c r="D29" s="2630"/>
      <c r="E29" s="2613"/>
      <c r="F29" s="2613"/>
      <c r="G29" s="2612"/>
      <c r="H29" s="2612"/>
      <c r="I29" s="2612"/>
      <c r="J29" s="2612"/>
      <c r="K29" s="2625"/>
      <c r="L29" s="2625"/>
      <c r="M29" s="2624"/>
      <c r="N29" s="2624"/>
      <c r="O29" s="2624"/>
      <c r="P29" s="2624"/>
      <c r="Q29" s="2624"/>
      <c r="R29" s="2624"/>
      <c r="S29" s="2624"/>
      <c r="T29" s="2624"/>
      <c r="U29" s="2624"/>
      <c r="V29" s="2624"/>
      <c r="W29" s="2624"/>
      <c r="X29" s="2624"/>
      <c r="Y29" s="2624"/>
      <c r="Z29" s="2624"/>
      <c r="AA29" s="2624"/>
      <c r="AB29" s="2624"/>
      <c r="AC29" s="2624"/>
      <c r="AD29" s="2624"/>
      <c r="AE29" s="2624"/>
      <c r="AF29" s="2624"/>
      <c r="AG29" s="2624"/>
      <c r="AH29" s="2624"/>
      <c r="AI29" s="2624"/>
      <c r="AJ29" s="2624"/>
      <c r="AK29" s="2624"/>
      <c r="AL29" s="2624"/>
      <c r="AM29" s="2624"/>
      <c r="AN29" s="2624"/>
      <c r="AO29" s="2624"/>
      <c r="AP29" s="2624"/>
      <c r="AQ29" s="2624"/>
      <c r="AR29" s="2624"/>
    </row>
    <row r="30" spans="1:44" ht="27">
      <c r="A30" s="1749" t="s">
        <v>1847</v>
      </c>
      <c r="B30" s="646">
        <v>200</v>
      </c>
      <c r="C30" s="2631"/>
      <c r="D30" s="2630"/>
      <c r="E30" s="2613"/>
      <c r="F30" s="2613"/>
      <c r="G30" s="2612"/>
      <c r="H30" s="2612"/>
      <c r="I30" s="2612"/>
      <c r="J30" s="2612"/>
      <c r="K30" s="2625"/>
      <c r="L30" s="2625"/>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c r="AN30" s="2624"/>
      <c r="AO30" s="2624"/>
      <c r="AP30" s="2624"/>
      <c r="AQ30" s="2624"/>
      <c r="AR30" s="2624"/>
    </row>
    <row r="31" spans="1:44" ht="27">
      <c r="A31" s="1747" t="s">
        <v>1848</v>
      </c>
      <c r="B31" s="109">
        <f>B30-B32</f>
        <v>200</v>
      </c>
      <c r="C31" s="2629"/>
      <c r="D31" s="2630"/>
      <c r="E31" s="2613"/>
      <c r="F31" s="2613"/>
      <c r="G31" s="2612"/>
      <c r="H31" s="2612"/>
      <c r="I31" s="2612"/>
      <c r="J31" s="2612"/>
      <c r="K31" s="2625"/>
      <c r="L31" s="2625"/>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2624"/>
      <c r="AO31" s="2624"/>
      <c r="AP31" s="2624"/>
      <c r="AQ31" s="2624"/>
      <c r="AR31" s="2624"/>
    </row>
    <row r="32" spans="1:44" ht="27.75" thickBot="1">
      <c r="A32" s="1750" t="s">
        <v>1849</v>
      </c>
      <c r="B32" s="647">
        <v>0</v>
      </c>
      <c r="C32" s="2631"/>
      <c r="D32" s="2627"/>
      <c r="E32" s="2612"/>
      <c r="F32" s="2612"/>
      <c r="G32" s="2612"/>
      <c r="H32" s="2612"/>
      <c r="I32" s="2612"/>
      <c r="J32" s="2612"/>
      <c r="K32" s="2625"/>
      <c r="L32" s="2625"/>
      <c r="M32" s="2624"/>
      <c r="N32" s="2624"/>
      <c r="O32" s="2624"/>
      <c r="P32" s="2624"/>
      <c r="Q32" s="2624"/>
      <c r="R32" s="2624"/>
      <c r="S32" s="2624"/>
      <c r="T32" s="2624"/>
      <c r="U32" s="2624"/>
      <c r="V32" s="2624"/>
      <c r="W32" s="2624"/>
      <c r="X32" s="2624"/>
      <c r="Y32" s="2624"/>
      <c r="Z32" s="2624"/>
      <c r="AA32" s="2624"/>
      <c r="AB32" s="2624"/>
      <c r="AC32" s="2624"/>
      <c r="AD32" s="2624"/>
      <c r="AE32" s="2624"/>
      <c r="AF32" s="2624"/>
      <c r="AG32" s="2624"/>
      <c r="AH32" s="2624"/>
      <c r="AI32" s="2624"/>
      <c r="AJ32" s="2624"/>
      <c r="AK32" s="2624"/>
      <c r="AL32" s="2624"/>
      <c r="AM32" s="2624"/>
      <c r="AN32" s="2624"/>
      <c r="AO32" s="2624"/>
      <c r="AP32" s="2624"/>
      <c r="AQ32" s="2624"/>
      <c r="AR32" s="2624"/>
    </row>
    <row r="33" spans="1:44" ht="14.25">
      <c r="A33" s="1746" t="s">
        <v>1850</v>
      </c>
      <c r="B33" s="648">
        <v>0.03</v>
      </c>
      <c r="C33" s="2742" t="s">
        <v>2964</v>
      </c>
      <c r="D33" s="2627"/>
      <c r="E33" s="2612"/>
      <c r="F33" s="2612"/>
      <c r="G33" s="2612"/>
      <c r="H33" s="2612"/>
      <c r="I33" s="2612"/>
      <c r="J33" s="2612"/>
      <c r="K33" s="2625"/>
      <c r="L33" s="2625"/>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4"/>
      <c r="AK33" s="2624"/>
      <c r="AL33" s="2624"/>
      <c r="AM33" s="2624"/>
      <c r="AN33" s="2624"/>
      <c r="AO33" s="2624"/>
      <c r="AP33" s="2624"/>
      <c r="AQ33" s="2624"/>
      <c r="AR33" s="2624"/>
    </row>
    <row r="34" spans="1:44" ht="14.25">
      <c r="A34" s="1747" t="s">
        <v>1851</v>
      </c>
      <c r="B34" s="111">
        <v>0</v>
      </c>
      <c r="C34" s="2742" t="s">
        <v>2965</v>
      </c>
      <c r="D34" s="2635" t="s">
        <v>2973</v>
      </c>
      <c r="E34" s="2633"/>
      <c r="F34" s="2612"/>
      <c r="G34" s="2612"/>
      <c r="H34" s="2612"/>
      <c r="I34" s="2612"/>
      <c r="J34" s="2612"/>
      <c r="K34" s="2625"/>
      <c r="L34" s="2625"/>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4"/>
      <c r="AK34" s="2624"/>
      <c r="AL34" s="2624"/>
      <c r="AM34" s="2624"/>
      <c r="AN34" s="2624"/>
      <c r="AO34" s="2624"/>
      <c r="AP34" s="2624"/>
      <c r="AQ34" s="2624"/>
      <c r="AR34" s="2624"/>
    </row>
    <row r="35" spans="1:44" ht="14.25">
      <c r="A35" s="1747" t="s">
        <v>1852</v>
      </c>
      <c r="B35" s="108">
        <v>200</v>
      </c>
      <c r="C35" s="2742" t="s">
        <v>2966</v>
      </c>
      <c r="D35" s="2630"/>
      <c r="E35" s="2613"/>
      <c r="F35" s="2613"/>
      <c r="G35" s="2612"/>
      <c r="H35" s="2612"/>
      <c r="I35" s="2612"/>
      <c r="J35" s="2612"/>
      <c r="K35" s="2625"/>
      <c r="L35" s="2625"/>
      <c r="M35" s="2624"/>
      <c r="N35" s="2624"/>
      <c r="O35" s="2624"/>
      <c r="P35" s="2624"/>
      <c r="Q35" s="2624"/>
      <c r="R35" s="2624"/>
      <c r="S35" s="2624"/>
      <c r="T35" s="2624"/>
      <c r="U35" s="2624"/>
      <c r="V35" s="2624"/>
      <c r="W35" s="2624"/>
      <c r="X35" s="2624"/>
      <c r="Y35" s="2624"/>
      <c r="Z35" s="2624"/>
      <c r="AA35" s="2624"/>
      <c r="AB35" s="2624"/>
      <c r="AC35" s="2624"/>
      <c r="AD35" s="2624"/>
      <c r="AE35" s="2624"/>
      <c r="AF35" s="2624"/>
      <c r="AG35" s="2624"/>
      <c r="AH35" s="2624"/>
      <c r="AI35" s="2624"/>
      <c r="AJ35" s="2624"/>
      <c r="AK35" s="2624"/>
      <c r="AL35" s="2624"/>
      <c r="AM35" s="2624"/>
      <c r="AN35" s="2624"/>
      <c r="AO35" s="2624"/>
      <c r="AP35" s="2624"/>
      <c r="AQ35" s="2624"/>
      <c r="AR35" s="2624"/>
    </row>
    <row r="36" spans="1:44" ht="15" thickBot="1">
      <c r="A36" s="1748" t="s">
        <v>1853</v>
      </c>
      <c r="B36" s="112">
        <v>1.4999999999999999E-2</v>
      </c>
      <c r="C36" s="2742" t="s">
        <v>2967</v>
      </c>
      <c r="D36" s="2627"/>
      <c r="E36" s="2612"/>
      <c r="F36" s="2612"/>
      <c r="G36" s="2612"/>
      <c r="H36" s="2612"/>
      <c r="I36" s="2612"/>
      <c r="J36" s="2612"/>
      <c r="K36" s="2625"/>
      <c r="L36" s="2625"/>
      <c r="M36" s="2624"/>
      <c r="N36" s="2624"/>
      <c r="O36" s="2624"/>
      <c r="P36" s="2624"/>
      <c r="Q36" s="2624"/>
      <c r="R36" s="2624"/>
      <c r="S36" s="2624"/>
      <c r="T36" s="2624"/>
      <c r="U36" s="2624"/>
      <c r="V36" s="2624"/>
      <c r="W36" s="2624"/>
      <c r="X36" s="2624"/>
      <c r="Y36" s="2624"/>
      <c r="Z36" s="2624"/>
      <c r="AA36" s="2624"/>
      <c r="AB36" s="2624"/>
      <c r="AC36" s="2624"/>
      <c r="AD36" s="2624"/>
      <c r="AE36" s="2624"/>
      <c r="AF36" s="2624"/>
      <c r="AG36" s="2624"/>
      <c r="AH36" s="2624"/>
      <c r="AI36" s="2624"/>
      <c r="AJ36" s="2624"/>
      <c r="AK36" s="2624"/>
      <c r="AL36" s="2624"/>
      <c r="AM36" s="2624"/>
      <c r="AN36" s="2624"/>
      <c r="AO36" s="2624"/>
      <c r="AP36" s="2624"/>
      <c r="AQ36" s="2624"/>
      <c r="AR36" s="2624"/>
    </row>
    <row r="37" spans="1:44" ht="14.25">
      <c r="A37" s="1749" t="s">
        <v>1854</v>
      </c>
      <c r="B37" s="113">
        <v>0.03</v>
      </c>
      <c r="C37" s="2742" t="s">
        <v>2968</v>
      </c>
      <c r="D37" s="2627"/>
      <c r="E37" s="2612"/>
      <c r="F37" s="2612"/>
      <c r="G37" s="2612"/>
      <c r="H37" s="2612"/>
      <c r="I37" s="2612"/>
      <c r="J37" s="2612"/>
      <c r="K37" s="2625"/>
      <c r="L37" s="2625"/>
      <c r="M37" s="2624"/>
      <c r="N37" s="2624"/>
      <c r="O37" s="2624"/>
      <c r="P37" s="2624"/>
      <c r="Q37" s="2624"/>
      <c r="R37" s="2624"/>
      <c r="S37" s="2624"/>
      <c r="T37" s="2624"/>
      <c r="U37" s="2624"/>
      <c r="V37" s="2624"/>
      <c r="W37" s="2624"/>
      <c r="X37" s="2624"/>
      <c r="Y37" s="2624"/>
      <c r="Z37" s="2624"/>
      <c r="AA37" s="2624"/>
      <c r="AB37" s="2624"/>
      <c r="AC37" s="2624"/>
      <c r="AD37" s="2624"/>
      <c r="AE37" s="2624"/>
      <c r="AF37" s="2624"/>
      <c r="AG37" s="2624"/>
      <c r="AH37" s="2624"/>
      <c r="AI37" s="2624"/>
      <c r="AJ37" s="2624"/>
      <c r="AK37" s="2624"/>
      <c r="AL37" s="2624"/>
      <c r="AM37" s="2624"/>
      <c r="AN37" s="2624"/>
      <c r="AO37" s="2624"/>
      <c r="AP37" s="2624"/>
      <c r="AQ37" s="2624"/>
      <c r="AR37" s="2624"/>
    </row>
    <row r="38" spans="1:44" ht="14.25">
      <c r="A38" s="1747" t="s">
        <v>1855</v>
      </c>
      <c r="B38" s="111">
        <v>0.03</v>
      </c>
      <c r="C38" s="2742" t="s">
        <v>2968</v>
      </c>
      <c r="D38" s="2627"/>
      <c r="E38" s="2612"/>
      <c r="F38" s="2612"/>
      <c r="G38" s="2612"/>
      <c r="H38" s="2612"/>
      <c r="I38" s="2612"/>
      <c r="J38" s="2612"/>
      <c r="K38" s="2625"/>
      <c r="L38" s="2625"/>
      <c r="M38" s="2624"/>
      <c r="N38" s="2624"/>
      <c r="O38" s="2624"/>
      <c r="P38" s="2624"/>
      <c r="Q38" s="2624"/>
      <c r="R38" s="2624"/>
      <c r="S38" s="2624"/>
      <c r="T38" s="2624"/>
      <c r="U38" s="2624"/>
      <c r="V38" s="2624"/>
      <c r="W38" s="2624"/>
      <c r="X38" s="2624"/>
      <c r="Y38" s="2624"/>
      <c r="Z38" s="2624"/>
      <c r="AA38" s="2624"/>
      <c r="AB38" s="2624"/>
      <c r="AC38" s="2624"/>
      <c r="AD38" s="2624"/>
      <c r="AE38" s="2624"/>
      <c r="AF38" s="2624"/>
      <c r="AG38" s="2624"/>
      <c r="AH38" s="2624"/>
      <c r="AI38" s="2624"/>
      <c r="AJ38" s="2624"/>
      <c r="AK38" s="2624"/>
      <c r="AL38" s="2624"/>
      <c r="AM38" s="2624"/>
      <c r="AN38" s="2624"/>
      <c r="AO38" s="2624"/>
      <c r="AP38" s="2624"/>
      <c r="AQ38" s="2624"/>
      <c r="AR38" s="2624"/>
    </row>
    <row r="39" spans="1:44" ht="14.25">
      <c r="A39" s="1750" t="s">
        <v>1856</v>
      </c>
      <c r="B39" s="315">
        <f ca="1">存贷款利率!I1</f>
        <v>0.03</v>
      </c>
      <c r="C39" s="2632"/>
      <c r="D39" s="2627"/>
      <c r="E39" s="2612"/>
      <c r="F39" s="2612"/>
      <c r="G39" s="2612"/>
      <c r="H39" s="2612"/>
      <c r="I39" s="2612"/>
      <c r="J39" s="2612"/>
      <c r="K39" s="2625"/>
      <c r="L39" s="2625"/>
      <c r="M39" s="2624"/>
      <c r="N39" s="2624"/>
      <c r="O39" s="2624"/>
      <c r="P39" s="2624"/>
      <c r="Q39" s="2624"/>
      <c r="R39" s="2624"/>
      <c r="S39" s="2624"/>
      <c r="T39" s="2624"/>
      <c r="U39" s="2624"/>
      <c r="V39" s="2624"/>
      <c r="W39" s="2624"/>
      <c r="X39" s="2624"/>
      <c r="Y39" s="2624"/>
      <c r="Z39" s="2624"/>
      <c r="AA39" s="2624"/>
      <c r="AB39" s="2624"/>
      <c r="AC39" s="2624"/>
      <c r="AD39" s="2624"/>
      <c r="AE39" s="2624"/>
      <c r="AF39" s="2624"/>
      <c r="AG39" s="2624"/>
      <c r="AH39" s="2624"/>
      <c r="AI39" s="2624"/>
      <c r="AJ39" s="2624"/>
      <c r="AK39" s="2624"/>
      <c r="AL39" s="2624"/>
      <c r="AM39" s="2624"/>
      <c r="AN39" s="2624"/>
      <c r="AO39" s="2624"/>
      <c r="AP39" s="2624"/>
      <c r="AQ39" s="2624"/>
      <c r="AR39" s="2624"/>
    </row>
    <row r="40" spans="1:44" ht="29.25" thickBot="1">
      <c r="A40" s="2751" t="s">
        <v>3130</v>
      </c>
      <c r="B40" s="1140">
        <f ca="1">IF(A40="利息：取LPR",存贷款利率!G1,存贷款利率!G1+C40)</f>
        <v>6.1500000000000006E-2</v>
      </c>
      <c r="C40" s="2750">
        <v>0</v>
      </c>
      <c r="D40" s="2624"/>
      <c r="E40" s="2627"/>
      <c r="F40" s="2612"/>
      <c r="G40" s="2612"/>
      <c r="H40" s="2612"/>
      <c r="I40" s="2612"/>
      <c r="J40" s="2612"/>
      <c r="K40" s="2625"/>
      <c r="L40" s="2625"/>
      <c r="M40" s="2624"/>
      <c r="N40" s="2624"/>
      <c r="O40" s="2624"/>
      <c r="P40" s="2624"/>
      <c r="Q40" s="2624"/>
      <c r="R40" s="2624"/>
      <c r="S40" s="2624"/>
      <c r="T40" s="2624"/>
      <c r="U40" s="2624"/>
      <c r="V40" s="2624"/>
      <c r="W40" s="2624"/>
      <c r="X40" s="2624"/>
      <c r="Y40" s="2624"/>
      <c r="Z40" s="2624"/>
      <c r="AA40" s="2624"/>
      <c r="AB40" s="2624"/>
      <c r="AC40" s="2624"/>
      <c r="AD40" s="2624"/>
      <c r="AE40" s="2624"/>
      <c r="AF40" s="2624"/>
      <c r="AG40" s="2624"/>
      <c r="AH40" s="2624"/>
      <c r="AI40" s="2624"/>
      <c r="AJ40" s="2624"/>
      <c r="AK40" s="2624"/>
      <c r="AL40" s="2624"/>
      <c r="AM40" s="2624"/>
      <c r="AN40" s="2624"/>
      <c r="AO40" s="2624"/>
      <c r="AP40" s="2624"/>
      <c r="AQ40" s="2624"/>
      <c r="AR40" s="2624"/>
    </row>
    <row r="41" spans="1:44" ht="14.25">
      <c r="A41" s="1746" t="s">
        <v>1857</v>
      </c>
      <c r="B41" s="114">
        <f>B42+B43</f>
        <v>5.5000000000000007E-2</v>
      </c>
      <c r="C41" s="2629"/>
      <c r="D41" s="2624"/>
      <c r="E41" s="2627"/>
      <c r="F41" s="2612"/>
      <c r="G41" s="2612"/>
      <c r="H41" s="2612"/>
      <c r="I41" s="2612"/>
      <c r="J41" s="2612"/>
      <c r="K41" s="2625"/>
      <c r="L41" s="2625"/>
      <c r="M41" s="2624"/>
      <c r="N41" s="2624"/>
      <c r="O41" s="2624"/>
      <c r="P41" s="2624"/>
      <c r="Q41" s="2624"/>
      <c r="R41" s="2624"/>
      <c r="S41" s="2624"/>
      <c r="T41" s="2624"/>
      <c r="U41" s="2624"/>
      <c r="V41" s="2624"/>
      <c r="W41" s="2624"/>
      <c r="X41" s="2624"/>
      <c r="Y41" s="2624"/>
      <c r="Z41" s="2624"/>
      <c r="AA41" s="2624"/>
      <c r="AB41" s="2624"/>
      <c r="AC41" s="2624"/>
      <c r="AD41" s="2624"/>
      <c r="AE41" s="2624"/>
      <c r="AF41" s="2624"/>
      <c r="AG41" s="2624"/>
      <c r="AH41" s="2624"/>
      <c r="AI41" s="2624"/>
      <c r="AJ41" s="2624"/>
      <c r="AK41" s="2624"/>
      <c r="AL41" s="2624"/>
      <c r="AM41" s="2624"/>
      <c r="AN41" s="2624"/>
      <c r="AO41" s="2624"/>
      <c r="AP41" s="2624"/>
      <c r="AQ41" s="2624"/>
      <c r="AR41" s="2624"/>
    </row>
    <row r="42" spans="1:44" ht="14.25">
      <c r="A42" s="1751" t="s">
        <v>1858</v>
      </c>
      <c r="B42" s="115">
        <v>0.05</v>
      </c>
      <c r="C42" s="2634">
        <f>IF(B2&lt;DATE(2016,5,1),0,B42)</f>
        <v>0</v>
      </c>
      <c r="D42" s="2627"/>
      <c r="E42" s="2612"/>
      <c r="F42" s="2612"/>
      <c r="G42" s="2612"/>
      <c r="H42" s="2612"/>
      <c r="I42" s="2612"/>
      <c r="J42" s="2612"/>
      <c r="K42" s="2625"/>
      <c r="L42" s="2625"/>
      <c r="M42" s="2624"/>
      <c r="N42" s="2624"/>
      <c r="O42" s="2624"/>
      <c r="P42" s="2624"/>
      <c r="Q42" s="2624"/>
      <c r="R42" s="2624"/>
      <c r="S42" s="2624"/>
      <c r="T42" s="2624"/>
      <c r="U42" s="2624"/>
      <c r="V42" s="2624"/>
      <c r="W42" s="2624"/>
      <c r="X42" s="2624"/>
      <c r="Y42" s="2624"/>
      <c r="Z42" s="2624"/>
      <c r="AA42" s="2624"/>
      <c r="AB42" s="2624"/>
      <c r="AC42" s="2624"/>
      <c r="AD42" s="2624"/>
      <c r="AE42" s="2624"/>
      <c r="AF42" s="2624"/>
      <c r="AG42" s="2624"/>
      <c r="AH42" s="2624"/>
      <c r="AI42" s="2624"/>
      <c r="AJ42" s="2624"/>
      <c r="AK42" s="2624"/>
      <c r="AL42" s="2624"/>
      <c r="AM42" s="2624"/>
      <c r="AN42" s="2624"/>
      <c r="AO42" s="2624"/>
      <c r="AP42" s="2624"/>
      <c r="AQ42" s="2624"/>
      <c r="AR42" s="2624"/>
    </row>
    <row r="43" spans="1:44" ht="14.25">
      <c r="A43" s="1751" t="s">
        <v>1859</v>
      </c>
      <c r="B43" s="116">
        <f>B42*(B44+B45+B46)+B47</f>
        <v>5.000000000000001E-3</v>
      </c>
      <c r="C43" s="2629"/>
      <c r="D43" s="2627"/>
      <c r="E43" s="2612"/>
      <c r="F43" s="2612"/>
      <c r="G43" s="2612"/>
      <c r="H43" s="2612"/>
      <c r="I43" s="2612"/>
      <c r="J43" s="2612"/>
      <c r="K43" s="2625"/>
      <c r="L43" s="2625"/>
      <c r="M43" s="2624"/>
      <c r="N43" s="2624"/>
      <c r="O43" s="2624"/>
      <c r="P43" s="2624"/>
      <c r="Q43" s="2624"/>
      <c r="R43" s="2624"/>
      <c r="S43" s="2624"/>
      <c r="T43" s="2624"/>
      <c r="U43" s="2624"/>
      <c r="V43" s="2624"/>
      <c r="W43" s="2624"/>
      <c r="X43" s="2624"/>
      <c r="Y43" s="2624"/>
      <c r="Z43" s="2624"/>
      <c r="AA43" s="2624"/>
      <c r="AB43" s="2624"/>
      <c r="AC43" s="2624"/>
      <c r="AD43" s="2624"/>
      <c r="AE43" s="2624"/>
      <c r="AF43" s="2624"/>
      <c r="AG43" s="2624"/>
      <c r="AH43" s="2624"/>
      <c r="AI43" s="2624"/>
      <c r="AJ43" s="2624"/>
      <c r="AK43" s="2624"/>
      <c r="AL43" s="2624"/>
      <c r="AM43" s="2624"/>
      <c r="AN43" s="2624"/>
      <c r="AO43" s="2624"/>
      <c r="AP43" s="2624"/>
      <c r="AQ43" s="2624"/>
      <c r="AR43" s="2624"/>
    </row>
    <row r="44" spans="1:44" ht="14.25">
      <c r="A44" s="1752" t="s">
        <v>1860</v>
      </c>
      <c r="B44" s="117">
        <v>0.05</v>
      </c>
      <c r="C44" s="2742" t="s">
        <v>2977</v>
      </c>
      <c r="D44" s="2627"/>
      <c r="E44" s="2612"/>
      <c r="F44" s="2612"/>
      <c r="G44" s="2612"/>
      <c r="H44" s="2612"/>
      <c r="I44" s="2612"/>
      <c r="J44" s="2612"/>
      <c r="K44" s="2625"/>
      <c r="L44" s="2625"/>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24"/>
      <c r="AJ44" s="2624"/>
      <c r="AK44" s="2624"/>
      <c r="AL44" s="2624"/>
      <c r="AM44" s="2624"/>
      <c r="AN44" s="2624"/>
      <c r="AO44" s="2624"/>
      <c r="AP44" s="2624"/>
      <c r="AQ44" s="2624"/>
      <c r="AR44" s="2624"/>
    </row>
    <row r="45" spans="1:44" ht="14.25">
      <c r="A45" s="1752" t="s">
        <v>1861</v>
      </c>
      <c r="B45" s="115">
        <v>0.03</v>
      </c>
      <c r="C45" s="2741" t="s">
        <v>2969</v>
      </c>
      <c r="D45" s="2627"/>
      <c r="E45" s="2612"/>
      <c r="F45" s="2612"/>
      <c r="G45" s="2612"/>
      <c r="H45" s="2612"/>
      <c r="I45" s="2612"/>
      <c r="J45" s="2612"/>
      <c r="K45" s="2625"/>
      <c r="L45" s="2625"/>
      <c r="M45" s="2624"/>
      <c r="N45" s="2624"/>
      <c r="O45" s="2624"/>
      <c r="P45" s="2624"/>
      <c r="Q45" s="2624"/>
      <c r="R45" s="2624"/>
      <c r="S45" s="2624"/>
      <c r="T45" s="2624"/>
      <c r="U45" s="2624"/>
      <c r="V45" s="2624"/>
      <c r="W45" s="2624"/>
      <c r="X45" s="2624"/>
      <c r="Y45" s="2624"/>
      <c r="Z45" s="2624"/>
      <c r="AA45" s="2624"/>
      <c r="AB45" s="2624"/>
      <c r="AC45" s="2624"/>
      <c r="AD45" s="2624"/>
      <c r="AE45" s="2624"/>
      <c r="AF45" s="2624"/>
      <c r="AG45" s="2624"/>
      <c r="AH45" s="2624"/>
      <c r="AI45" s="2624"/>
      <c r="AJ45" s="2624"/>
      <c r="AK45" s="2624"/>
      <c r="AL45" s="2624"/>
      <c r="AM45" s="2624"/>
      <c r="AN45" s="2624"/>
      <c r="AO45" s="2624"/>
      <c r="AP45" s="2624"/>
      <c r="AQ45" s="2624"/>
      <c r="AR45" s="2624"/>
    </row>
    <row r="46" spans="1:44" ht="14.25">
      <c r="A46" s="1752" t="s">
        <v>1862</v>
      </c>
      <c r="B46" s="115">
        <v>0.02</v>
      </c>
      <c r="C46" s="2741" t="s">
        <v>2970</v>
      </c>
      <c r="D46" s="2627"/>
      <c r="E46" s="2612"/>
      <c r="F46" s="2612"/>
      <c r="G46" s="2612"/>
      <c r="H46" s="2612"/>
      <c r="I46" s="2612"/>
      <c r="J46" s="2612"/>
      <c r="K46" s="2625"/>
      <c r="L46" s="2625"/>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4"/>
      <c r="AK46" s="2624"/>
      <c r="AL46" s="2624"/>
      <c r="AM46" s="2624"/>
      <c r="AN46" s="2624"/>
      <c r="AO46" s="2624"/>
      <c r="AP46" s="2624"/>
      <c r="AQ46" s="2624"/>
      <c r="AR46" s="2624"/>
    </row>
    <row r="47" spans="1:44" ht="15" thickBot="1">
      <c r="A47" s="1753" t="s">
        <v>1863</v>
      </c>
      <c r="B47" s="118">
        <v>0</v>
      </c>
      <c r="C47" s="2744" t="s">
        <v>2978</v>
      </c>
      <c r="D47" s="2627"/>
      <c r="E47" s="2612"/>
      <c r="F47" s="2612"/>
      <c r="G47" s="2612"/>
      <c r="H47" s="2612"/>
      <c r="I47" s="2612"/>
      <c r="J47" s="2612"/>
      <c r="K47" s="2625"/>
      <c r="L47" s="2625"/>
      <c r="M47" s="2624"/>
      <c r="N47" s="2624"/>
      <c r="O47" s="2624"/>
      <c r="P47" s="2624"/>
      <c r="Q47" s="2624"/>
      <c r="R47" s="2624"/>
      <c r="S47" s="2624"/>
      <c r="T47" s="2624"/>
      <c r="U47" s="2624"/>
      <c r="V47" s="2624"/>
      <c r="W47" s="2624"/>
      <c r="X47" s="2624"/>
      <c r="Y47" s="2624"/>
      <c r="Z47" s="2624"/>
      <c r="AA47" s="2624"/>
      <c r="AB47" s="2624"/>
      <c r="AC47" s="2624"/>
      <c r="AD47" s="2624"/>
      <c r="AE47" s="2624"/>
      <c r="AF47" s="2624"/>
      <c r="AG47" s="2624"/>
      <c r="AH47" s="2624"/>
      <c r="AI47" s="2624"/>
      <c r="AJ47" s="2624"/>
      <c r="AK47" s="2624"/>
      <c r="AL47" s="2624"/>
      <c r="AM47" s="2624"/>
      <c r="AN47" s="2624"/>
      <c r="AO47" s="2624"/>
      <c r="AP47" s="2624"/>
      <c r="AQ47" s="2624"/>
      <c r="AR47" s="2624"/>
    </row>
    <row r="48" spans="1:44" ht="14.25">
      <c r="A48" s="1754" t="s">
        <v>1864</v>
      </c>
      <c r="B48" s="119">
        <v>0.03</v>
      </c>
      <c r="C48" s="2741" t="s">
        <v>2969</v>
      </c>
      <c r="D48" s="2627"/>
      <c r="E48" s="2612"/>
      <c r="F48" s="2612"/>
      <c r="G48" s="2612"/>
      <c r="H48" s="2612"/>
      <c r="I48" s="2612"/>
      <c r="J48" s="2612"/>
      <c r="K48" s="2625"/>
      <c r="L48" s="2625"/>
      <c r="M48" s="2624"/>
      <c r="N48" s="2624"/>
      <c r="O48" s="2624"/>
      <c r="P48" s="2624"/>
      <c r="Q48" s="2624"/>
      <c r="R48" s="2624"/>
      <c r="S48" s="2624"/>
      <c r="T48" s="2624"/>
      <c r="U48" s="2624"/>
      <c r="V48" s="2624"/>
      <c r="W48" s="2624"/>
      <c r="X48" s="2624"/>
      <c r="Y48" s="2624"/>
      <c r="Z48" s="2624"/>
      <c r="AA48" s="2624"/>
      <c r="AB48" s="2624"/>
      <c r="AC48" s="2624"/>
      <c r="AD48" s="2624"/>
      <c r="AE48" s="2624"/>
      <c r="AF48" s="2624"/>
      <c r="AG48" s="2624"/>
      <c r="AH48" s="2624"/>
      <c r="AI48" s="2624"/>
      <c r="AJ48" s="2624"/>
      <c r="AK48" s="2624"/>
      <c r="AL48" s="2624"/>
      <c r="AM48" s="2624"/>
      <c r="AN48" s="2624"/>
      <c r="AO48" s="2624"/>
      <c r="AP48" s="2624"/>
      <c r="AQ48" s="2624"/>
      <c r="AR48" s="2624"/>
    </row>
    <row r="49" spans="1:44" ht="15" thickBot="1">
      <c r="A49" s="1750" t="s">
        <v>1865</v>
      </c>
      <c r="B49" s="115">
        <v>5.0000000000000001E-4</v>
      </c>
      <c r="C49" s="2741" t="s">
        <v>2971</v>
      </c>
      <c r="D49" s="2627"/>
      <c r="E49" s="2612"/>
      <c r="F49" s="2612"/>
      <c r="G49" s="2612"/>
      <c r="H49" s="2612"/>
      <c r="I49" s="2612"/>
      <c r="J49" s="2612"/>
      <c r="K49" s="2625"/>
      <c r="L49" s="2625"/>
      <c r="M49" s="2624"/>
      <c r="N49" s="2624"/>
      <c r="O49" s="2624"/>
      <c r="P49" s="2624"/>
      <c r="Q49" s="2624"/>
      <c r="R49" s="2624"/>
      <c r="S49" s="2624"/>
      <c r="T49" s="2624"/>
      <c r="U49" s="2624"/>
      <c r="V49" s="2624"/>
      <c r="W49" s="2624"/>
      <c r="X49" s="2624"/>
      <c r="Y49" s="2624"/>
      <c r="Z49" s="2624"/>
      <c r="AA49" s="2624"/>
      <c r="AB49" s="2624"/>
      <c r="AC49" s="2624"/>
      <c r="AD49" s="2624"/>
      <c r="AE49" s="2624"/>
      <c r="AF49" s="2624"/>
      <c r="AG49" s="2624"/>
      <c r="AH49" s="2624"/>
      <c r="AI49" s="2624"/>
      <c r="AJ49" s="2624"/>
      <c r="AK49" s="2624"/>
      <c r="AL49" s="2624"/>
      <c r="AM49" s="2624"/>
      <c r="AN49" s="2624"/>
      <c r="AO49" s="2624"/>
      <c r="AP49" s="2624"/>
      <c r="AQ49" s="2624"/>
      <c r="AR49" s="2624"/>
    </row>
    <row r="50" spans="1:44" ht="14.25">
      <c r="A50" s="1755" t="s">
        <v>1866</v>
      </c>
      <c r="B50" s="120">
        <v>1.2E-2</v>
      </c>
      <c r="C50" s="2613"/>
      <c r="D50" s="2627"/>
      <c r="E50" s="2612"/>
      <c r="F50" s="2612"/>
      <c r="G50" s="2612"/>
      <c r="H50" s="2612"/>
      <c r="I50" s="2612"/>
      <c r="J50" s="2612"/>
      <c r="K50" s="2625"/>
      <c r="L50" s="2625"/>
      <c r="M50" s="2624"/>
      <c r="N50" s="2624"/>
      <c r="O50" s="2624"/>
      <c r="P50" s="2624"/>
      <c r="Q50" s="2624"/>
      <c r="R50" s="2624"/>
      <c r="S50" s="2624"/>
      <c r="T50" s="2624"/>
      <c r="U50" s="2624"/>
      <c r="V50" s="2624"/>
      <c r="W50" s="2624"/>
      <c r="X50" s="2624"/>
      <c r="Y50" s="2624"/>
      <c r="Z50" s="2624"/>
      <c r="AA50" s="2624"/>
      <c r="AB50" s="2624"/>
      <c r="AC50" s="2624"/>
      <c r="AD50" s="2624"/>
      <c r="AE50" s="2624"/>
      <c r="AF50" s="2624"/>
      <c r="AG50" s="2624"/>
      <c r="AH50" s="2624"/>
      <c r="AI50" s="2624"/>
      <c r="AJ50" s="2624"/>
      <c r="AK50" s="2624"/>
      <c r="AL50" s="2624"/>
      <c r="AM50" s="2624"/>
      <c r="AN50" s="2624"/>
      <c r="AO50" s="2624"/>
      <c r="AP50" s="2624"/>
      <c r="AQ50" s="2624"/>
      <c r="AR50" s="2624"/>
    </row>
    <row r="51" spans="1:44" ht="15" thickBot="1">
      <c r="A51" s="1748" t="s">
        <v>1867</v>
      </c>
      <c r="B51" s="121">
        <v>0.12</v>
      </c>
      <c r="C51" s="2613"/>
      <c r="D51" s="2627"/>
      <c r="E51" s="2612"/>
      <c r="F51" s="2612"/>
      <c r="G51" s="2612"/>
      <c r="H51" s="2612"/>
      <c r="I51" s="2612"/>
      <c r="J51" s="2612"/>
      <c r="K51" s="2625"/>
      <c r="L51" s="2625"/>
      <c r="M51" s="2624"/>
      <c r="N51" s="2624"/>
      <c r="O51" s="2624"/>
      <c r="P51" s="2624"/>
      <c r="Q51" s="2624"/>
      <c r="R51" s="2624"/>
      <c r="S51" s="2624"/>
      <c r="T51" s="2624"/>
      <c r="U51" s="2624"/>
      <c r="V51" s="2624"/>
      <c r="W51" s="2624"/>
      <c r="X51" s="2624"/>
      <c r="Y51" s="2624"/>
      <c r="Z51" s="2624"/>
      <c r="AA51" s="2624"/>
      <c r="AB51" s="2624"/>
      <c r="AC51" s="2624"/>
      <c r="AD51" s="2624"/>
      <c r="AE51" s="2624"/>
      <c r="AF51" s="2624"/>
      <c r="AG51" s="2624"/>
      <c r="AH51" s="2624"/>
      <c r="AI51" s="2624"/>
      <c r="AJ51" s="2624"/>
      <c r="AK51" s="2624"/>
      <c r="AL51" s="2624"/>
      <c r="AM51" s="2624"/>
      <c r="AN51" s="2624"/>
      <c r="AO51" s="2624"/>
      <c r="AP51" s="2624"/>
      <c r="AQ51" s="2624"/>
      <c r="AR51" s="2624"/>
    </row>
    <row r="52" spans="1:44" ht="14.25">
      <c r="A52" s="1755" t="s">
        <v>1868</v>
      </c>
      <c r="B52" s="122">
        <f>SUMIF(A54:A63,B53,B54:B63)</f>
        <v>0</v>
      </c>
      <c r="C52" s="2613"/>
      <c r="D52" s="2627"/>
      <c r="E52" s="2612"/>
      <c r="F52" s="2612"/>
      <c r="G52" s="2612"/>
      <c r="H52" s="2612"/>
      <c r="I52" s="2612"/>
      <c r="J52" s="2612"/>
      <c r="K52" s="2625"/>
      <c r="L52" s="2625"/>
      <c r="M52" s="2624"/>
      <c r="N52" s="2624"/>
      <c r="O52" s="2624"/>
      <c r="P52" s="2624"/>
      <c r="Q52" s="2624"/>
      <c r="R52" s="2624"/>
      <c r="S52" s="2624"/>
      <c r="T52" s="2624"/>
      <c r="U52" s="2624"/>
      <c r="V52" s="2624"/>
      <c r="W52" s="2624"/>
      <c r="X52" s="2624"/>
      <c r="Y52" s="2624"/>
      <c r="Z52" s="2624"/>
      <c r="AA52" s="2624"/>
      <c r="AB52" s="2624"/>
      <c r="AC52" s="2624"/>
      <c r="AD52" s="2624"/>
      <c r="AE52" s="2624"/>
      <c r="AF52" s="2624"/>
      <c r="AG52" s="2624"/>
      <c r="AH52" s="2624"/>
      <c r="AI52" s="2624"/>
      <c r="AJ52" s="2624"/>
      <c r="AK52" s="2624"/>
      <c r="AL52" s="2624"/>
      <c r="AM52" s="2624"/>
      <c r="AN52" s="2624"/>
      <c r="AO52" s="2624"/>
      <c r="AP52" s="2624"/>
      <c r="AQ52" s="2624"/>
      <c r="AR52" s="2624"/>
    </row>
    <row r="53" spans="1:44" ht="27">
      <c r="A53" s="1747" t="s">
        <v>1869</v>
      </c>
      <c r="B53" s="1756" t="s">
        <v>56</v>
      </c>
      <c r="C53" s="2613" t="s">
        <v>1870</v>
      </c>
      <c r="D53" s="2743" t="s">
        <v>2975</v>
      </c>
      <c r="E53" s="2612"/>
      <c r="F53" s="2612"/>
      <c r="G53" s="2612"/>
      <c r="H53" s="2612"/>
      <c r="I53" s="2612"/>
      <c r="J53" s="2612"/>
      <c r="K53" s="2625"/>
      <c r="L53" s="2625"/>
      <c r="M53" s="2624"/>
      <c r="N53" s="2624"/>
      <c r="O53" s="2624"/>
      <c r="P53" s="2624"/>
      <c r="Q53" s="2624"/>
      <c r="R53" s="2624"/>
      <c r="S53" s="2624"/>
      <c r="T53" s="2624"/>
      <c r="U53" s="2624"/>
      <c r="V53" s="2624"/>
      <c r="W53" s="2624"/>
      <c r="X53" s="2624"/>
      <c r="Y53" s="2624"/>
      <c r="Z53" s="2624"/>
      <c r="AA53" s="2624"/>
      <c r="AB53" s="2624"/>
      <c r="AC53" s="2624"/>
      <c r="AD53" s="2624"/>
      <c r="AE53" s="2624"/>
      <c r="AF53" s="2624"/>
      <c r="AG53" s="2624"/>
      <c r="AH53" s="2624"/>
      <c r="AI53" s="2624"/>
      <c r="AJ53" s="2624"/>
      <c r="AK53" s="2624"/>
      <c r="AL53" s="2624"/>
      <c r="AM53" s="2624"/>
      <c r="AN53" s="2624"/>
      <c r="AO53" s="2624"/>
      <c r="AP53" s="2624"/>
      <c r="AQ53" s="2624"/>
      <c r="AR53" s="2624"/>
    </row>
    <row r="54" spans="1:44" ht="14.25">
      <c r="A54" s="1757" t="s">
        <v>1871</v>
      </c>
      <c r="B54" s="77"/>
      <c r="C54" s="2613">
        <v>30</v>
      </c>
      <c r="D54" s="2627"/>
      <c r="E54" s="2612"/>
      <c r="F54" s="2612"/>
      <c r="G54" s="2612"/>
      <c r="H54" s="2612"/>
      <c r="I54" s="2612"/>
      <c r="J54" s="2612"/>
      <c r="K54" s="2625"/>
      <c r="L54" s="2625"/>
      <c r="M54" s="2624"/>
      <c r="N54" s="2624"/>
      <c r="O54" s="2624"/>
      <c r="P54" s="2624"/>
      <c r="Q54" s="2624"/>
      <c r="R54" s="2624"/>
      <c r="S54" s="2624"/>
      <c r="T54" s="2624"/>
      <c r="U54" s="2624"/>
      <c r="V54" s="2624"/>
      <c r="W54" s="2624"/>
      <c r="X54" s="2624"/>
      <c r="Y54" s="2624"/>
      <c r="Z54" s="2624"/>
      <c r="AA54" s="2624"/>
      <c r="AB54" s="2624"/>
      <c r="AC54" s="2624"/>
      <c r="AD54" s="2624"/>
      <c r="AE54" s="2624"/>
      <c r="AF54" s="2624"/>
      <c r="AG54" s="2624"/>
      <c r="AH54" s="2624"/>
      <c r="AI54" s="2624"/>
      <c r="AJ54" s="2624"/>
      <c r="AK54" s="2624"/>
      <c r="AL54" s="2624"/>
      <c r="AM54" s="2624"/>
      <c r="AN54" s="2624"/>
      <c r="AO54" s="2624"/>
      <c r="AP54" s="2624"/>
      <c r="AQ54" s="2624"/>
      <c r="AR54" s="2624"/>
    </row>
    <row r="55" spans="1:44" ht="14.25">
      <c r="A55" s="1757" t="s">
        <v>1872</v>
      </c>
      <c r="B55" s="77"/>
      <c r="C55" s="2613">
        <v>24</v>
      </c>
      <c r="D55" s="2627"/>
      <c r="E55" s="2612"/>
      <c r="F55" s="2612"/>
      <c r="G55" s="2612"/>
      <c r="H55" s="2612"/>
      <c r="I55" s="2612"/>
      <c r="J55" s="2612"/>
      <c r="K55" s="2625"/>
      <c r="L55" s="2625"/>
      <c r="M55" s="2624"/>
      <c r="N55" s="2624"/>
      <c r="O55" s="2624"/>
      <c r="P55" s="2624"/>
      <c r="Q55" s="2624"/>
      <c r="R55" s="2624"/>
      <c r="S55" s="2624"/>
      <c r="T55" s="2624"/>
      <c r="U55" s="2624"/>
      <c r="V55" s="2624"/>
      <c r="W55" s="2624"/>
      <c r="X55" s="2624"/>
      <c r="Y55" s="2624"/>
      <c r="Z55" s="2624"/>
      <c r="AA55" s="2624"/>
      <c r="AB55" s="2624"/>
      <c r="AC55" s="2624"/>
      <c r="AD55" s="2624"/>
      <c r="AE55" s="2624"/>
      <c r="AF55" s="2624"/>
      <c r="AG55" s="2624"/>
      <c r="AH55" s="2624"/>
      <c r="AI55" s="2624"/>
      <c r="AJ55" s="2624"/>
      <c r="AK55" s="2624"/>
      <c r="AL55" s="2624"/>
      <c r="AM55" s="2624"/>
      <c r="AN55" s="2624"/>
      <c r="AO55" s="2624"/>
      <c r="AP55" s="2624"/>
      <c r="AQ55" s="2624"/>
      <c r="AR55" s="2624"/>
    </row>
    <row r="56" spans="1:44" ht="14.25">
      <c r="A56" s="1757" t="s">
        <v>1873</v>
      </c>
      <c r="B56" s="77"/>
      <c r="C56" s="2613">
        <v>18</v>
      </c>
      <c r="D56" s="2627"/>
      <c r="E56" s="2612"/>
      <c r="F56" s="2612"/>
      <c r="G56" s="2612"/>
      <c r="H56" s="2612"/>
      <c r="I56" s="2612"/>
      <c r="J56" s="2612"/>
      <c r="K56" s="2625"/>
      <c r="L56" s="2625"/>
      <c r="M56" s="2624"/>
      <c r="N56" s="2624"/>
      <c r="O56" s="2624"/>
      <c r="P56" s="2624"/>
      <c r="Q56" s="2624"/>
      <c r="R56" s="2624"/>
      <c r="S56" s="2624"/>
      <c r="T56" s="2624"/>
      <c r="U56" s="2624"/>
      <c r="V56" s="2624"/>
      <c r="W56" s="2624"/>
      <c r="X56" s="2624"/>
      <c r="Y56" s="2624"/>
      <c r="Z56" s="2624"/>
      <c r="AA56" s="2624"/>
      <c r="AB56" s="2624"/>
      <c r="AC56" s="2624"/>
      <c r="AD56" s="2624"/>
      <c r="AE56" s="2624"/>
      <c r="AF56" s="2624"/>
      <c r="AG56" s="2624"/>
      <c r="AH56" s="2624"/>
      <c r="AI56" s="2624"/>
      <c r="AJ56" s="2624"/>
      <c r="AK56" s="2624"/>
      <c r="AL56" s="2624"/>
      <c r="AM56" s="2624"/>
      <c r="AN56" s="2624"/>
      <c r="AO56" s="2624"/>
      <c r="AP56" s="2624"/>
      <c r="AQ56" s="2624"/>
      <c r="AR56" s="2624"/>
    </row>
    <row r="57" spans="1:44" ht="14.25">
      <c r="A57" s="1757" t="s">
        <v>1874</v>
      </c>
      <c r="B57" s="77"/>
      <c r="C57" s="2613">
        <v>12</v>
      </c>
      <c r="D57" s="2627"/>
      <c r="E57" s="2612"/>
      <c r="F57" s="2612"/>
      <c r="G57" s="2612"/>
      <c r="H57" s="2612"/>
      <c r="I57" s="2612"/>
      <c r="J57" s="2612"/>
      <c r="K57" s="2625"/>
      <c r="L57" s="2625"/>
      <c r="M57" s="2624"/>
      <c r="N57" s="2624"/>
      <c r="O57" s="2624"/>
      <c r="P57" s="2624"/>
      <c r="Q57" s="2624"/>
      <c r="R57" s="2624"/>
      <c r="S57" s="2624"/>
      <c r="T57" s="2624"/>
      <c r="U57" s="2624"/>
      <c r="V57" s="2624"/>
      <c r="W57" s="2624"/>
      <c r="X57" s="2624"/>
      <c r="Y57" s="2624"/>
      <c r="Z57" s="2624"/>
      <c r="AA57" s="2624"/>
      <c r="AB57" s="2624"/>
      <c r="AC57" s="2624"/>
      <c r="AD57" s="2624"/>
      <c r="AE57" s="2624"/>
      <c r="AF57" s="2624"/>
      <c r="AG57" s="2624"/>
      <c r="AH57" s="2624"/>
      <c r="AI57" s="2624"/>
      <c r="AJ57" s="2624"/>
      <c r="AK57" s="2624"/>
      <c r="AL57" s="2624"/>
      <c r="AM57" s="2624"/>
      <c r="AN57" s="2624"/>
      <c r="AO57" s="2624"/>
      <c r="AP57" s="2624"/>
      <c r="AQ57" s="2624"/>
      <c r="AR57" s="2624"/>
    </row>
    <row r="58" spans="1:44" ht="14.25">
      <c r="A58" s="1757" t="s">
        <v>1875</v>
      </c>
      <c r="B58" s="77"/>
      <c r="C58" s="2613">
        <v>3</v>
      </c>
      <c r="D58" s="2627"/>
      <c r="E58" s="2612"/>
      <c r="F58" s="2612"/>
      <c r="G58" s="2612"/>
      <c r="H58" s="2612"/>
      <c r="I58" s="2612"/>
      <c r="J58" s="2612"/>
      <c r="K58" s="2625"/>
      <c r="L58" s="2625"/>
      <c r="M58" s="2624"/>
      <c r="N58" s="2624"/>
      <c r="O58" s="2624"/>
      <c r="P58" s="2624"/>
      <c r="Q58" s="2624"/>
      <c r="R58" s="2624"/>
      <c r="S58" s="2624"/>
      <c r="T58" s="2624"/>
      <c r="U58" s="2624"/>
      <c r="V58" s="2624"/>
      <c r="W58" s="2624"/>
      <c r="X58" s="2624"/>
      <c r="Y58" s="2624"/>
      <c r="Z58" s="2624"/>
      <c r="AA58" s="2624"/>
      <c r="AB58" s="2624"/>
      <c r="AC58" s="2624"/>
      <c r="AD58" s="2624"/>
      <c r="AE58" s="2624"/>
      <c r="AF58" s="2624"/>
      <c r="AG58" s="2624"/>
      <c r="AH58" s="2624"/>
      <c r="AI58" s="2624"/>
      <c r="AJ58" s="2624"/>
      <c r="AK58" s="2624"/>
      <c r="AL58" s="2624"/>
      <c r="AM58" s="2624"/>
      <c r="AN58" s="2624"/>
      <c r="AO58" s="2624"/>
      <c r="AP58" s="2624"/>
      <c r="AQ58" s="2624"/>
      <c r="AR58" s="2624"/>
    </row>
    <row r="59" spans="1:44" ht="14.25">
      <c r="A59" s="1757" t="s">
        <v>1876</v>
      </c>
      <c r="B59" s="77"/>
      <c r="C59" s="2613">
        <v>1.5</v>
      </c>
      <c r="D59" s="2627"/>
      <c r="E59" s="2612"/>
      <c r="F59" s="2612"/>
      <c r="G59" s="2612"/>
      <c r="H59" s="2612"/>
      <c r="I59" s="2612"/>
      <c r="J59" s="2612"/>
      <c r="K59" s="2625"/>
      <c r="L59" s="2625"/>
      <c r="M59" s="2624"/>
      <c r="N59" s="2624"/>
      <c r="O59" s="2624"/>
      <c r="P59" s="2624"/>
      <c r="Q59" s="2624"/>
      <c r="R59" s="2624"/>
      <c r="S59" s="2624"/>
      <c r="T59" s="2624"/>
      <c r="U59" s="2624"/>
      <c r="V59" s="2624"/>
      <c r="W59" s="2624"/>
      <c r="X59" s="2624"/>
      <c r="Y59" s="2624"/>
      <c r="Z59" s="2624"/>
      <c r="AA59" s="2624"/>
      <c r="AB59" s="2624"/>
      <c r="AC59" s="2624"/>
      <c r="AD59" s="2624"/>
      <c r="AE59" s="2624"/>
      <c r="AF59" s="2624"/>
      <c r="AG59" s="2624"/>
      <c r="AH59" s="2624"/>
      <c r="AI59" s="2624"/>
      <c r="AJ59" s="2624"/>
      <c r="AK59" s="2624"/>
      <c r="AL59" s="2624"/>
      <c r="AM59" s="2624"/>
      <c r="AN59" s="2624"/>
      <c r="AO59" s="2624"/>
      <c r="AP59" s="2624"/>
      <c r="AQ59" s="2624"/>
      <c r="AR59" s="2624"/>
    </row>
    <row r="60" spans="1:44" ht="14.25">
      <c r="A60" s="1757" t="s">
        <v>1877</v>
      </c>
      <c r="B60" s="77"/>
      <c r="C60" s="2612"/>
      <c r="D60" s="2627"/>
      <c r="E60" s="2612"/>
      <c r="F60" s="2612"/>
      <c r="G60" s="2612"/>
      <c r="H60" s="2612"/>
      <c r="I60" s="2612"/>
      <c r="J60" s="2612"/>
      <c r="K60" s="2625"/>
      <c r="L60" s="2625"/>
      <c r="M60" s="2624"/>
      <c r="N60" s="2624"/>
      <c r="O60" s="2624"/>
      <c r="P60" s="2624"/>
      <c r="Q60" s="2624"/>
      <c r="R60" s="2624"/>
      <c r="S60" s="2624"/>
      <c r="T60" s="2624"/>
      <c r="U60" s="2624"/>
      <c r="V60" s="2624"/>
      <c r="W60" s="2624"/>
      <c r="X60" s="2624"/>
      <c r="Y60" s="2624"/>
      <c r="Z60" s="2624"/>
      <c r="AA60" s="2624"/>
      <c r="AB60" s="2624"/>
      <c r="AC60" s="2624"/>
      <c r="AD60" s="2624"/>
      <c r="AE60" s="2624"/>
      <c r="AF60" s="2624"/>
      <c r="AG60" s="2624"/>
      <c r="AH60" s="2624"/>
      <c r="AI60" s="2624"/>
      <c r="AJ60" s="2624"/>
      <c r="AK60" s="2624"/>
      <c r="AL60" s="2624"/>
      <c r="AM60" s="2624"/>
      <c r="AN60" s="2624"/>
      <c r="AO60" s="2624"/>
      <c r="AP60" s="2624"/>
      <c r="AQ60" s="2624"/>
      <c r="AR60" s="2624"/>
    </row>
    <row r="61" spans="1:44" ht="14.25">
      <c r="A61" s="1757" t="s">
        <v>1878</v>
      </c>
      <c r="B61" s="77"/>
      <c r="C61" s="2612"/>
      <c r="D61" s="2627"/>
      <c r="E61" s="2612"/>
      <c r="F61" s="2612"/>
      <c r="G61" s="2612"/>
      <c r="H61" s="2612"/>
      <c r="I61" s="2612"/>
      <c r="J61" s="2612"/>
      <c r="K61" s="2625"/>
      <c r="L61" s="2625"/>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24"/>
      <c r="AJ61" s="2624"/>
      <c r="AK61" s="2624"/>
      <c r="AL61" s="2624"/>
      <c r="AM61" s="2624"/>
      <c r="AN61" s="2624"/>
      <c r="AO61" s="2624"/>
      <c r="AP61" s="2624"/>
      <c r="AQ61" s="2624"/>
      <c r="AR61" s="2624"/>
    </row>
    <row r="62" spans="1:44" ht="14.25">
      <c r="A62" s="1757" t="s">
        <v>1879</v>
      </c>
      <c r="B62" s="77"/>
      <c r="C62" s="2612"/>
      <c r="D62" s="2627"/>
      <c r="E62" s="2612"/>
      <c r="F62" s="2612"/>
      <c r="G62" s="2612"/>
      <c r="H62" s="2612"/>
      <c r="I62" s="2612"/>
      <c r="J62" s="2612"/>
      <c r="K62" s="2625"/>
      <c r="L62" s="2625"/>
      <c r="M62" s="2624"/>
      <c r="N62" s="2624"/>
      <c r="O62" s="2624"/>
      <c r="P62" s="2624"/>
      <c r="Q62" s="2624"/>
      <c r="R62" s="2624"/>
      <c r="S62" s="2624"/>
      <c r="T62" s="2624"/>
      <c r="U62" s="2624"/>
      <c r="V62" s="2624"/>
      <c r="W62" s="2624"/>
      <c r="X62" s="2624"/>
      <c r="Y62" s="2624"/>
      <c r="Z62" s="2624"/>
      <c r="AA62" s="2624"/>
      <c r="AB62" s="2624"/>
      <c r="AC62" s="2624"/>
      <c r="AD62" s="2624"/>
      <c r="AE62" s="2624"/>
      <c r="AF62" s="2624"/>
      <c r="AG62" s="2624"/>
      <c r="AH62" s="2624"/>
      <c r="AI62" s="2624"/>
      <c r="AJ62" s="2624"/>
      <c r="AK62" s="2624"/>
      <c r="AL62" s="2624"/>
      <c r="AM62" s="2624"/>
      <c r="AN62" s="2624"/>
      <c r="AO62" s="2624"/>
      <c r="AP62" s="2624"/>
      <c r="AQ62" s="2624"/>
      <c r="AR62" s="2624"/>
    </row>
    <row r="63" spans="1:44" ht="15" thickBot="1">
      <c r="A63" s="1758" t="s">
        <v>1880</v>
      </c>
      <c r="B63" s="123"/>
      <c r="C63" s="2612"/>
      <c r="D63" s="2627"/>
      <c r="E63" s="2612"/>
      <c r="F63" s="2612"/>
      <c r="G63" s="2612"/>
      <c r="H63" s="2612"/>
      <c r="I63" s="2612"/>
      <c r="J63" s="2612"/>
      <c r="K63" s="2625"/>
      <c r="L63" s="2625"/>
      <c r="M63" s="2624"/>
      <c r="N63" s="2624"/>
      <c r="O63" s="2624"/>
      <c r="P63" s="2624"/>
      <c r="Q63" s="2624"/>
      <c r="R63" s="2624"/>
      <c r="S63" s="2624"/>
      <c r="T63" s="2624"/>
      <c r="U63" s="2624"/>
      <c r="V63" s="2624"/>
      <c r="W63" s="2624"/>
      <c r="X63" s="2624"/>
      <c r="Y63" s="2624"/>
      <c r="Z63" s="2624"/>
      <c r="AA63" s="2624"/>
      <c r="AB63" s="2624"/>
      <c r="AC63" s="2624"/>
      <c r="AD63" s="2624"/>
      <c r="AE63" s="2624"/>
      <c r="AF63" s="2624"/>
      <c r="AG63" s="2624"/>
      <c r="AH63" s="2624"/>
      <c r="AI63" s="2624"/>
      <c r="AJ63" s="2624"/>
      <c r="AK63" s="2624"/>
      <c r="AL63" s="2624"/>
      <c r="AM63" s="2624"/>
      <c r="AN63" s="2624"/>
      <c r="AO63" s="2624"/>
      <c r="AP63" s="2624"/>
      <c r="AQ63" s="2624"/>
      <c r="AR63" s="2624"/>
    </row>
    <row r="64" spans="1:44" s="692" customFormat="1">
      <c r="A64" s="2615"/>
      <c r="B64" s="2624"/>
      <c r="C64" s="2624"/>
      <c r="D64" s="2626"/>
      <c r="E64" s="2624"/>
      <c r="F64" s="2624"/>
      <c r="G64" s="2624"/>
      <c r="H64" s="2624"/>
      <c r="I64" s="2624"/>
      <c r="J64" s="2624"/>
      <c r="K64" s="2625"/>
      <c r="L64" s="2625"/>
      <c r="M64" s="2624"/>
      <c r="N64" s="2624"/>
      <c r="O64" s="2624"/>
      <c r="P64" s="2624"/>
      <c r="Q64" s="2624"/>
      <c r="R64" s="2624"/>
      <c r="S64" s="2624"/>
      <c r="T64" s="2624"/>
      <c r="U64" s="2624"/>
      <c r="V64" s="2624"/>
      <c r="W64" s="2624"/>
      <c r="X64" s="2624"/>
      <c r="Y64" s="2624"/>
      <c r="Z64" s="2624"/>
      <c r="AA64" s="2624"/>
      <c r="AB64" s="2624"/>
      <c r="AC64" s="2624"/>
      <c r="AD64" s="2624"/>
      <c r="AE64" s="2624"/>
      <c r="AF64" s="2624"/>
      <c r="AG64" s="2624"/>
      <c r="AH64" s="2624"/>
      <c r="AI64" s="2624"/>
      <c r="AJ64" s="2624"/>
      <c r="AK64" s="2624"/>
      <c r="AL64" s="2624"/>
      <c r="AM64" s="2624"/>
      <c r="AN64" s="2624"/>
      <c r="AO64" s="2624"/>
      <c r="AP64" s="2624"/>
      <c r="AQ64" s="2624"/>
      <c r="AR64" s="2624"/>
    </row>
    <row r="65" spans="1:44" s="692" customFormat="1">
      <c r="A65" s="2615"/>
      <c r="B65" s="2624"/>
      <c r="C65" s="2624"/>
      <c r="D65" s="2626"/>
      <c r="E65" s="2624"/>
      <c r="F65" s="2624"/>
      <c r="G65" s="2624"/>
      <c r="H65" s="2624"/>
      <c r="I65" s="2624"/>
      <c r="J65" s="2624"/>
      <c r="K65" s="2625"/>
      <c r="L65" s="2625"/>
      <c r="M65" s="2624"/>
      <c r="N65" s="2624"/>
      <c r="O65" s="2624"/>
      <c r="P65" s="2624"/>
      <c r="Q65" s="2624"/>
      <c r="R65" s="2624"/>
      <c r="S65" s="2624"/>
      <c r="T65" s="2624"/>
      <c r="U65" s="2624"/>
      <c r="V65" s="2624"/>
      <c r="W65" s="2624"/>
      <c r="X65" s="2624"/>
      <c r="Y65" s="2624"/>
      <c r="Z65" s="2624"/>
      <c r="AA65" s="2624"/>
      <c r="AB65" s="2624"/>
      <c r="AC65" s="2624"/>
      <c r="AD65" s="2624"/>
      <c r="AE65" s="2624"/>
      <c r="AF65" s="2624"/>
      <c r="AG65" s="2624"/>
      <c r="AH65" s="2624"/>
      <c r="AI65" s="2624"/>
      <c r="AJ65" s="2624"/>
      <c r="AK65" s="2624"/>
      <c r="AL65" s="2624"/>
      <c r="AM65" s="2624"/>
      <c r="AN65" s="2624"/>
      <c r="AO65" s="2624"/>
      <c r="AP65" s="2624"/>
      <c r="AQ65" s="2624"/>
      <c r="AR65" s="2624"/>
    </row>
    <row r="66" spans="1:44" s="692" customFormat="1">
      <c r="A66" s="2615"/>
      <c r="B66" s="2624"/>
      <c r="C66" s="2624"/>
      <c r="D66" s="2626"/>
      <c r="E66" s="2624"/>
      <c r="F66" s="2624"/>
      <c r="G66" s="2624"/>
      <c r="H66" s="2624"/>
      <c r="I66" s="2624"/>
      <c r="J66" s="2624"/>
      <c r="K66" s="2625"/>
      <c r="L66" s="2625"/>
      <c r="M66" s="2624"/>
      <c r="N66" s="2624"/>
      <c r="O66" s="2624"/>
      <c r="P66" s="2624"/>
      <c r="Q66" s="2624"/>
      <c r="R66" s="2624"/>
      <c r="S66" s="2624"/>
      <c r="T66" s="2624"/>
      <c r="U66" s="2624"/>
      <c r="V66" s="2624"/>
      <c r="W66" s="2624"/>
      <c r="X66" s="2624"/>
      <c r="Y66" s="2624"/>
      <c r="Z66" s="2624"/>
      <c r="AA66" s="2624"/>
      <c r="AB66" s="2624"/>
      <c r="AC66" s="2624"/>
      <c r="AD66" s="2624"/>
      <c r="AE66" s="2624"/>
      <c r="AF66" s="2624"/>
      <c r="AG66" s="2624"/>
      <c r="AH66" s="2624"/>
      <c r="AI66" s="2624"/>
      <c r="AJ66" s="2624"/>
      <c r="AK66" s="2624"/>
      <c r="AL66" s="2624"/>
      <c r="AM66" s="2624"/>
      <c r="AN66" s="2624"/>
      <c r="AO66" s="2624"/>
      <c r="AP66" s="2624"/>
      <c r="AQ66" s="2624"/>
      <c r="AR66" s="2624"/>
    </row>
    <row r="67" spans="1:44" s="692" customFormat="1">
      <c r="A67" s="2615"/>
      <c r="B67" s="2624"/>
      <c r="C67" s="2624"/>
      <c r="D67" s="2626"/>
      <c r="E67" s="2624"/>
      <c r="F67" s="2624"/>
      <c r="G67" s="2624"/>
      <c r="H67" s="2624"/>
      <c r="I67" s="2624"/>
      <c r="J67" s="2624"/>
      <c r="K67" s="2625"/>
      <c r="L67" s="2625"/>
      <c r="M67" s="2624"/>
      <c r="N67" s="2624"/>
      <c r="O67" s="2624"/>
      <c r="P67" s="2624"/>
      <c r="Q67" s="2624"/>
      <c r="R67" s="2624"/>
      <c r="S67" s="2624"/>
      <c r="T67" s="2624"/>
      <c r="U67" s="2624"/>
      <c r="V67" s="2624"/>
      <c r="W67" s="2624"/>
      <c r="X67" s="2624"/>
      <c r="Y67" s="2624"/>
      <c r="Z67" s="2624"/>
      <c r="AA67" s="2624"/>
      <c r="AB67" s="2624"/>
      <c r="AC67" s="2624"/>
      <c r="AD67" s="2624"/>
      <c r="AE67" s="2624"/>
      <c r="AF67" s="2624"/>
      <c r="AG67" s="2624"/>
      <c r="AH67" s="2624"/>
      <c r="AI67" s="2624"/>
      <c r="AJ67" s="2624"/>
      <c r="AK67" s="2624"/>
      <c r="AL67" s="2624"/>
      <c r="AM67" s="2624"/>
      <c r="AN67" s="2624"/>
      <c r="AO67" s="2624"/>
      <c r="AP67" s="2624"/>
      <c r="AQ67" s="2624"/>
      <c r="AR67" s="2624"/>
    </row>
    <row r="68" spans="1:44" s="692" customFormat="1">
      <c r="A68" s="2615"/>
      <c r="B68" s="2624"/>
      <c r="C68" s="2624"/>
      <c r="D68" s="2626"/>
      <c r="E68" s="2624"/>
      <c r="F68" s="2624"/>
      <c r="G68" s="2624"/>
      <c r="H68" s="2624"/>
      <c r="I68" s="2624"/>
      <c r="J68" s="2624"/>
      <c r="K68" s="2625"/>
      <c r="L68" s="2625"/>
      <c r="M68" s="2624"/>
      <c r="N68" s="2624"/>
      <c r="O68" s="2624"/>
      <c r="P68" s="2624"/>
      <c r="Q68" s="2624"/>
      <c r="R68" s="2624"/>
      <c r="S68" s="2624"/>
      <c r="T68" s="2624"/>
      <c r="U68" s="2624"/>
      <c r="V68" s="2624"/>
      <c r="W68" s="2624"/>
      <c r="X68" s="2624"/>
      <c r="Y68" s="2624"/>
      <c r="Z68" s="2624"/>
      <c r="AA68" s="2624"/>
      <c r="AB68" s="2624"/>
      <c r="AC68" s="2624"/>
      <c r="AD68" s="2624"/>
      <c r="AE68" s="2624"/>
      <c r="AF68" s="2624"/>
      <c r="AG68" s="2624"/>
      <c r="AH68" s="2624"/>
      <c r="AI68" s="2624"/>
      <c r="AJ68" s="2624"/>
      <c r="AK68" s="2624"/>
      <c r="AL68" s="2624"/>
      <c r="AM68" s="2624"/>
      <c r="AN68" s="2624"/>
      <c r="AO68" s="2624"/>
      <c r="AP68" s="2624"/>
      <c r="AQ68" s="2624"/>
      <c r="AR68" s="2624"/>
    </row>
    <row r="69" spans="1:44" s="692" customFormat="1">
      <c r="A69" s="1759"/>
      <c r="D69" s="1760"/>
      <c r="K69" s="695"/>
      <c r="L69" s="695"/>
    </row>
    <row r="70" spans="1:44" s="692" customFormat="1">
      <c r="A70" s="1759"/>
      <c r="D70" s="1760"/>
      <c r="K70" s="695"/>
      <c r="L70" s="695"/>
    </row>
    <row r="71" spans="1:44" s="692" customFormat="1">
      <c r="A71" s="1759"/>
      <c r="D71" s="1760"/>
      <c r="K71" s="695"/>
      <c r="L71" s="695"/>
    </row>
    <row r="72" spans="1:44" s="692" customFormat="1">
      <c r="A72" s="1759"/>
      <c r="D72" s="1760"/>
      <c r="K72" s="695"/>
      <c r="L72" s="695"/>
    </row>
    <row r="73" spans="1:44" s="692" customFormat="1">
      <c r="A73" s="1759"/>
      <c r="D73" s="1760"/>
      <c r="K73" s="695"/>
      <c r="L73" s="695"/>
    </row>
    <row r="74" spans="1:44" s="692" customFormat="1">
      <c r="A74" s="1759"/>
      <c r="D74" s="1760"/>
      <c r="K74" s="695"/>
      <c r="L74" s="695"/>
    </row>
    <row r="75" spans="1:44" s="692" customFormat="1">
      <c r="A75" s="1759"/>
      <c r="D75" s="1760"/>
      <c r="K75" s="695"/>
      <c r="L75" s="695"/>
    </row>
    <row r="76" spans="1:44" s="692" customFormat="1">
      <c r="A76" s="1759"/>
      <c r="D76" s="1760"/>
      <c r="K76" s="695"/>
      <c r="L76" s="695"/>
    </row>
    <row r="77" spans="1:44" s="692" customFormat="1">
      <c r="A77" s="1759"/>
      <c r="D77" s="1760"/>
      <c r="K77" s="695"/>
      <c r="L77" s="695"/>
    </row>
    <row r="78" spans="1:44" s="692" customFormat="1">
      <c r="A78" s="1759"/>
      <c r="D78" s="1760"/>
      <c r="K78" s="695"/>
      <c r="L78" s="695"/>
    </row>
    <row r="79" spans="1:44" s="692" customFormat="1">
      <c r="A79" s="1759"/>
      <c r="D79" s="1760"/>
      <c r="K79" s="695"/>
      <c r="L79" s="695"/>
    </row>
    <row r="80" spans="1:44" s="692" customFormat="1">
      <c r="A80" s="1759"/>
      <c r="D80" s="1760"/>
      <c r="K80" s="695"/>
      <c r="L80" s="695"/>
    </row>
    <row r="81" spans="1:12" s="692" customFormat="1">
      <c r="A81" s="1759"/>
      <c r="D81" s="1760"/>
      <c r="K81" s="695"/>
      <c r="L81" s="695"/>
    </row>
    <row r="82" spans="1:12" s="692" customFormat="1">
      <c r="A82" s="1759"/>
      <c r="D82" s="1760"/>
      <c r="K82" s="695"/>
      <c r="L82" s="695"/>
    </row>
    <row r="83" spans="1:12" s="692" customFormat="1">
      <c r="A83" s="1759"/>
      <c r="D83" s="1760"/>
      <c r="K83" s="695"/>
      <c r="L83" s="695"/>
    </row>
    <row r="84" spans="1:12" s="692" customFormat="1">
      <c r="A84" s="1759"/>
      <c r="D84" s="1760"/>
      <c r="K84" s="695"/>
      <c r="L84" s="695"/>
    </row>
    <row r="85" spans="1:12" s="692" customFormat="1">
      <c r="A85" s="1759"/>
      <c r="D85" s="1760"/>
      <c r="K85" s="695"/>
      <c r="L85" s="695"/>
    </row>
    <row r="86" spans="1:12" s="692" customFormat="1">
      <c r="A86" s="1759"/>
      <c r="D86" s="1760"/>
      <c r="K86" s="695"/>
      <c r="L86" s="695"/>
    </row>
    <row r="87" spans="1:12" s="692" customFormat="1">
      <c r="A87" s="1759"/>
      <c r="D87" s="1760"/>
      <c r="K87" s="695"/>
      <c r="L87" s="695"/>
    </row>
    <row r="88" spans="1:12" s="692" customFormat="1">
      <c r="A88" s="1759"/>
      <c r="D88" s="1760"/>
      <c r="K88" s="695"/>
      <c r="L88" s="695"/>
    </row>
    <row r="89" spans="1:12" s="692" customFormat="1">
      <c r="A89" s="1759"/>
      <c r="D89" s="1760"/>
      <c r="K89" s="695"/>
      <c r="L89" s="695"/>
    </row>
    <row r="90" spans="1:12" s="692" customFormat="1">
      <c r="A90" s="1759"/>
      <c r="D90" s="1760"/>
      <c r="K90" s="695"/>
      <c r="L90" s="695"/>
    </row>
    <row r="91" spans="1:12" s="692" customFormat="1">
      <c r="A91" s="1759"/>
      <c r="D91" s="1760"/>
      <c r="K91" s="695"/>
      <c r="L91" s="695"/>
    </row>
    <row r="92" spans="1:12" s="692" customFormat="1">
      <c r="A92" s="1759"/>
      <c r="D92" s="1760"/>
      <c r="K92" s="695"/>
      <c r="L92" s="695"/>
    </row>
    <row r="93" spans="1:12" s="692" customFormat="1">
      <c r="A93" s="1759"/>
      <c r="D93" s="1760"/>
      <c r="K93" s="695"/>
      <c r="L93" s="695"/>
    </row>
    <row r="94" spans="1:12" s="692" customFormat="1">
      <c r="A94" s="1759"/>
      <c r="D94" s="1760"/>
      <c r="K94" s="695"/>
      <c r="L94" s="695"/>
    </row>
    <row r="95" spans="1:12" s="692" customFormat="1">
      <c r="A95" s="1759"/>
      <c r="D95" s="1760"/>
      <c r="K95" s="695"/>
      <c r="L95" s="695"/>
    </row>
    <row r="96" spans="1:12" s="692" customFormat="1">
      <c r="A96" s="1759"/>
      <c r="D96" s="1760"/>
      <c r="K96" s="695"/>
      <c r="L96" s="695"/>
    </row>
    <row r="97" spans="1:12" s="692" customFormat="1">
      <c r="A97" s="1759"/>
      <c r="D97" s="1760"/>
      <c r="K97" s="695"/>
      <c r="L97" s="695"/>
    </row>
    <row r="98" spans="1:12" s="692" customFormat="1">
      <c r="A98" s="1759"/>
      <c r="D98" s="1760"/>
      <c r="K98" s="695"/>
      <c r="L98" s="695"/>
    </row>
    <row r="99" spans="1:12" s="692" customFormat="1">
      <c r="A99" s="1759"/>
      <c r="D99" s="1760"/>
      <c r="K99" s="695"/>
      <c r="L99" s="695"/>
    </row>
    <row r="100" spans="1:12" s="692" customFormat="1">
      <c r="A100" s="1759"/>
      <c r="D100" s="1760"/>
      <c r="K100" s="695"/>
      <c r="L100" s="695"/>
    </row>
    <row r="101" spans="1:12" s="692" customFormat="1">
      <c r="A101" s="1759"/>
      <c r="D101" s="1760"/>
      <c r="K101" s="695"/>
      <c r="L101" s="695"/>
    </row>
    <row r="102" spans="1:12" s="692" customFormat="1">
      <c r="A102" s="1759"/>
      <c r="D102" s="1760"/>
      <c r="K102" s="695"/>
      <c r="L102" s="695"/>
    </row>
    <row r="103" spans="1:12" s="692" customFormat="1">
      <c r="A103" s="1759"/>
      <c r="D103" s="1760"/>
      <c r="K103" s="695"/>
      <c r="L103" s="695"/>
    </row>
    <row r="104" spans="1:12" s="692" customFormat="1">
      <c r="A104" s="1759"/>
      <c r="D104" s="1760"/>
      <c r="K104" s="695"/>
      <c r="L104" s="695"/>
    </row>
    <row r="105" spans="1:12" s="692" customFormat="1">
      <c r="A105" s="1759"/>
      <c r="D105" s="1760"/>
      <c r="K105" s="695"/>
      <c r="L105" s="695"/>
    </row>
    <row r="106" spans="1:12" s="692" customFormat="1">
      <c r="A106" s="1759"/>
      <c r="D106" s="1760"/>
      <c r="K106" s="695"/>
      <c r="L106" s="695"/>
    </row>
    <row r="107" spans="1:12" s="692" customFormat="1">
      <c r="A107" s="1759"/>
      <c r="D107" s="1760"/>
      <c r="K107" s="695"/>
      <c r="L107" s="695"/>
    </row>
    <row r="108" spans="1:12" s="692" customFormat="1">
      <c r="A108" s="1759"/>
      <c r="D108" s="1760"/>
      <c r="K108" s="695"/>
      <c r="L108" s="695"/>
    </row>
    <row r="109" spans="1:12" s="692" customFormat="1">
      <c r="A109" s="1759"/>
      <c r="D109" s="1760"/>
      <c r="K109" s="695"/>
      <c r="L109" s="695"/>
    </row>
    <row r="110" spans="1:12" s="692" customFormat="1">
      <c r="A110" s="1759"/>
      <c r="D110" s="1760"/>
      <c r="K110" s="695"/>
      <c r="L110" s="695"/>
    </row>
    <row r="111" spans="1:12" s="692" customFormat="1">
      <c r="A111" s="1759"/>
      <c r="D111" s="1760"/>
      <c r="K111" s="695"/>
      <c r="L111" s="695"/>
    </row>
    <row r="112" spans="1:12" s="692" customFormat="1">
      <c r="A112" s="1759"/>
      <c r="D112" s="1760"/>
      <c r="K112" s="695"/>
      <c r="L112" s="695"/>
    </row>
    <row r="113" spans="1:12" s="692" customFormat="1">
      <c r="A113" s="1759"/>
      <c r="D113" s="1760"/>
      <c r="K113" s="695"/>
      <c r="L113" s="695"/>
    </row>
    <row r="114" spans="1:12" s="692" customFormat="1">
      <c r="A114" s="1759"/>
      <c r="D114" s="1760"/>
      <c r="K114" s="695"/>
      <c r="L114" s="695"/>
    </row>
    <row r="115" spans="1:12" s="692" customFormat="1">
      <c r="A115" s="1759"/>
      <c r="D115" s="1760"/>
      <c r="K115" s="695"/>
      <c r="L115" s="695"/>
    </row>
    <row r="116" spans="1:12" s="692" customFormat="1">
      <c r="A116" s="1759"/>
      <c r="D116" s="1760"/>
      <c r="K116" s="695"/>
      <c r="L116" s="695"/>
    </row>
    <row r="117" spans="1:12" s="692" customFormat="1">
      <c r="A117" s="1759"/>
      <c r="D117" s="1760"/>
      <c r="K117" s="695"/>
      <c r="L117" s="695"/>
    </row>
    <row r="118" spans="1:12" s="692" customFormat="1">
      <c r="A118" s="1759"/>
      <c r="D118" s="1760"/>
      <c r="K118" s="695"/>
      <c r="L118" s="695"/>
    </row>
    <row r="119" spans="1:12" s="692" customFormat="1">
      <c r="A119" s="1759"/>
      <c r="D119" s="1760"/>
      <c r="K119" s="695"/>
      <c r="L119" s="695"/>
    </row>
    <row r="120" spans="1:12" s="692" customFormat="1">
      <c r="A120" s="1759"/>
      <c r="D120" s="1760"/>
      <c r="K120" s="695"/>
      <c r="L120" s="695"/>
    </row>
    <row r="121" spans="1:12" s="692" customFormat="1">
      <c r="A121" s="1759"/>
      <c r="D121" s="1760"/>
      <c r="K121" s="695"/>
      <c r="L121" s="695"/>
    </row>
    <row r="122" spans="1:12" s="692" customFormat="1">
      <c r="A122" s="1759"/>
      <c r="D122" s="1760"/>
      <c r="K122" s="695"/>
      <c r="L122" s="695"/>
    </row>
    <row r="123" spans="1:12" s="692" customFormat="1">
      <c r="A123" s="1759"/>
      <c r="D123" s="1760"/>
      <c r="K123" s="695"/>
      <c r="L123" s="695"/>
    </row>
    <row r="124" spans="1:12" s="692" customFormat="1">
      <c r="A124" s="1759"/>
      <c r="D124" s="1760"/>
      <c r="K124" s="695"/>
      <c r="L124" s="695"/>
    </row>
    <row r="125" spans="1:12" s="692" customFormat="1">
      <c r="A125" s="1759"/>
      <c r="D125" s="1760"/>
      <c r="K125" s="695"/>
      <c r="L125" s="695"/>
    </row>
    <row r="126" spans="1:12" s="692" customFormat="1">
      <c r="A126" s="1759"/>
      <c r="D126" s="1760"/>
      <c r="K126" s="695"/>
      <c r="L126" s="695"/>
    </row>
    <row r="127" spans="1:12" s="692" customFormat="1">
      <c r="A127" s="1759"/>
      <c r="D127" s="1760"/>
      <c r="K127" s="695"/>
      <c r="L127" s="695"/>
    </row>
    <row r="128" spans="1:12" s="692" customFormat="1">
      <c r="A128" s="1759"/>
      <c r="D128" s="1760"/>
      <c r="K128" s="695"/>
      <c r="L128" s="695"/>
    </row>
    <row r="129" spans="1:12" s="692" customFormat="1">
      <c r="A129" s="1759"/>
      <c r="D129" s="1760"/>
      <c r="K129" s="695"/>
      <c r="L129" s="695"/>
    </row>
    <row r="130" spans="1:12" s="692" customFormat="1">
      <c r="A130" s="1759"/>
      <c r="D130" s="1760"/>
      <c r="K130" s="695"/>
      <c r="L130" s="695"/>
    </row>
    <row r="131" spans="1:12" s="692" customFormat="1">
      <c r="A131" s="1759"/>
      <c r="D131" s="1760"/>
      <c r="K131" s="695"/>
      <c r="L131" s="695"/>
    </row>
    <row r="132" spans="1:12" s="692" customFormat="1">
      <c r="A132" s="1759"/>
      <c r="D132" s="1760"/>
      <c r="K132" s="695"/>
      <c r="L132" s="695"/>
    </row>
    <row r="133" spans="1:12" s="692" customFormat="1">
      <c r="A133" s="1759"/>
      <c r="D133" s="1760"/>
      <c r="K133" s="695"/>
      <c r="L133" s="695"/>
    </row>
    <row r="134" spans="1:12" s="127" customFormat="1">
      <c r="A134" s="1761"/>
      <c r="D134" s="1762"/>
      <c r="K134" s="27"/>
      <c r="L134" s="27"/>
    </row>
    <row r="135" spans="1:12" s="127" customFormat="1">
      <c r="A135" s="1761"/>
      <c r="D135" s="1762"/>
      <c r="K135" s="27"/>
      <c r="L135" s="27"/>
    </row>
    <row r="136" spans="1:12" s="127" customFormat="1">
      <c r="A136" s="1761"/>
      <c r="D136" s="1762"/>
      <c r="K136" s="27"/>
      <c r="L136" s="27"/>
    </row>
    <row r="137" spans="1:12" s="127" customFormat="1">
      <c r="A137" s="1761"/>
      <c r="D137" s="1762"/>
      <c r="K137" s="27"/>
      <c r="L137" s="27"/>
    </row>
    <row r="138" spans="1:12" s="127" customFormat="1">
      <c r="A138" s="1761"/>
      <c r="D138" s="1762"/>
      <c r="K138" s="27"/>
      <c r="L138" s="27"/>
    </row>
    <row r="139" spans="1:12" s="127" customFormat="1">
      <c r="A139" s="1761"/>
      <c r="D139" s="1762"/>
      <c r="K139" s="27"/>
      <c r="L139" s="27"/>
    </row>
    <row r="140" spans="1:12" s="127" customFormat="1">
      <c r="A140" s="1761"/>
      <c r="D140" s="1762"/>
      <c r="K140" s="27"/>
      <c r="L140" s="27"/>
    </row>
    <row r="141" spans="1:12" s="127" customFormat="1">
      <c r="A141" s="1761"/>
      <c r="D141" s="1762"/>
      <c r="K141" s="27"/>
      <c r="L141" s="27"/>
    </row>
    <row r="142" spans="1:12" s="127" customFormat="1">
      <c r="A142" s="1761"/>
      <c r="D142" s="1762"/>
      <c r="K142" s="27"/>
      <c r="L142" s="27"/>
    </row>
    <row r="143" spans="1:12" s="127" customFormat="1">
      <c r="A143" s="1761"/>
      <c r="D143" s="1762"/>
      <c r="K143" s="27"/>
      <c r="L143" s="27"/>
    </row>
    <row r="144" spans="1:12" s="127" customFormat="1">
      <c r="A144" s="1761"/>
      <c r="D144" s="1762"/>
      <c r="K144" s="27"/>
      <c r="L144" s="27"/>
    </row>
    <row r="145" spans="1:12" s="127" customFormat="1">
      <c r="A145" s="1761"/>
      <c r="D145" s="1762"/>
      <c r="K145" s="27"/>
      <c r="L145" s="27"/>
    </row>
    <row r="146" spans="1:12" s="127" customFormat="1">
      <c r="A146" s="1761"/>
      <c r="D146" s="1762"/>
      <c r="K146" s="27"/>
      <c r="L146" s="27"/>
    </row>
    <row r="147" spans="1:12" s="127" customFormat="1">
      <c r="A147" s="1761"/>
      <c r="D147" s="1762"/>
      <c r="K147" s="27"/>
      <c r="L147" s="27"/>
    </row>
    <row r="148" spans="1:12" s="127" customFormat="1">
      <c r="A148" s="1761"/>
      <c r="D148" s="1762"/>
      <c r="K148" s="27"/>
      <c r="L148" s="27"/>
    </row>
    <row r="149" spans="1:12" s="127" customFormat="1">
      <c r="A149" s="1761"/>
      <c r="D149" s="1762"/>
      <c r="K149" s="27"/>
      <c r="L149" s="27"/>
    </row>
    <row r="150" spans="1:12" s="127" customFormat="1">
      <c r="A150" s="1761"/>
      <c r="D150" s="1762"/>
      <c r="K150" s="27"/>
      <c r="L150" s="27"/>
    </row>
    <row r="151" spans="1:12" s="127" customFormat="1">
      <c r="A151" s="1761"/>
      <c r="D151" s="1762"/>
      <c r="K151" s="27"/>
      <c r="L151" s="27"/>
    </row>
    <row r="152" spans="1:12" s="127" customFormat="1">
      <c r="A152" s="1761"/>
      <c r="D152" s="1762"/>
      <c r="K152" s="27"/>
      <c r="L152" s="27"/>
    </row>
    <row r="153" spans="1:12" s="127" customFormat="1">
      <c r="A153" s="1761"/>
      <c r="D153" s="1762"/>
      <c r="K153" s="27"/>
      <c r="L153" s="27"/>
    </row>
    <row r="154" spans="1:12" s="127" customFormat="1">
      <c r="A154" s="1761"/>
      <c r="D154" s="1762"/>
      <c r="K154" s="27"/>
      <c r="L154" s="27"/>
    </row>
    <row r="155" spans="1:12" s="127" customFormat="1">
      <c r="A155" s="1761"/>
      <c r="D155" s="1762"/>
      <c r="K155" s="27"/>
      <c r="L155" s="27"/>
    </row>
    <row r="156" spans="1:12" s="127" customFormat="1">
      <c r="A156" s="1761"/>
      <c r="D156" s="1762"/>
      <c r="K156" s="27"/>
      <c r="L156" s="27"/>
    </row>
    <row r="157" spans="1:12" s="127" customFormat="1">
      <c r="A157" s="1761"/>
      <c r="D157" s="1762"/>
      <c r="K157" s="27"/>
      <c r="L157" s="27"/>
    </row>
    <row r="158" spans="1:12" s="127" customFormat="1">
      <c r="A158" s="1761"/>
      <c r="D158" s="1762"/>
      <c r="K158" s="27"/>
      <c r="L158" s="27"/>
    </row>
    <row r="159" spans="1:12" s="127" customFormat="1">
      <c r="A159" s="1761"/>
      <c r="D159" s="1762"/>
      <c r="K159" s="27"/>
      <c r="L159" s="27"/>
    </row>
    <row r="160" spans="1:12" s="127" customFormat="1">
      <c r="A160" s="1761"/>
      <c r="D160" s="1762"/>
      <c r="K160" s="27"/>
      <c r="L160" s="27"/>
    </row>
    <row r="161" spans="1:12" s="127" customFormat="1">
      <c r="A161" s="1761"/>
      <c r="D161" s="1762"/>
      <c r="K161" s="27"/>
      <c r="L161" s="27"/>
    </row>
    <row r="162" spans="1:12" s="127" customFormat="1">
      <c r="A162" s="1761"/>
      <c r="D162" s="1762"/>
      <c r="K162" s="27"/>
      <c r="L162" s="27"/>
    </row>
    <row r="163" spans="1:12" s="127" customFormat="1">
      <c r="A163" s="1761"/>
      <c r="D163" s="1762"/>
      <c r="K163" s="27"/>
      <c r="L163" s="27"/>
    </row>
    <row r="164" spans="1:12" s="127" customFormat="1">
      <c r="A164" s="1761"/>
      <c r="D164" s="1762"/>
      <c r="K164" s="27"/>
      <c r="L164" s="27"/>
    </row>
    <row r="165" spans="1:12" s="127" customFormat="1">
      <c r="A165" s="1761"/>
      <c r="D165" s="1762"/>
      <c r="K165" s="27"/>
      <c r="L165" s="27"/>
    </row>
    <row r="166" spans="1:12" s="127" customFormat="1">
      <c r="A166" s="1761"/>
      <c r="D166" s="1762"/>
      <c r="K166" s="27"/>
      <c r="L166" s="27"/>
    </row>
    <row r="167" spans="1:12" s="127" customFormat="1">
      <c r="A167" s="1761"/>
      <c r="D167" s="1762"/>
      <c r="K167" s="27"/>
      <c r="L167" s="27"/>
    </row>
    <row r="168" spans="1:12" s="127" customFormat="1">
      <c r="A168" s="1761"/>
      <c r="D168" s="1762"/>
      <c r="K168" s="27"/>
      <c r="L168" s="27"/>
    </row>
    <row r="169" spans="1:12" s="127" customFormat="1">
      <c r="A169" s="1761"/>
      <c r="D169" s="1762"/>
      <c r="K169" s="27"/>
      <c r="L169" s="27"/>
    </row>
    <row r="170" spans="1:12" s="127" customFormat="1">
      <c r="A170" s="1761"/>
      <c r="D170" s="1762"/>
      <c r="K170" s="27"/>
      <c r="L170" s="27"/>
    </row>
    <row r="171" spans="1:12" s="127" customFormat="1">
      <c r="A171" s="1761"/>
      <c r="D171" s="1762"/>
      <c r="K171" s="27"/>
      <c r="L171" s="27"/>
    </row>
    <row r="172" spans="1:12" s="127" customFormat="1">
      <c r="A172" s="1761"/>
      <c r="D172" s="1762"/>
      <c r="K172" s="27"/>
      <c r="L172" s="27"/>
    </row>
    <row r="173" spans="1:12" s="127" customFormat="1">
      <c r="A173" s="1761"/>
      <c r="D173" s="1762"/>
      <c r="K173" s="27"/>
      <c r="L173" s="27"/>
    </row>
    <row r="174" spans="1:12" s="127" customFormat="1">
      <c r="A174" s="1761"/>
      <c r="D174" s="1762"/>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U518" sqref="U518"/>
      <selection pane="topRight" activeCell="U518" sqref="U518"/>
      <selection pane="bottomLeft" activeCell="U518" sqref="U518"/>
      <selection pane="bottomRight" activeCell="C9" sqref="C9"/>
    </sheetView>
  </sheetViews>
  <sheetFormatPr defaultColWidth="9" defaultRowHeight="14.25"/>
  <cols>
    <col min="1" max="1" width="9.5" style="1667" customWidth="1"/>
    <col min="2" max="3" width="24.5" style="516" customWidth="1"/>
    <col min="4" max="4" width="2.625" style="516" customWidth="1"/>
    <col min="5" max="5" width="5.875" style="516" customWidth="1"/>
    <col min="6" max="7" width="27" style="516" customWidth="1"/>
    <col min="8" max="8" width="11.875" style="2450" customWidth="1"/>
    <col min="9" max="9" width="16.75" style="2450" customWidth="1"/>
    <col min="10" max="10" width="2.625" style="2450" customWidth="1"/>
    <col min="11" max="11" width="11.875" style="2450" customWidth="1"/>
    <col min="12" max="12" width="16.75" style="2450" customWidth="1"/>
    <col min="13" max="13" width="2.625" style="2450" customWidth="1"/>
    <col min="14" max="14" width="11.875" style="2450" customWidth="1"/>
    <col min="15" max="15" width="16.75" style="2450" customWidth="1"/>
    <col min="16" max="16" width="2.625" style="2450" customWidth="1"/>
    <col min="17" max="17" width="11.875" style="2450" customWidth="1"/>
    <col min="18" max="18" width="16.75" style="852" customWidth="1"/>
    <col min="19" max="29" width="9" style="852"/>
    <col min="30" max="16384" width="9" style="1667"/>
  </cols>
  <sheetData>
    <row r="1" spans="1:29" s="2435" customFormat="1" ht="18.75" thickBot="1">
      <c r="A1" s="3222" t="s">
        <v>2955</v>
      </c>
      <c r="B1" s="3223"/>
      <c r="C1" s="3223"/>
      <c r="D1" s="3223"/>
      <c r="E1" s="3223"/>
      <c r="F1" s="3223"/>
      <c r="G1" s="3223"/>
      <c r="H1" s="2432"/>
      <c r="I1" s="2432"/>
      <c r="J1" s="2432"/>
      <c r="K1" s="2432"/>
      <c r="L1" s="2432"/>
      <c r="M1" s="2432"/>
      <c r="N1" s="2432"/>
      <c r="O1" s="2432"/>
      <c r="P1" s="2432"/>
      <c r="Q1" s="2433"/>
      <c r="R1" s="2434"/>
      <c r="S1" s="2434"/>
      <c r="T1" s="2434"/>
      <c r="U1" s="2434"/>
      <c r="V1" s="2434"/>
      <c r="W1" s="2434"/>
      <c r="X1" s="2434"/>
      <c r="Y1" s="2434"/>
      <c r="Z1" s="2434"/>
      <c r="AA1" s="2434"/>
      <c r="AB1" s="2434"/>
      <c r="AC1" s="2434"/>
    </row>
    <row r="2" spans="1:29" ht="15" thickBot="1">
      <c r="A2" s="2436"/>
      <c r="B2" s="2437"/>
      <c r="C2" s="2438" t="s">
        <v>2951</v>
      </c>
      <c r="D2" s="1740"/>
      <c r="E2" s="2436"/>
      <c r="F2" s="2439"/>
      <c r="G2" s="2438" t="s">
        <v>2952</v>
      </c>
      <c r="H2" s="852"/>
      <c r="I2" s="852"/>
      <c r="J2" s="852"/>
      <c r="K2" s="852"/>
      <c r="L2" s="852"/>
      <c r="M2" s="852"/>
      <c r="N2" s="852"/>
      <c r="O2" s="852"/>
      <c r="P2" s="852"/>
      <c r="Q2" s="852"/>
    </row>
    <row r="3" spans="1:29" ht="36">
      <c r="A3" s="2423" t="s">
        <v>2953</v>
      </c>
      <c r="B3" s="2440" t="s">
        <v>2925</v>
      </c>
      <c r="C3" s="2933" t="s">
        <v>3679</v>
      </c>
      <c r="D3" s="2441"/>
      <c r="E3" s="2424" t="s">
        <v>2953</v>
      </c>
      <c r="F3" s="2442" t="s">
        <v>2926</v>
      </c>
      <c r="G3" s="2443" t="s">
        <v>2954</v>
      </c>
      <c r="H3" s="852"/>
      <c r="I3" s="852"/>
      <c r="J3" s="852"/>
      <c r="K3" s="852"/>
      <c r="L3" s="852"/>
      <c r="M3" s="852"/>
      <c r="N3" s="852"/>
      <c r="O3" s="852"/>
      <c r="P3" s="852"/>
      <c r="Q3" s="852"/>
    </row>
    <row r="4" spans="1:29" ht="36">
      <c r="A4" s="2424"/>
      <c r="B4" s="321" t="s">
        <v>2927</v>
      </c>
      <c r="C4" s="2934" t="s">
        <v>3140</v>
      </c>
      <c r="D4" s="2441"/>
      <c r="E4" s="2444"/>
      <c r="F4" s="1425" t="s">
        <v>2928</v>
      </c>
      <c r="G4" s="2445" t="s">
        <v>2929</v>
      </c>
      <c r="H4" s="852"/>
      <c r="I4" s="852"/>
      <c r="J4" s="852"/>
      <c r="K4" s="852"/>
      <c r="L4" s="852"/>
      <c r="M4" s="852"/>
      <c r="N4" s="852"/>
      <c r="O4" s="852"/>
      <c r="P4" s="852"/>
      <c r="Q4" s="852"/>
    </row>
    <row r="5" spans="1:29" ht="24">
      <c r="A5" s="2424"/>
      <c r="B5" s="321" t="s">
        <v>2930</v>
      </c>
      <c r="C5" s="2934" t="s">
        <v>3140</v>
      </c>
      <c r="D5" s="2441"/>
      <c r="E5" s="2444"/>
      <c r="F5" s="321" t="s">
        <v>2931</v>
      </c>
      <c r="G5" s="2445" t="s">
        <v>2932</v>
      </c>
      <c r="H5" s="852"/>
      <c r="I5" s="852"/>
      <c r="J5" s="852"/>
      <c r="K5" s="852"/>
      <c r="L5" s="852"/>
      <c r="M5" s="852"/>
      <c r="N5" s="852"/>
      <c r="O5" s="852"/>
      <c r="P5" s="852"/>
      <c r="Q5" s="852"/>
    </row>
    <row r="6" spans="1:29" ht="36">
      <c r="A6" s="2424"/>
      <c r="B6" s="321" t="s">
        <v>2933</v>
      </c>
      <c r="C6" s="2935" t="s">
        <v>3680</v>
      </c>
      <c r="D6" s="2441"/>
      <c r="E6" s="2444"/>
      <c r="F6" s="321" t="s">
        <v>2934</v>
      </c>
      <c r="G6" s="2445" t="s">
        <v>2935</v>
      </c>
      <c r="H6" s="852"/>
      <c r="I6" s="852"/>
      <c r="J6" s="852"/>
      <c r="K6" s="852"/>
      <c r="L6" s="852"/>
      <c r="M6" s="852"/>
      <c r="N6" s="852"/>
      <c r="O6" s="852"/>
      <c r="P6" s="852"/>
      <c r="Q6" s="852"/>
    </row>
    <row r="7" spans="1:29" ht="132.75" thickBot="1">
      <c r="A7" s="2424"/>
      <c r="B7" s="321" t="s">
        <v>2931</v>
      </c>
      <c r="C7" s="2935" t="s">
        <v>3677</v>
      </c>
      <c r="D7" s="2421"/>
      <c r="E7" s="2446"/>
      <c r="F7" s="2447" t="s">
        <v>2936</v>
      </c>
      <c r="G7" s="2448" t="s">
        <v>2937</v>
      </c>
      <c r="H7" s="852"/>
      <c r="I7" s="852"/>
      <c r="J7" s="852"/>
      <c r="K7" s="852"/>
      <c r="L7" s="852"/>
      <c r="M7" s="852"/>
      <c r="N7" s="852"/>
      <c r="O7" s="852"/>
      <c r="P7" s="852"/>
      <c r="Q7" s="852"/>
    </row>
    <row r="8" spans="1:29">
      <c r="A8" s="2424"/>
      <c r="B8" s="321" t="s">
        <v>2934</v>
      </c>
      <c r="C8" s="2935" t="s">
        <v>3141</v>
      </c>
      <c r="D8" s="2421"/>
      <c r="E8" s="2421"/>
      <c r="F8" s="126"/>
      <c r="G8" s="126"/>
      <c r="H8" s="852"/>
      <c r="I8" s="852"/>
      <c r="J8" s="852"/>
      <c r="K8" s="852"/>
      <c r="L8" s="852"/>
      <c r="M8" s="852"/>
      <c r="N8" s="852"/>
      <c r="O8" s="852"/>
      <c r="P8" s="852"/>
      <c r="Q8" s="852"/>
    </row>
    <row r="9" spans="1:29" ht="24">
      <c r="A9" s="2424"/>
      <c r="B9" s="321" t="s">
        <v>2938</v>
      </c>
      <c r="C9" s="2934" t="s">
        <v>3692</v>
      </c>
      <c r="D9" s="2441"/>
      <c r="E9" s="2421"/>
      <c r="F9" s="126"/>
      <c r="G9" s="126"/>
      <c r="H9" s="852"/>
      <c r="I9" s="852"/>
      <c r="J9" s="852"/>
      <c r="K9" s="852"/>
      <c r="L9" s="852"/>
      <c r="M9" s="852"/>
      <c r="N9" s="852"/>
      <c r="O9" s="852"/>
      <c r="P9" s="852"/>
      <c r="Q9" s="852"/>
    </row>
    <row r="10" spans="1:29" ht="15" thickBot="1">
      <c r="A10" s="2425"/>
      <c r="B10" s="2449" t="s">
        <v>2939</v>
      </c>
      <c r="C10" s="2935" t="s">
        <v>3681</v>
      </c>
      <c r="D10" s="2441"/>
      <c r="E10" s="2441"/>
      <c r="F10" s="126"/>
      <c r="G10" s="126"/>
      <c r="J10" s="2451"/>
      <c r="M10" s="2451"/>
      <c r="P10" s="2451"/>
      <c r="R10" s="2450"/>
    </row>
    <row r="11" spans="1:29">
      <c r="A11" s="2452"/>
      <c r="B11" s="2421"/>
      <c r="C11" s="2441"/>
      <c r="D11" s="2441"/>
      <c r="E11" s="2441"/>
      <c r="F11" s="2421"/>
      <c r="G11" s="2421"/>
      <c r="J11" s="2451"/>
      <c r="M11" s="2451"/>
      <c r="P11" s="2451"/>
      <c r="R11" s="2450"/>
    </row>
    <row r="12" spans="1:29" s="2435" customFormat="1" ht="18">
      <c r="A12" s="2452"/>
      <c r="B12" s="2421"/>
      <c r="C12" s="2441"/>
      <c r="D12" s="2453"/>
      <c r="E12" s="2441"/>
      <c r="F12" s="2421"/>
      <c r="G12" s="2421"/>
      <c r="H12" s="2454"/>
      <c r="I12" s="2454"/>
      <c r="J12" s="2454"/>
      <c r="K12" s="2454"/>
      <c r="L12" s="2455"/>
      <c r="M12" s="2454"/>
      <c r="N12" s="2456"/>
      <c r="O12" s="2456"/>
      <c r="P12" s="2456"/>
      <c r="Q12" s="2456"/>
      <c r="R12" s="2434"/>
      <c r="S12" s="2434"/>
      <c r="T12" s="2434"/>
      <c r="U12" s="2434"/>
      <c r="V12" s="2434"/>
      <c r="W12" s="2434"/>
      <c r="X12" s="2434"/>
      <c r="Y12" s="2434"/>
      <c r="Z12" s="2434"/>
      <c r="AA12" s="2434"/>
      <c r="AB12" s="2434"/>
      <c r="AC12" s="2434"/>
    </row>
    <row r="13" spans="1:29" ht="15.75" thickBot="1">
      <c r="A13" s="2457" t="s">
        <v>2956</v>
      </c>
      <c r="B13" s="2453"/>
      <c r="C13" s="2453"/>
      <c r="D13" s="2452"/>
      <c r="E13" s="2453"/>
      <c r="F13" s="2453"/>
      <c r="G13" s="2453"/>
    </row>
    <row r="14" spans="1:29" ht="15" thickBot="1">
      <c r="A14" s="2458"/>
      <c r="B14" s="2458"/>
      <c r="C14" s="2459" t="s">
        <v>2940</v>
      </c>
      <c r="D14" s="2441"/>
      <c r="E14" s="2460"/>
      <c r="F14" s="2460"/>
      <c r="G14" s="2438" t="s">
        <v>2941</v>
      </c>
    </row>
    <row r="15" spans="1:29" ht="38.25">
      <c r="A15" s="2426" t="s">
        <v>2942</v>
      </c>
      <c r="B15" s="2461" t="s">
        <v>2925</v>
      </c>
      <c r="C15" s="2462" t="str">
        <f>C3</f>
        <v>周边有金榜园、龙博苑、育新花园、沁春家园等住宅小区，居住社区成熟度较好。</v>
      </c>
      <c r="D15" s="2441"/>
      <c r="E15" s="2427" t="s">
        <v>2943</v>
      </c>
      <c r="F15" s="2461" t="s">
        <v>2944</v>
      </c>
      <c r="G15" s="2463" t="str">
        <f>G3</f>
        <v>估价对象位于XX开发区，园区建设成熟度XX，产业集聚程度XX</v>
      </c>
    </row>
    <row r="16" spans="1:29" ht="38.25">
      <c r="A16" s="2428"/>
      <c r="B16" s="2464" t="s">
        <v>2927</v>
      </c>
      <c r="C16" s="2465" t="str">
        <f>C4</f>
        <v>好</v>
      </c>
      <c r="D16" s="2441"/>
      <c r="E16" s="2429"/>
      <c r="F16" s="2466" t="s">
        <v>2928</v>
      </c>
      <c r="G16" s="2467" t="str">
        <f>G4</f>
        <v>估价对象周边道路状况、公共交通通达情况、停车便捷程度，综合评价交通便捷度较好</v>
      </c>
    </row>
    <row r="17" spans="1:17">
      <c r="A17" s="2428"/>
      <c r="B17" s="2464" t="s">
        <v>2930</v>
      </c>
      <c r="C17" s="2465" t="str">
        <f>C5</f>
        <v>好</v>
      </c>
      <c r="D17" s="2421"/>
      <c r="E17" s="2429"/>
      <c r="F17" s="2466" t="s">
        <v>2945</v>
      </c>
      <c r="G17" s="2468"/>
    </row>
    <row r="18" spans="1:17" ht="38.25">
      <c r="A18" s="2428"/>
      <c r="B18" s="2466" t="s">
        <v>2933</v>
      </c>
      <c r="C18" s="2467" t="str">
        <f>C6</f>
        <v>周边有315路、607路、629路等多条公交线路及地铁8号线育新站，综合评价交通便捷度较好</v>
      </c>
      <c r="D18" s="2421"/>
      <c r="E18" s="2429"/>
      <c r="F18" s="2466" t="s">
        <v>2936</v>
      </c>
      <c r="G18" s="2467" t="str">
        <f>G7</f>
        <v>该园区内是否有污染型企业，绿化情况，卫生条件，整体环境状况判断</v>
      </c>
    </row>
    <row r="19" spans="1:17" ht="25.5">
      <c r="A19" s="2428"/>
      <c r="B19" s="2466" t="s">
        <v>2946</v>
      </c>
      <c r="C19" s="2936" t="s">
        <v>3142</v>
      </c>
      <c r="D19" s="2441"/>
      <c r="E19" s="2429"/>
      <c r="F19" s="321" t="s">
        <v>2931</v>
      </c>
      <c r="G19" s="2467" t="str">
        <f>G5</f>
        <v>估价对象所在区域公共配套设施齐备情况</v>
      </c>
    </row>
    <row r="20" spans="1:17" ht="25.5">
      <c r="A20" s="2428"/>
      <c r="B20" s="2466" t="s">
        <v>2947</v>
      </c>
      <c r="C20" s="2465" t="str">
        <f>C9</f>
        <v>周边绿化以街区级绿化为主，一般</v>
      </c>
      <c r="D20" s="2421"/>
      <c r="E20" s="2429"/>
      <c r="F20" s="321" t="s">
        <v>2934</v>
      </c>
      <c r="G20" s="2467" t="str">
        <f>G6</f>
        <v>估价对象所在区域基础设施水平</v>
      </c>
    </row>
    <row r="21" spans="1:17" ht="140.25">
      <c r="A21" s="2428"/>
      <c r="B21" s="321" t="s">
        <v>2931</v>
      </c>
      <c r="C21" s="2467" t="str">
        <f>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21" s="2441"/>
      <c r="E21" s="2429"/>
      <c r="F21" s="2466" t="s">
        <v>2948</v>
      </c>
      <c r="G21" s="2469"/>
    </row>
    <row r="22" spans="1:17" ht="13.5" customHeight="1">
      <c r="A22" s="2428"/>
      <c r="B22" s="321" t="s">
        <v>2934</v>
      </c>
      <c r="C22" s="2467" t="str">
        <f>C8</f>
        <v>七通</v>
      </c>
      <c r="D22" s="2441"/>
      <c r="E22" s="2429"/>
      <c r="F22" s="2466" t="s">
        <v>2939</v>
      </c>
      <c r="G22" s="2468"/>
    </row>
    <row r="23" spans="1:17" s="852" customFormat="1" ht="15" thickBot="1">
      <c r="A23" s="2428"/>
      <c r="B23" s="2466" t="s">
        <v>2948</v>
      </c>
      <c r="C23" s="2469"/>
      <c r="D23" s="1759"/>
      <c r="E23" s="2430"/>
      <c r="F23" s="2470" t="s">
        <v>2949</v>
      </c>
      <c r="G23" s="2471"/>
      <c r="H23" s="2450"/>
      <c r="I23" s="2450"/>
      <c r="J23" s="2450"/>
      <c r="K23" s="2450"/>
      <c r="L23" s="2450"/>
      <c r="M23" s="2450"/>
      <c r="N23" s="2450"/>
      <c r="O23" s="2450"/>
      <c r="P23" s="2450"/>
      <c r="Q23" s="2450"/>
    </row>
    <row r="24" spans="1:17" s="852" customFormat="1" ht="15" thickBot="1">
      <c r="A24" s="2431"/>
      <c r="B24" s="2470" t="s">
        <v>2950</v>
      </c>
      <c r="C24" s="2472" t="str">
        <f>C10</f>
        <v>城市次干道——建材城西路</v>
      </c>
      <c r="D24" s="1759"/>
      <c r="E24" s="2421"/>
      <c r="F24" s="2421"/>
      <c r="G24" s="2421"/>
      <c r="H24" s="2450"/>
      <c r="I24" s="2450"/>
      <c r="J24" s="2450"/>
      <c r="K24" s="2450"/>
      <c r="L24" s="2450"/>
      <c r="M24" s="2450"/>
      <c r="N24" s="2450"/>
      <c r="O24" s="2450"/>
      <c r="P24" s="2450"/>
      <c r="Q24" s="2450"/>
    </row>
    <row r="25" spans="1:17" s="852" customFormat="1">
      <c r="B25" s="2450"/>
      <c r="C25" s="2450"/>
      <c r="D25" s="2450"/>
      <c r="H25" s="2450"/>
      <c r="I25" s="2450"/>
      <c r="J25" s="2450"/>
      <c r="K25" s="2450"/>
      <c r="L25" s="2450"/>
      <c r="M25" s="2450"/>
      <c r="N25" s="2450"/>
      <c r="O25" s="2450"/>
      <c r="P25" s="2450"/>
      <c r="Q25" s="2450"/>
    </row>
    <row r="26" spans="1:17" s="852" customFormat="1">
      <c r="B26" s="2450"/>
      <c r="C26" s="2450"/>
      <c r="D26" s="2450"/>
      <c r="H26" s="2450"/>
      <c r="I26" s="2450"/>
      <c r="J26" s="2450"/>
      <c r="K26" s="2450"/>
      <c r="L26" s="2450"/>
      <c r="M26" s="2450"/>
      <c r="N26" s="2450"/>
      <c r="O26" s="2450"/>
      <c r="P26" s="2450"/>
      <c r="Q26" s="2450"/>
    </row>
    <row r="27" spans="1:17" s="852" customFormat="1">
      <c r="B27" s="2450"/>
      <c r="C27" s="2450"/>
      <c r="D27" s="2450"/>
      <c r="H27" s="2450"/>
      <c r="I27" s="2450"/>
      <c r="J27" s="2450"/>
      <c r="K27" s="2450"/>
      <c r="L27" s="2450"/>
      <c r="M27" s="2450"/>
      <c r="N27" s="2450"/>
      <c r="O27" s="2450"/>
      <c r="P27" s="2450"/>
      <c r="Q27" s="2450"/>
    </row>
    <row r="28" spans="1:17" s="852" customFormat="1">
      <c r="B28" s="2450"/>
      <c r="C28" s="2450"/>
      <c r="D28" s="2450"/>
      <c r="H28" s="2450"/>
      <c r="I28" s="2450"/>
      <c r="J28" s="2450"/>
      <c r="K28" s="2450"/>
      <c r="L28" s="2450"/>
      <c r="M28" s="2450"/>
      <c r="N28" s="2450"/>
      <c r="O28" s="2450"/>
      <c r="P28" s="2450"/>
      <c r="Q28" s="2450"/>
    </row>
    <row r="29" spans="1:17" s="852" customFormat="1">
      <c r="B29" s="2450"/>
      <c r="C29" s="2450"/>
      <c r="D29" s="2450"/>
      <c r="H29" s="2450"/>
      <c r="I29" s="2450"/>
      <c r="J29" s="2450"/>
      <c r="K29" s="2450"/>
      <c r="L29" s="2450"/>
      <c r="M29" s="2450"/>
      <c r="N29" s="2450"/>
      <c r="O29" s="2450"/>
      <c r="P29" s="2450"/>
      <c r="Q29" s="2450"/>
    </row>
    <row r="30" spans="1:17" s="852" customFormat="1">
      <c r="B30" s="2450"/>
      <c r="C30" s="2450"/>
      <c r="D30" s="2450"/>
      <c r="H30" s="2450"/>
      <c r="I30" s="2450"/>
      <c r="J30" s="2450"/>
      <c r="K30" s="2450"/>
      <c r="L30" s="2450"/>
      <c r="M30" s="2450"/>
      <c r="N30" s="2450"/>
      <c r="O30" s="2450"/>
      <c r="P30" s="2450"/>
      <c r="Q30" s="2450"/>
    </row>
    <row r="31" spans="1:17" s="852" customFormat="1">
      <c r="B31" s="2450"/>
      <c r="C31" s="2450"/>
      <c r="D31" s="2450"/>
      <c r="H31" s="2450"/>
      <c r="I31" s="2450"/>
      <c r="J31" s="2450"/>
      <c r="K31" s="2450"/>
      <c r="L31" s="2450"/>
      <c r="M31" s="2450"/>
      <c r="N31" s="2450"/>
      <c r="O31" s="2450"/>
      <c r="P31" s="2450"/>
      <c r="Q31" s="2450"/>
    </row>
    <row r="32" spans="1:17" s="852" customFormat="1">
      <c r="B32" s="2450"/>
      <c r="C32" s="2450"/>
      <c r="D32" s="2450"/>
      <c r="H32" s="2450"/>
      <c r="I32" s="2450"/>
      <c r="J32" s="2450"/>
      <c r="K32" s="2450"/>
      <c r="L32" s="2450"/>
      <c r="M32" s="2450"/>
      <c r="N32" s="2450"/>
      <c r="O32" s="2450"/>
      <c r="P32" s="2450"/>
      <c r="Q32" s="2450"/>
    </row>
    <row r="33" spans="2:17" s="852" customFormat="1">
      <c r="B33" s="2450"/>
      <c r="C33" s="2450"/>
      <c r="D33" s="2450"/>
      <c r="H33" s="2450"/>
      <c r="I33" s="2450"/>
      <c r="J33" s="2450"/>
      <c r="K33" s="2450"/>
      <c r="L33" s="2450"/>
      <c r="M33" s="2450"/>
      <c r="N33" s="2450"/>
      <c r="O33" s="2450"/>
      <c r="P33" s="2450"/>
      <c r="Q33" s="2450"/>
    </row>
    <row r="34" spans="2:17" s="852" customFormat="1">
      <c r="B34" s="2450"/>
      <c r="C34" s="2450"/>
      <c r="D34" s="2450"/>
      <c r="H34" s="2450"/>
      <c r="I34" s="2450"/>
      <c r="J34" s="2450"/>
      <c r="K34" s="2450"/>
      <c r="L34" s="2450"/>
      <c r="M34" s="2450"/>
      <c r="N34" s="2450"/>
      <c r="O34" s="2450"/>
      <c r="P34" s="2450"/>
      <c r="Q34" s="2450"/>
    </row>
    <row r="35" spans="2:17" s="852" customFormat="1">
      <c r="B35" s="2450"/>
      <c r="C35" s="2450"/>
      <c r="D35" s="2450"/>
      <c r="H35" s="2450"/>
      <c r="I35" s="2450"/>
      <c r="J35" s="2450"/>
      <c r="K35" s="2450"/>
      <c r="L35" s="2450"/>
      <c r="M35" s="2450"/>
      <c r="N35" s="2450"/>
      <c r="O35" s="2450"/>
      <c r="P35" s="2450"/>
      <c r="Q35" s="2450"/>
    </row>
    <row r="36" spans="2:17" s="852" customFormat="1">
      <c r="B36" s="2450"/>
      <c r="C36" s="2450"/>
      <c r="D36" s="2450"/>
      <c r="H36" s="2450"/>
      <c r="I36" s="2450"/>
      <c r="J36" s="2450"/>
      <c r="K36" s="2450"/>
      <c r="L36" s="2450"/>
      <c r="M36" s="2450"/>
      <c r="N36" s="2450"/>
      <c r="O36" s="2450"/>
      <c r="P36" s="2450"/>
      <c r="Q36" s="2450"/>
    </row>
    <row r="37" spans="2:17" s="852" customFormat="1">
      <c r="B37" s="2450"/>
      <c r="C37" s="2450"/>
      <c r="D37" s="2450"/>
      <c r="H37" s="2450"/>
      <c r="I37" s="2450"/>
      <c r="J37" s="2450"/>
      <c r="K37" s="2450"/>
      <c r="L37" s="2450"/>
      <c r="M37" s="2450"/>
      <c r="N37" s="2450"/>
      <c r="O37" s="2450"/>
      <c r="P37" s="2450"/>
      <c r="Q37" s="2450"/>
    </row>
    <row r="38" spans="2:17" s="852" customFormat="1">
      <c r="B38" s="2450"/>
      <c r="C38" s="2450"/>
      <c r="D38" s="2450"/>
      <c r="E38" s="2450"/>
      <c r="F38" s="2450"/>
      <c r="G38" s="2450"/>
      <c r="H38" s="2450"/>
      <c r="I38" s="2450"/>
      <c r="J38" s="2450"/>
      <c r="K38" s="2450"/>
      <c r="L38" s="2450"/>
      <c r="M38" s="2450"/>
      <c r="N38" s="2450"/>
      <c r="O38" s="2450"/>
      <c r="P38" s="2450"/>
      <c r="Q38" s="2450"/>
    </row>
    <row r="39" spans="2:17" s="852" customFormat="1">
      <c r="B39" s="2450"/>
      <c r="C39" s="2450"/>
      <c r="D39" s="2450"/>
      <c r="E39" s="2450"/>
      <c r="F39" s="2450"/>
      <c r="G39" s="2450"/>
      <c r="H39" s="2450"/>
      <c r="I39" s="2450"/>
      <c r="J39" s="2450"/>
      <c r="K39" s="2450"/>
      <c r="L39" s="2450"/>
      <c r="M39" s="2450"/>
      <c r="N39" s="2450"/>
      <c r="O39" s="2450"/>
      <c r="P39" s="2450"/>
      <c r="Q39" s="2450"/>
    </row>
    <row r="40" spans="2:17" s="852" customFormat="1">
      <c r="B40" s="2450"/>
      <c r="C40" s="2450"/>
      <c r="D40" s="2450"/>
      <c r="E40" s="2450"/>
      <c r="F40" s="2450"/>
      <c r="G40" s="2450"/>
      <c r="H40" s="2450"/>
      <c r="I40" s="2450"/>
      <c r="J40" s="2450"/>
      <c r="K40" s="2450"/>
      <c r="L40" s="2450"/>
      <c r="M40" s="2450"/>
      <c r="N40" s="2450"/>
      <c r="O40" s="2450"/>
      <c r="P40" s="2450"/>
      <c r="Q40" s="2450"/>
    </row>
    <row r="41" spans="2:17" s="852" customFormat="1">
      <c r="B41" s="2450"/>
      <c r="C41" s="2450"/>
      <c r="D41" s="2450"/>
      <c r="E41" s="2450"/>
      <c r="F41" s="2450"/>
      <c r="G41" s="2450"/>
      <c r="H41" s="2450"/>
      <c r="I41" s="2450"/>
      <c r="J41" s="2450"/>
      <c r="K41" s="2450"/>
      <c r="L41" s="2450"/>
      <c r="M41" s="2450"/>
      <c r="N41" s="2450"/>
      <c r="O41" s="2450"/>
      <c r="P41" s="2450"/>
      <c r="Q41" s="2450"/>
    </row>
    <row r="42" spans="2:17" s="852" customFormat="1">
      <c r="B42" s="2450"/>
      <c r="C42" s="2450"/>
      <c r="D42" s="2450"/>
      <c r="E42" s="2450"/>
      <c r="F42" s="2450"/>
      <c r="G42" s="2450"/>
      <c r="H42" s="2450"/>
      <c r="I42" s="2450"/>
      <c r="J42" s="2450"/>
      <c r="K42" s="2450"/>
      <c r="L42" s="2450"/>
      <c r="M42" s="2450"/>
      <c r="N42" s="2450"/>
      <c r="O42" s="2450"/>
      <c r="P42" s="2450"/>
      <c r="Q42" s="2450"/>
    </row>
    <row r="43" spans="2:17" s="852" customFormat="1">
      <c r="B43" s="2450"/>
      <c r="C43" s="2450"/>
      <c r="D43" s="2450"/>
      <c r="E43" s="2450"/>
      <c r="F43" s="2450"/>
      <c r="G43" s="2450"/>
      <c r="H43" s="2450"/>
      <c r="I43" s="2450"/>
      <c r="J43" s="2450"/>
      <c r="K43" s="2450"/>
      <c r="L43" s="2450"/>
      <c r="M43" s="2450"/>
      <c r="N43" s="2450"/>
      <c r="O43" s="2450"/>
      <c r="P43" s="2450"/>
      <c r="Q43" s="2450"/>
    </row>
    <row r="44" spans="2:17" s="852" customFormat="1">
      <c r="B44" s="2450"/>
      <c r="C44" s="2450"/>
      <c r="D44" s="2450"/>
      <c r="E44" s="2450"/>
      <c r="F44" s="2450"/>
      <c r="G44" s="2450"/>
      <c r="H44" s="2450"/>
      <c r="I44" s="2450"/>
      <c r="J44" s="2450"/>
      <c r="K44" s="2450"/>
      <c r="L44" s="2450"/>
      <c r="M44" s="2450"/>
      <c r="N44" s="2450"/>
      <c r="O44" s="2450"/>
      <c r="P44" s="2450"/>
      <c r="Q44" s="2450"/>
    </row>
    <row r="45" spans="2:17" s="852" customFormat="1">
      <c r="B45" s="2450"/>
      <c r="C45" s="2450"/>
      <c r="D45" s="2450"/>
      <c r="E45" s="2450"/>
      <c r="F45" s="2450"/>
      <c r="G45" s="2450"/>
      <c r="H45" s="2450"/>
      <c r="I45" s="2450"/>
      <c r="J45" s="2450"/>
      <c r="K45" s="2450"/>
      <c r="L45" s="2450"/>
      <c r="M45" s="2450"/>
      <c r="N45" s="2450"/>
      <c r="O45" s="2450"/>
      <c r="P45" s="2450"/>
      <c r="Q45" s="2450"/>
    </row>
    <row r="46" spans="2:17" s="852" customFormat="1">
      <c r="B46" s="2450"/>
      <c r="C46" s="2450"/>
      <c r="D46" s="2450"/>
      <c r="E46" s="2450"/>
      <c r="F46" s="2450"/>
      <c r="G46" s="2450"/>
      <c r="H46" s="2450"/>
      <c r="I46" s="2450"/>
      <c r="J46" s="2450"/>
      <c r="K46" s="2450"/>
      <c r="L46" s="2450"/>
      <c r="M46" s="2450"/>
      <c r="N46" s="2450"/>
      <c r="O46" s="2450"/>
      <c r="P46" s="2450"/>
      <c r="Q46" s="2450"/>
    </row>
    <row r="47" spans="2:17" s="852" customFormat="1">
      <c r="B47" s="2450"/>
      <c r="C47" s="2450"/>
      <c r="D47" s="2450"/>
      <c r="E47" s="2450"/>
      <c r="F47" s="2450"/>
      <c r="G47" s="2450"/>
      <c r="H47" s="2450"/>
      <c r="I47" s="2450"/>
      <c r="J47" s="2450"/>
      <c r="K47" s="2450"/>
      <c r="L47" s="2450"/>
      <c r="M47" s="2450"/>
      <c r="N47" s="2450"/>
      <c r="O47" s="2450"/>
      <c r="P47" s="2450"/>
      <c r="Q47" s="2450"/>
    </row>
    <row r="48" spans="2:17" s="852" customFormat="1">
      <c r="B48" s="2450"/>
      <c r="C48" s="2450"/>
      <c r="D48" s="2450"/>
      <c r="E48" s="2450"/>
      <c r="F48" s="2450"/>
      <c r="G48" s="2450"/>
      <c r="H48" s="2450"/>
      <c r="I48" s="2450"/>
      <c r="J48" s="2450"/>
      <c r="K48" s="2450"/>
      <c r="L48" s="2450"/>
      <c r="M48" s="2450"/>
      <c r="N48" s="2450"/>
      <c r="O48" s="2450"/>
      <c r="P48" s="2450"/>
      <c r="Q48" s="2450"/>
    </row>
    <row r="49" spans="2:17" s="852" customFormat="1">
      <c r="B49" s="2450"/>
      <c r="C49" s="2450"/>
      <c r="D49" s="2450"/>
      <c r="E49" s="2450"/>
      <c r="F49" s="2450"/>
      <c r="G49" s="2450"/>
      <c r="H49" s="2450"/>
      <c r="I49" s="2450"/>
      <c r="J49" s="2450"/>
      <c r="K49" s="2450"/>
      <c r="L49" s="2450"/>
      <c r="M49" s="2450"/>
      <c r="N49" s="2450"/>
      <c r="O49" s="2450"/>
      <c r="P49" s="2450"/>
      <c r="Q49" s="2450"/>
    </row>
    <row r="50" spans="2:17" s="852" customFormat="1">
      <c r="B50" s="2450"/>
      <c r="C50" s="2450"/>
      <c r="D50" s="2450"/>
      <c r="E50" s="2450"/>
      <c r="F50" s="2450"/>
      <c r="G50" s="2450"/>
      <c r="H50" s="2450"/>
      <c r="I50" s="2450"/>
      <c r="J50" s="2450"/>
      <c r="K50" s="2450"/>
      <c r="L50" s="2450"/>
      <c r="M50" s="2450"/>
      <c r="N50" s="2450"/>
      <c r="O50" s="2450"/>
      <c r="P50" s="2450"/>
      <c r="Q50" s="2450"/>
    </row>
    <row r="51" spans="2:17" s="852" customFormat="1">
      <c r="B51" s="2450"/>
      <c r="C51" s="2450"/>
      <c r="D51" s="2450"/>
      <c r="E51" s="2450"/>
      <c r="F51" s="2450"/>
      <c r="G51" s="2450"/>
      <c r="H51" s="2450"/>
      <c r="I51" s="2450"/>
      <c r="J51" s="2450"/>
      <c r="K51" s="2450"/>
      <c r="L51" s="2450"/>
      <c r="M51" s="2450"/>
      <c r="N51" s="2450"/>
      <c r="O51" s="2450"/>
      <c r="P51" s="2450"/>
      <c r="Q51" s="2450"/>
    </row>
    <row r="52" spans="2:17" s="852" customFormat="1">
      <c r="B52" s="2450"/>
      <c r="C52" s="2450"/>
      <c r="D52" s="2450"/>
      <c r="E52" s="2450"/>
      <c r="F52" s="2450"/>
      <c r="G52" s="2450"/>
      <c r="H52" s="2450"/>
      <c r="I52" s="2450"/>
      <c r="J52" s="2450"/>
      <c r="K52" s="2450"/>
      <c r="L52" s="2450"/>
      <c r="M52" s="2450"/>
      <c r="N52" s="2450"/>
      <c r="O52" s="2450"/>
      <c r="P52" s="2450"/>
      <c r="Q52" s="2450"/>
    </row>
    <row r="53" spans="2:17" s="852" customFormat="1">
      <c r="B53" s="2450"/>
      <c r="C53" s="2450"/>
      <c r="D53" s="2450"/>
      <c r="E53" s="2450"/>
      <c r="F53" s="2450"/>
      <c r="G53" s="2450"/>
      <c r="H53" s="2450"/>
      <c r="I53" s="2450"/>
      <c r="J53" s="2450"/>
      <c r="K53" s="2450"/>
      <c r="L53" s="2450"/>
      <c r="M53" s="2450"/>
      <c r="N53" s="2450"/>
      <c r="O53" s="2450"/>
      <c r="P53" s="2450"/>
      <c r="Q53" s="2450"/>
    </row>
    <row r="54" spans="2:17" s="852" customFormat="1">
      <c r="B54" s="2450"/>
      <c r="C54" s="2450"/>
      <c r="D54" s="2450"/>
      <c r="E54" s="2450"/>
      <c r="F54" s="2450"/>
      <c r="G54" s="2450"/>
      <c r="H54" s="2450"/>
      <c r="I54" s="2450"/>
      <c r="J54" s="2450"/>
      <c r="K54" s="2450"/>
      <c r="L54" s="2450"/>
      <c r="M54" s="2450"/>
      <c r="N54" s="2450"/>
      <c r="O54" s="2450"/>
      <c r="P54" s="2450"/>
      <c r="Q54" s="2450"/>
    </row>
    <row r="55" spans="2:17" s="852" customFormat="1">
      <c r="B55" s="2450"/>
      <c r="C55" s="2450"/>
      <c r="D55" s="2450"/>
      <c r="E55" s="2450"/>
      <c r="F55" s="2450"/>
      <c r="G55" s="2450"/>
      <c r="H55" s="2450"/>
      <c r="I55" s="2450"/>
      <c r="J55" s="2450"/>
      <c r="K55" s="2450"/>
      <c r="L55" s="2450"/>
      <c r="M55" s="2450"/>
      <c r="N55" s="2450"/>
      <c r="O55" s="2450"/>
      <c r="P55" s="2450"/>
      <c r="Q55" s="2450"/>
    </row>
    <row r="56" spans="2:17" s="852" customFormat="1">
      <c r="B56" s="2450"/>
      <c r="C56" s="2450"/>
      <c r="D56" s="2450"/>
      <c r="E56" s="2450"/>
      <c r="F56" s="2450"/>
      <c r="G56" s="2450"/>
      <c r="H56" s="2450"/>
      <c r="I56" s="2450"/>
      <c r="J56" s="2450"/>
      <c r="K56" s="2450"/>
      <c r="L56" s="2450"/>
      <c r="M56" s="2450"/>
      <c r="N56" s="2450"/>
      <c r="O56" s="2450"/>
      <c r="P56" s="2450"/>
      <c r="Q56" s="2450"/>
    </row>
    <row r="57" spans="2:17" s="852" customFormat="1">
      <c r="B57" s="2450"/>
      <c r="C57" s="2450"/>
      <c r="D57" s="2450"/>
      <c r="E57" s="2450"/>
      <c r="F57" s="2450"/>
      <c r="G57" s="2450"/>
      <c r="H57" s="2450"/>
      <c r="I57" s="2450"/>
      <c r="J57" s="2450"/>
      <c r="K57" s="2450"/>
      <c r="L57" s="2450"/>
      <c r="M57" s="2450"/>
      <c r="N57" s="2450"/>
      <c r="O57" s="2450"/>
      <c r="P57" s="2450"/>
      <c r="Q57" s="2450"/>
    </row>
    <row r="58" spans="2:17" s="852" customFormat="1">
      <c r="B58" s="2450"/>
      <c r="C58" s="2450"/>
      <c r="D58" s="2450"/>
      <c r="E58" s="2450"/>
      <c r="F58" s="2450"/>
      <c r="G58" s="2450"/>
      <c r="H58" s="2450"/>
      <c r="I58" s="2450"/>
      <c r="J58" s="2450"/>
      <c r="K58" s="2450"/>
      <c r="L58" s="2450"/>
      <c r="M58" s="2450"/>
      <c r="N58" s="2450"/>
      <c r="O58" s="2450"/>
      <c r="P58" s="2450"/>
      <c r="Q58" s="2450"/>
    </row>
    <row r="59" spans="2:17" s="852" customFormat="1">
      <c r="B59" s="2450"/>
      <c r="C59" s="2450"/>
      <c r="D59" s="2450"/>
      <c r="E59" s="2450"/>
      <c r="F59" s="2450"/>
      <c r="G59" s="2450"/>
      <c r="H59" s="2450"/>
      <c r="I59" s="2450"/>
      <c r="J59" s="2450"/>
      <c r="K59" s="2450"/>
      <c r="L59" s="2450"/>
      <c r="M59" s="2450"/>
      <c r="N59" s="2450"/>
      <c r="O59" s="2450"/>
      <c r="P59" s="2450"/>
      <c r="Q59" s="2450"/>
    </row>
    <row r="60" spans="2:17" s="852" customFormat="1">
      <c r="B60" s="2450"/>
      <c r="C60" s="2450"/>
      <c r="D60" s="2450"/>
      <c r="E60" s="2450"/>
      <c r="F60" s="2450"/>
      <c r="G60" s="2450"/>
      <c r="H60" s="2450"/>
      <c r="I60" s="2450"/>
      <c r="J60" s="2450"/>
      <c r="K60" s="2450"/>
      <c r="L60" s="2450"/>
      <c r="M60" s="2450"/>
      <c r="N60" s="2450"/>
      <c r="O60" s="2450"/>
      <c r="P60" s="2450"/>
      <c r="Q60" s="2450"/>
    </row>
    <row r="61" spans="2:17" s="852" customFormat="1">
      <c r="B61" s="2450"/>
      <c r="C61" s="2450"/>
      <c r="D61" s="2450"/>
      <c r="E61" s="2450"/>
      <c r="F61" s="2450"/>
      <c r="G61" s="2450"/>
      <c r="H61" s="2450"/>
      <c r="I61" s="2450"/>
      <c r="J61" s="2450"/>
      <c r="K61" s="2450"/>
      <c r="L61" s="2450"/>
      <c r="M61" s="2450"/>
      <c r="N61" s="2450"/>
      <c r="O61" s="2450"/>
      <c r="P61" s="2450"/>
      <c r="Q61" s="2450"/>
    </row>
    <row r="62" spans="2:17" s="852" customFormat="1">
      <c r="B62" s="2450"/>
      <c r="C62" s="2450"/>
      <c r="D62" s="2450"/>
      <c r="E62" s="2450"/>
      <c r="F62" s="2450"/>
      <c r="G62" s="2450"/>
      <c r="H62" s="2450"/>
      <c r="I62" s="2450"/>
      <c r="J62" s="2450"/>
      <c r="K62" s="2450"/>
      <c r="L62" s="2450"/>
      <c r="M62" s="2450"/>
      <c r="N62" s="2450"/>
      <c r="O62" s="2450"/>
      <c r="P62" s="2450"/>
      <c r="Q62" s="2450"/>
    </row>
    <row r="63" spans="2:17" s="852" customFormat="1">
      <c r="B63" s="2450"/>
      <c r="C63" s="2450"/>
      <c r="D63" s="2450"/>
      <c r="E63" s="2450"/>
      <c r="F63" s="2450"/>
      <c r="G63" s="2450"/>
      <c r="H63" s="2450"/>
      <c r="I63" s="2450"/>
      <c r="J63" s="2450"/>
      <c r="K63" s="2450"/>
      <c r="L63" s="2450"/>
      <c r="M63" s="2450"/>
      <c r="N63" s="2450"/>
      <c r="O63" s="2450"/>
      <c r="P63" s="2450"/>
      <c r="Q63" s="2450"/>
    </row>
    <row r="64" spans="2:17" s="852" customFormat="1">
      <c r="B64" s="2450"/>
      <c r="C64" s="2450"/>
      <c r="D64" s="2450"/>
      <c r="E64" s="2450"/>
      <c r="F64" s="2450"/>
      <c r="G64" s="2450"/>
      <c r="H64" s="2450"/>
      <c r="I64" s="2450"/>
      <c r="J64" s="2450"/>
      <c r="K64" s="2450"/>
      <c r="L64" s="2450"/>
      <c r="M64" s="2450"/>
      <c r="N64" s="2450"/>
      <c r="O64" s="2450"/>
      <c r="P64" s="2450"/>
      <c r="Q64" s="2450"/>
    </row>
    <row r="65" spans="2:17" s="852" customFormat="1">
      <c r="B65" s="2450"/>
      <c r="C65" s="2450"/>
      <c r="D65" s="2450"/>
      <c r="E65" s="2450"/>
      <c r="F65" s="2450"/>
      <c r="G65" s="2450"/>
      <c r="H65" s="2450"/>
      <c r="I65" s="2450"/>
      <c r="J65" s="2450"/>
      <c r="K65" s="2450"/>
      <c r="L65" s="2450"/>
      <c r="M65" s="2450"/>
      <c r="N65" s="2450"/>
      <c r="O65" s="2450"/>
      <c r="P65" s="2450"/>
      <c r="Q65" s="2450"/>
    </row>
    <row r="66" spans="2:17" s="852" customFormat="1">
      <c r="B66" s="2450"/>
      <c r="C66" s="2450"/>
      <c r="D66" s="2450"/>
      <c r="E66" s="2450"/>
      <c r="F66" s="2450"/>
      <c r="G66" s="2450"/>
      <c r="H66" s="2450"/>
      <c r="I66" s="2450"/>
      <c r="J66" s="2450"/>
      <c r="K66" s="2450"/>
      <c r="L66" s="2450"/>
      <c r="M66" s="2450"/>
      <c r="N66" s="2450"/>
      <c r="O66" s="2450"/>
      <c r="P66" s="2450"/>
      <c r="Q66" s="2450"/>
    </row>
    <row r="67" spans="2:17" s="852" customFormat="1">
      <c r="B67" s="2450"/>
      <c r="C67" s="2450"/>
      <c r="D67" s="2450"/>
      <c r="E67" s="2450"/>
      <c r="F67" s="2450"/>
      <c r="G67" s="2450"/>
      <c r="H67" s="2450"/>
      <c r="I67" s="2450"/>
      <c r="J67" s="2450"/>
      <c r="K67" s="2450"/>
      <c r="L67" s="2450"/>
      <c r="M67" s="2450"/>
      <c r="N67" s="2450"/>
      <c r="O67" s="2450"/>
      <c r="P67" s="2450"/>
      <c r="Q67" s="2450"/>
    </row>
    <row r="68" spans="2:17" s="852" customFormat="1">
      <c r="B68" s="2450"/>
      <c r="C68" s="2450"/>
      <c r="D68" s="2450"/>
      <c r="E68" s="2450"/>
      <c r="F68" s="2450"/>
      <c r="G68" s="2450"/>
      <c r="H68" s="2450"/>
      <c r="I68" s="2450"/>
      <c r="J68" s="2450"/>
      <c r="K68" s="2450"/>
      <c r="L68" s="2450"/>
      <c r="M68" s="2450"/>
      <c r="N68" s="2450"/>
      <c r="O68" s="2450"/>
      <c r="P68" s="2450"/>
      <c r="Q68" s="2450"/>
    </row>
    <row r="69" spans="2:17" s="852" customFormat="1">
      <c r="B69" s="2450"/>
      <c r="C69" s="2450"/>
      <c r="D69" s="2450"/>
      <c r="E69" s="2450"/>
      <c r="F69" s="2450"/>
      <c r="G69" s="2450"/>
      <c r="H69" s="2450"/>
      <c r="I69" s="2450"/>
      <c r="J69" s="2450"/>
      <c r="K69" s="2450"/>
      <c r="L69" s="2450"/>
      <c r="M69" s="2450"/>
      <c r="N69" s="2450"/>
      <c r="O69" s="2450"/>
      <c r="P69" s="2450"/>
      <c r="Q69" s="2450"/>
    </row>
    <row r="70" spans="2:17" s="852" customFormat="1">
      <c r="B70" s="2450"/>
      <c r="C70" s="2450"/>
      <c r="D70" s="2450"/>
      <c r="E70" s="2450"/>
      <c r="F70" s="2450"/>
      <c r="G70" s="2450"/>
      <c r="H70" s="2450"/>
      <c r="I70" s="2450"/>
      <c r="J70" s="2450"/>
      <c r="K70" s="2450"/>
      <c r="L70" s="2450"/>
      <c r="M70" s="2450"/>
      <c r="N70" s="2450"/>
      <c r="O70" s="2450"/>
      <c r="P70" s="2450"/>
      <c r="Q70" s="2450"/>
    </row>
    <row r="71" spans="2:17" s="852" customFormat="1">
      <c r="B71" s="2450"/>
      <c r="C71" s="2450"/>
      <c r="D71" s="2450"/>
      <c r="E71" s="2450"/>
      <c r="F71" s="2450"/>
      <c r="G71" s="2450"/>
      <c r="H71" s="2450"/>
      <c r="I71" s="2450"/>
      <c r="J71" s="2450"/>
      <c r="K71" s="2450"/>
      <c r="L71" s="2450"/>
      <c r="M71" s="2450"/>
      <c r="N71" s="2450"/>
      <c r="O71" s="2450"/>
      <c r="P71" s="2450"/>
      <c r="Q71" s="2450"/>
    </row>
    <row r="72" spans="2:17" s="852" customFormat="1">
      <c r="B72" s="2450"/>
      <c r="C72" s="2450"/>
      <c r="D72" s="2450"/>
      <c r="E72" s="2450"/>
      <c r="F72" s="2450"/>
      <c r="G72" s="2450"/>
      <c r="H72" s="2450"/>
      <c r="I72" s="2450"/>
      <c r="J72" s="2450"/>
      <c r="K72" s="2450"/>
      <c r="L72" s="2450"/>
      <c r="M72" s="2450"/>
      <c r="N72" s="2450"/>
      <c r="O72" s="2450"/>
      <c r="P72" s="2450"/>
      <c r="Q72" s="2450"/>
    </row>
    <row r="73" spans="2:17" s="852" customFormat="1">
      <c r="B73" s="2450"/>
      <c r="C73" s="2450"/>
      <c r="D73" s="2450"/>
      <c r="E73" s="2450"/>
      <c r="F73" s="2450"/>
      <c r="G73" s="2450"/>
      <c r="H73" s="2450"/>
      <c r="I73" s="2450"/>
      <c r="J73" s="2450"/>
      <c r="K73" s="2450"/>
      <c r="L73" s="2450"/>
      <c r="M73" s="2450"/>
      <c r="N73" s="2450"/>
      <c r="O73" s="2450"/>
      <c r="P73" s="2450"/>
      <c r="Q73" s="2450"/>
    </row>
    <row r="74" spans="2:17" s="852" customFormat="1">
      <c r="B74" s="2450"/>
      <c r="C74" s="2450"/>
      <c r="D74" s="2450"/>
      <c r="E74" s="2450"/>
      <c r="F74" s="2450"/>
      <c r="G74" s="2450"/>
      <c r="H74" s="2450"/>
      <c r="I74" s="2450"/>
      <c r="J74" s="2450"/>
      <c r="K74" s="2450"/>
      <c r="L74" s="2450"/>
      <c r="M74" s="2450"/>
      <c r="N74" s="2450"/>
      <c r="O74" s="2450"/>
      <c r="P74" s="2450"/>
      <c r="Q74" s="2450"/>
    </row>
    <row r="75" spans="2:17" s="852" customFormat="1">
      <c r="B75" s="2450"/>
      <c r="C75" s="2450"/>
      <c r="D75" s="2450"/>
      <c r="E75" s="2450"/>
      <c r="F75" s="2450"/>
      <c r="G75" s="2450"/>
      <c r="H75" s="2450"/>
      <c r="I75" s="2450"/>
      <c r="J75" s="2450"/>
      <c r="K75" s="2450"/>
      <c r="L75" s="2450"/>
      <c r="M75" s="2450"/>
      <c r="N75" s="2450"/>
      <c r="O75" s="2450"/>
      <c r="P75" s="2450"/>
      <c r="Q75" s="2450"/>
    </row>
    <row r="76" spans="2:17" s="852" customFormat="1">
      <c r="B76" s="2450"/>
      <c r="C76" s="2450"/>
      <c r="D76" s="2450"/>
      <c r="E76" s="2450"/>
      <c r="F76" s="2450"/>
      <c r="G76" s="2450"/>
      <c r="H76" s="2450"/>
      <c r="I76" s="2450"/>
      <c r="J76" s="2450"/>
      <c r="K76" s="2450"/>
      <c r="L76" s="2450"/>
      <c r="M76" s="2450"/>
      <c r="N76" s="2450"/>
      <c r="O76" s="2450"/>
      <c r="P76" s="2450"/>
      <c r="Q76" s="2450"/>
    </row>
    <row r="77" spans="2:17" s="852" customFormat="1">
      <c r="B77" s="2450"/>
      <c r="C77" s="2450"/>
      <c r="D77" s="2450"/>
      <c r="E77" s="2450"/>
      <c r="F77" s="2450"/>
      <c r="G77" s="2450"/>
      <c r="H77" s="2450"/>
      <c r="I77" s="2450"/>
      <c r="J77" s="2450"/>
      <c r="K77" s="2450"/>
      <c r="L77" s="2450"/>
      <c r="M77" s="2450"/>
      <c r="N77" s="2450"/>
      <c r="O77" s="2450"/>
      <c r="P77" s="2450"/>
      <c r="Q77" s="2450"/>
    </row>
    <row r="78" spans="2:17" s="852" customFormat="1">
      <c r="B78" s="2450"/>
      <c r="C78" s="2450"/>
      <c r="D78" s="2450"/>
      <c r="E78" s="2450"/>
      <c r="F78" s="2450"/>
      <c r="G78" s="2450"/>
      <c r="H78" s="2450"/>
      <c r="I78" s="2450"/>
      <c r="J78" s="2450"/>
      <c r="K78" s="2450"/>
      <c r="L78" s="2450"/>
      <c r="M78" s="2450"/>
      <c r="N78" s="2450"/>
      <c r="O78" s="2450"/>
      <c r="P78" s="2450"/>
      <c r="Q78" s="2450"/>
    </row>
    <row r="79" spans="2:17" s="852" customFormat="1">
      <c r="B79" s="2450"/>
      <c r="C79" s="2450"/>
      <c r="D79" s="2450"/>
      <c r="E79" s="2450"/>
      <c r="F79" s="2450"/>
      <c r="G79" s="2450"/>
      <c r="H79" s="2450"/>
      <c r="I79" s="2450"/>
      <c r="J79" s="2450"/>
      <c r="K79" s="2450"/>
      <c r="L79" s="2450"/>
      <c r="M79" s="2450"/>
      <c r="N79" s="2450"/>
      <c r="O79" s="2450"/>
      <c r="P79" s="2450"/>
      <c r="Q79" s="2450"/>
    </row>
    <row r="80" spans="2:17" s="852" customFormat="1">
      <c r="B80" s="2450"/>
      <c r="C80" s="2450"/>
      <c r="D80" s="2450"/>
      <c r="E80" s="2450"/>
      <c r="F80" s="2450"/>
      <c r="G80" s="2450"/>
      <c r="H80" s="2450"/>
      <c r="I80" s="2450"/>
      <c r="J80" s="2450"/>
      <c r="K80" s="2450"/>
      <c r="L80" s="2450"/>
      <c r="M80" s="2450"/>
      <c r="N80" s="2450"/>
      <c r="O80" s="2450"/>
      <c r="P80" s="2450"/>
      <c r="Q80" s="2450"/>
    </row>
    <row r="81" spans="2:17" s="852" customFormat="1">
      <c r="B81" s="2450"/>
      <c r="C81" s="2450"/>
      <c r="D81" s="2450"/>
      <c r="E81" s="2450"/>
      <c r="F81" s="2450"/>
      <c r="G81" s="2450"/>
      <c r="H81" s="2450"/>
      <c r="I81" s="2450"/>
      <c r="J81" s="2450"/>
      <c r="K81" s="2450"/>
      <c r="L81" s="2450"/>
      <c r="M81" s="2450"/>
      <c r="N81" s="2450"/>
      <c r="O81" s="2450"/>
      <c r="P81" s="2450"/>
      <c r="Q81" s="2450"/>
    </row>
    <row r="82" spans="2:17" s="852" customFormat="1">
      <c r="B82" s="2450"/>
      <c r="C82" s="2450"/>
      <c r="D82" s="2450"/>
      <c r="E82" s="2450"/>
      <c r="F82" s="2450"/>
      <c r="G82" s="2450"/>
      <c r="H82" s="2450"/>
      <c r="I82" s="2450"/>
      <c r="J82" s="2450"/>
      <c r="K82" s="2450"/>
      <c r="L82" s="2450"/>
      <c r="M82" s="2450"/>
      <c r="N82" s="2450"/>
      <c r="O82" s="2450"/>
      <c r="P82" s="2450"/>
      <c r="Q82" s="2450"/>
    </row>
    <row r="83" spans="2:17" s="852" customFormat="1">
      <c r="B83" s="2450"/>
      <c r="C83" s="2450"/>
      <c r="D83" s="2450"/>
      <c r="E83" s="2450"/>
      <c r="F83" s="2450"/>
      <c r="G83" s="2450"/>
      <c r="H83" s="2450"/>
      <c r="I83" s="2450"/>
      <c r="J83" s="2450"/>
      <c r="K83" s="2450"/>
      <c r="L83" s="2450"/>
      <c r="M83" s="2450"/>
      <c r="N83" s="2450"/>
      <c r="O83" s="2450"/>
      <c r="P83" s="2450"/>
      <c r="Q83" s="2450"/>
    </row>
    <row r="84" spans="2:17" s="852" customFormat="1">
      <c r="B84" s="2450"/>
      <c r="C84" s="2450"/>
      <c r="D84" s="2450"/>
      <c r="E84" s="2450"/>
      <c r="F84" s="2450"/>
      <c r="G84" s="2450"/>
      <c r="H84" s="2450"/>
      <c r="I84" s="2450"/>
      <c r="J84" s="2450"/>
      <c r="K84" s="2450"/>
      <c r="L84" s="2450"/>
      <c r="M84" s="2450"/>
      <c r="N84" s="2450"/>
      <c r="O84" s="2450"/>
      <c r="P84" s="2450"/>
      <c r="Q84" s="2450"/>
    </row>
    <row r="85" spans="2:17" s="852" customFormat="1">
      <c r="B85" s="2450"/>
      <c r="C85" s="2450"/>
      <c r="D85" s="2450"/>
      <c r="E85" s="2450"/>
      <c r="F85" s="2450"/>
      <c r="G85" s="2450"/>
      <c r="H85" s="2450"/>
      <c r="I85" s="2450"/>
      <c r="J85" s="2450"/>
      <c r="K85" s="2450"/>
      <c r="L85" s="2450"/>
      <c r="M85" s="2450"/>
      <c r="N85" s="2450"/>
      <c r="O85" s="2450"/>
      <c r="P85" s="2450"/>
      <c r="Q85" s="2450"/>
    </row>
    <row r="86" spans="2:17" s="852" customFormat="1">
      <c r="B86" s="2450"/>
      <c r="C86" s="2450"/>
      <c r="D86" s="2450"/>
      <c r="E86" s="2450"/>
      <c r="F86" s="2450"/>
      <c r="G86" s="2450"/>
      <c r="H86" s="2450"/>
      <c r="I86" s="2450"/>
      <c r="J86" s="2450"/>
      <c r="K86" s="2450"/>
      <c r="L86" s="2450"/>
      <c r="M86" s="2450"/>
      <c r="N86" s="2450"/>
      <c r="O86" s="2450"/>
      <c r="P86" s="2450"/>
      <c r="Q86" s="2450"/>
    </row>
    <row r="87" spans="2:17" s="852" customFormat="1">
      <c r="B87" s="2450"/>
      <c r="C87" s="2450"/>
      <c r="D87" s="2450"/>
      <c r="E87" s="2450"/>
      <c r="F87" s="2450"/>
      <c r="G87" s="2450"/>
      <c r="H87" s="2450"/>
      <c r="I87" s="2450"/>
      <c r="J87" s="2450"/>
      <c r="K87" s="2450"/>
      <c r="L87" s="2450"/>
      <c r="M87" s="2450"/>
      <c r="N87" s="2450"/>
      <c r="O87" s="2450"/>
      <c r="P87" s="2450"/>
      <c r="Q87" s="2450"/>
    </row>
    <row r="88" spans="2:17" s="852" customFormat="1">
      <c r="B88" s="2450"/>
      <c r="C88" s="2450"/>
      <c r="D88" s="2450"/>
      <c r="E88" s="2450"/>
      <c r="F88" s="2450"/>
      <c r="G88" s="2450"/>
      <c r="H88" s="2450"/>
      <c r="I88" s="2450"/>
      <c r="J88" s="2450"/>
      <c r="K88" s="2450"/>
      <c r="L88" s="2450"/>
      <c r="M88" s="2450"/>
      <c r="N88" s="2450"/>
      <c r="O88" s="2450"/>
      <c r="P88" s="2450"/>
      <c r="Q88" s="2450"/>
    </row>
    <row r="89" spans="2:17" s="852" customFormat="1">
      <c r="B89" s="2450"/>
      <c r="C89" s="2450"/>
      <c r="D89" s="2450"/>
      <c r="E89" s="2450"/>
      <c r="F89" s="2450"/>
      <c r="G89" s="2450"/>
      <c r="H89" s="2450"/>
      <c r="I89" s="2450"/>
      <c r="J89" s="2450"/>
      <c r="K89" s="2450"/>
      <c r="L89" s="2450"/>
      <c r="M89" s="2450"/>
      <c r="N89" s="2450"/>
      <c r="O89" s="2450"/>
      <c r="P89" s="2450"/>
      <c r="Q89" s="2450"/>
    </row>
    <row r="90" spans="2:17" s="852" customFormat="1">
      <c r="B90" s="2450"/>
      <c r="C90" s="2450"/>
      <c r="D90" s="2450"/>
      <c r="E90" s="2450"/>
      <c r="F90" s="2450"/>
      <c r="G90" s="2450"/>
      <c r="H90" s="2450"/>
      <c r="I90" s="2450"/>
      <c r="J90" s="2450"/>
      <c r="K90" s="2450"/>
      <c r="L90" s="2450"/>
      <c r="M90" s="2450"/>
      <c r="N90" s="2450"/>
      <c r="O90" s="2450"/>
      <c r="P90" s="2450"/>
      <c r="Q90" s="2450"/>
    </row>
    <row r="91" spans="2:17" s="852" customFormat="1">
      <c r="B91" s="2450"/>
      <c r="C91" s="2450"/>
      <c r="D91" s="2450"/>
      <c r="E91" s="2450"/>
      <c r="F91" s="2450"/>
      <c r="G91" s="2450"/>
      <c r="H91" s="2450"/>
      <c r="I91" s="2450"/>
      <c r="J91" s="2450"/>
      <c r="K91" s="2450"/>
      <c r="L91" s="2450"/>
      <c r="M91" s="2450"/>
      <c r="N91" s="2450"/>
      <c r="O91" s="2450"/>
      <c r="P91" s="2450"/>
      <c r="Q91" s="2450"/>
    </row>
    <row r="92" spans="2:17" s="852" customFormat="1">
      <c r="B92" s="2450"/>
      <c r="C92" s="2450"/>
      <c r="D92" s="2450"/>
      <c r="E92" s="2450"/>
      <c r="F92" s="2450"/>
      <c r="G92" s="2450"/>
      <c r="H92" s="2450"/>
      <c r="I92" s="2450"/>
      <c r="J92" s="2450"/>
      <c r="K92" s="2450"/>
      <c r="L92" s="2450"/>
      <c r="M92" s="2450"/>
      <c r="N92" s="2450"/>
      <c r="O92" s="2450"/>
      <c r="P92" s="2450"/>
      <c r="Q92" s="2450"/>
    </row>
    <row r="93" spans="2:17" s="852" customFormat="1">
      <c r="B93" s="2450"/>
      <c r="C93" s="2450"/>
      <c r="D93" s="2450"/>
      <c r="E93" s="2450"/>
      <c r="F93" s="2450"/>
      <c r="G93" s="2450"/>
      <c r="H93" s="2450"/>
      <c r="I93" s="2450"/>
      <c r="J93" s="2450"/>
      <c r="K93" s="2450"/>
      <c r="L93" s="2450"/>
      <c r="M93" s="2450"/>
      <c r="N93" s="2450"/>
      <c r="O93" s="2450"/>
      <c r="P93" s="2450"/>
      <c r="Q93" s="2450"/>
    </row>
    <row r="94" spans="2:17" s="852" customFormat="1">
      <c r="B94" s="2450"/>
      <c r="C94" s="2450"/>
      <c r="D94" s="2450"/>
      <c r="E94" s="2450"/>
      <c r="F94" s="2450"/>
      <c r="G94" s="2450"/>
      <c r="H94" s="2450"/>
      <c r="I94" s="2450"/>
      <c r="J94" s="2450"/>
      <c r="K94" s="2450"/>
      <c r="L94" s="2450"/>
      <c r="M94" s="2450"/>
      <c r="N94" s="2450"/>
      <c r="O94" s="2450"/>
      <c r="P94" s="2450"/>
      <c r="Q94" s="2450"/>
    </row>
    <row r="95" spans="2:17" s="852" customFormat="1">
      <c r="B95" s="2450"/>
      <c r="C95" s="2450"/>
      <c r="D95" s="2450"/>
      <c r="E95" s="2450"/>
      <c r="F95" s="2450"/>
      <c r="G95" s="2450"/>
      <c r="H95" s="2450"/>
      <c r="I95" s="2450"/>
      <c r="J95" s="2450"/>
      <c r="K95" s="2450"/>
      <c r="L95" s="2450"/>
      <c r="M95" s="2450"/>
      <c r="N95" s="2450"/>
      <c r="O95" s="2450"/>
      <c r="P95" s="2450"/>
      <c r="Q95" s="2450"/>
    </row>
    <row r="96" spans="2:17" s="852" customFormat="1">
      <c r="B96" s="2450"/>
      <c r="C96" s="2450"/>
      <c r="D96" s="2450"/>
      <c r="E96" s="2450"/>
      <c r="F96" s="2450"/>
      <c r="G96" s="2450"/>
      <c r="H96" s="2450"/>
      <c r="I96" s="2450"/>
      <c r="J96" s="2450"/>
      <c r="K96" s="2450"/>
      <c r="L96" s="2450"/>
      <c r="M96" s="2450"/>
      <c r="N96" s="2450"/>
      <c r="O96" s="2450"/>
      <c r="P96" s="2450"/>
      <c r="Q96" s="2450"/>
    </row>
    <row r="97" spans="2:17" s="852" customFormat="1">
      <c r="B97" s="2450"/>
      <c r="C97" s="2450"/>
      <c r="D97" s="2450"/>
      <c r="E97" s="2450"/>
      <c r="F97" s="2450"/>
      <c r="G97" s="2450"/>
      <c r="H97" s="2450"/>
      <c r="I97" s="2450"/>
      <c r="J97" s="2450"/>
      <c r="K97" s="2450"/>
      <c r="L97" s="2450"/>
      <c r="M97" s="2450"/>
      <c r="N97" s="2450"/>
      <c r="O97" s="2450"/>
      <c r="P97" s="2450"/>
      <c r="Q97" s="2450"/>
    </row>
    <row r="98" spans="2:17" s="852" customFormat="1">
      <c r="B98" s="2450"/>
      <c r="C98" s="2450"/>
      <c r="D98" s="2450"/>
      <c r="E98" s="2450"/>
      <c r="F98" s="2450"/>
      <c r="G98" s="2450"/>
      <c r="H98" s="2450"/>
      <c r="I98" s="2450"/>
      <c r="J98" s="2450"/>
      <c r="K98" s="2450"/>
      <c r="L98" s="2450"/>
      <c r="M98" s="2450"/>
      <c r="N98" s="2450"/>
      <c r="O98" s="2450"/>
      <c r="P98" s="2450"/>
      <c r="Q98" s="2450"/>
    </row>
    <row r="99" spans="2:17" s="852" customFormat="1">
      <c r="B99" s="2450"/>
      <c r="C99" s="2450"/>
      <c r="D99" s="2450"/>
      <c r="E99" s="2450"/>
      <c r="F99" s="2450"/>
      <c r="G99" s="2450"/>
      <c r="H99" s="2450"/>
      <c r="I99" s="2450"/>
      <c r="J99" s="2450"/>
      <c r="K99" s="2450"/>
      <c r="L99" s="2450"/>
      <c r="M99" s="2450"/>
      <c r="N99" s="2450"/>
      <c r="O99" s="2450"/>
      <c r="P99" s="2450"/>
      <c r="Q99" s="2450"/>
    </row>
    <row r="100" spans="2:17" s="852" customFormat="1">
      <c r="B100" s="2450"/>
      <c r="C100" s="2450"/>
      <c r="D100" s="2450"/>
      <c r="E100" s="2450"/>
      <c r="F100" s="2450"/>
      <c r="G100" s="2450"/>
      <c r="H100" s="2450"/>
      <c r="I100" s="2450"/>
      <c r="J100" s="2450"/>
      <c r="K100" s="2450"/>
      <c r="L100" s="2450"/>
      <c r="M100" s="2450"/>
      <c r="N100" s="2450"/>
      <c r="O100" s="2450"/>
      <c r="P100" s="2450"/>
      <c r="Q100" s="2450"/>
    </row>
    <row r="101" spans="2:17" s="852" customFormat="1">
      <c r="B101" s="2450"/>
      <c r="C101" s="2450"/>
      <c r="D101" s="2450"/>
      <c r="E101" s="2450"/>
      <c r="F101" s="2450"/>
      <c r="G101" s="2450"/>
      <c r="H101" s="2450"/>
      <c r="I101" s="2450"/>
      <c r="J101" s="2450"/>
      <c r="K101" s="2450"/>
      <c r="L101" s="2450"/>
      <c r="M101" s="2450"/>
      <c r="N101" s="2450"/>
      <c r="O101" s="2450"/>
      <c r="P101" s="2450"/>
      <c r="Q101" s="2450"/>
    </row>
    <row r="102" spans="2:17" s="852" customFormat="1">
      <c r="B102" s="2450"/>
      <c r="C102" s="2450"/>
      <c r="D102" s="2450"/>
      <c r="E102" s="2450"/>
      <c r="F102" s="2450"/>
      <c r="G102" s="2450"/>
      <c r="H102" s="2450"/>
      <c r="I102" s="2450"/>
      <c r="J102" s="2450"/>
      <c r="K102" s="2450"/>
      <c r="L102" s="2450"/>
      <c r="M102" s="2450"/>
      <c r="N102" s="2450"/>
      <c r="O102" s="2450"/>
      <c r="P102" s="2450"/>
      <c r="Q102" s="2450"/>
    </row>
    <row r="103" spans="2:17" s="852" customFormat="1">
      <c r="B103" s="2450"/>
      <c r="C103" s="2450"/>
      <c r="D103" s="2450"/>
      <c r="E103" s="2450"/>
      <c r="F103" s="2450"/>
      <c r="G103" s="2450"/>
      <c r="H103" s="2450"/>
      <c r="I103" s="2450"/>
      <c r="J103" s="2450"/>
      <c r="K103" s="2450"/>
      <c r="L103" s="2450"/>
      <c r="M103" s="2450"/>
      <c r="N103" s="2450"/>
      <c r="O103" s="2450"/>
      <c r="P103" s="2450"/>
      <c r="Q103" s="2450"/>
    </row>
    <row r="104" spans="2:17" s="852" customFormat="1">
      <c r="B104" s="2450"/>
      <c r="C104" s="2450"/>
      <c r="D104" s="2450"/>
      <c r="E104" s="2450"/>
      <c r="F104" s="2450"/>
      <c r="G104" s="2450"/>
      <c r="H104" s="2450"/>
      <c r="I104" s="2450"/>
      <c r="J104" s="2450"/>
      <c r="K104" s="2450"/>
      <c r="L104" s="2450"/>
      <c r="M104" s="2450"/>
      <c r="N104" s="2450"/>
      <c r="O104" s="2450"/>
      <c r="P104" s="2450"/>
      <c r="Q104" s="2450"/>
    </row>
    <row r="105" spans="2:17" s="852" customFormat="1">
      <c r="B105" s="2450"/>
      <c r="C105" s="2450"/>
      <c r="D105" s="2450"/>
      <c r="E105" s="2450"/>
      <c r="F105" s="2450"/>
      <c r="G105" s="2450"/>
      <c r="H105" s="2450"/>
      <c r="I105" s="2450"/>
      <c r="J105" s="2450"/>
      <c r="K105" s="2450"/>
      <c r="L105" s="2450"/>
      <c r="M105" s="2450"/>
      <c r="N105" s="2450"/>
      <c r="O105" s="2450"/>
      <c r="P105" s="2450"/>
      <c r="Q105" s="2450"/>
    </row>
    <row r="106" spans="2:17" s="852" customFormat="1">
      <c r="B106" s="2450"/>
      <c r="C106" s="2450"/>
      <c r="D106" s="2450"/>
      <c r="E106" s="2450"/>
      <c r="F106" s="2450"/>
      <c r="G106" s="2450"/>
      <c r="H106" s="2450"/>
      <c r="I106" s="2450"/>
      <c r="J106" s="2450"/>
      <c r="K106" s="2450"/>
      <c r="L106" s="2450"/>
      <c r="M106" s="2450"/>
      <c r="N106" s="2450"/>
      <c r="O106" s="2450"/>
      <c r="P106" s="2450"/>
      <c r="Q106" s="2450"/>
    </row>
    <row r="107" spans="2:17" s="852" customFormat="1">
      <c r="B107" s="2450"/>
      <c r="C107" s="2450"/>
      <c r="D107" s="2450"/>
      <c r="E107" s="2450"/>
      <c r="F107" s="2450"/>
      <c r="G107" s="2450"/>
      <c r="H107" s="2450"/>
      <c r="I107" s="2450"/>
      <c r="J107" s="2450"/>
      <c r="K107" s="2450"/>
      <c r="L107" s="2450"/>
      <c r="M107" s="2450"/>
      <c r="N107" s="2450"/>
      <c r="O107" s="2450"/>
      <c r="P107" s="2450"/>
      <c r="Q107" s="2450"/>
    </row>
    <row r="108" spans="2:17" s="852" customFormat="1">
      <c r="B108" s="2450"/>
      <c r="C108" s="2450"/>
      <c r="D108" s="2450"/>
      <c r="E108" s="2450"/>
      <c r="F108" s="2450"/>
      <c r="G108" s="2450"/>
      <c r="H108" s="2450"/>
      <c r="I108" s="2450"/>
      <c r="J108" s="2450"/>
      <c r="K108" s="2450"/>
      <c r="L108" s="2450"/>
      <c r="M108" s="2450"/>
      <c r="N108" s="2450"/>
      <c r="O108" s="2450"/>
      <c r="P108" s="2450"/>
      <c r="Q108" s="2450"/>
    </row>
    <row r="109" spans="2:17" s="852" customFormat="1">
      <c r="B109" s="2450"/>
      <c r="C109" s="2450"/>
      <c r="D109" s="2450"/>
      <c r="E109" s="2450"/>
      <c r="F109" s="2450"/>
      <c r="G109" s="2450"/>
      <c r="H109" s="2450"/>
      <c r="I109" s="2450"/>
      <c r="J109" s="2450"/>
      <c r="K109" s="2450"/>
      <c r="L109" s="2450"/>
      <c r="M109" s="2450"/>
      <c r="N109" s="2450"/>
      <c r="O109" s="2450"/>
      <c r="P109" s="2450"/>
      <c r="Q109" s="2450"/>
    </row>
    <row r="110" spans="2:17" s="852" customFormat="1">
      <c r="B110" s="2450"/>
      <c r="C110" s="2450"/>
      <c r="D110" s="2450"/>
      <c r="E110" s="2450"/>
      <c r="F110" s="2450"/>
      <c r="G110" s="2450"/>
      <c r="H110" s="2450"/>
      <c r="I110" s="2450"/>
      <c r="J110" s="2450"/>
      <c r="K110" s="2450"/>
      <c r="L110" s="2450"/>
      <c r="M110" s="2450"/>
      <c r="N110" s="2450"/>
      <c r="O110" s="2450"/>
      <c r="P110" s="2450"/>
      <c r="Q110" s="2450"/>
    </row>
    <row r="111" spans="2:17" s="852" customFormat="1">
      <c r="B111" s="2450"/>
      <c r="C111" s="2450"/>
      <c r="D111" s="2450"/>
      <c r="E111" s="2450"/>
      <c r="F111" s="2450"/>
      <c r="G111" s="2450"/>
      <c r="H111" s="2450"/>
      <c r="I111" s="2450"/>
      <c r="J111" s="2450"/>
      <c r="K111" s="2450"/>
      <c r="L111" s="2450"/>
      <c r="M111" s="2450"/>
      <c r="N111" s="2450"/>
      <c r="O111" s="2450"/>
      <c r="P111" s="2450"/>
      <c r="Q111" s="2450"/>
    </row>
    <row r="112" spans="2:17" s="852" customFormat="1">
      <c r="B112" s="2450"/>
      <c r="C112" s="2450"/>
      <c r="D112" s="2450"/>
      <c r="E112" s="2450"/>
      <c r="F112" s="2450"/>
      <c r="G112" s="2450"/>
      <c r="H112" s="2450"/>
      <c r="I112" s="2450"/>
      <c r="J112" s="2450"/>
      <c r="K112" s="2450"/>
      <c r="L112" s="2450"/>
      <c r="M112" s="2450"/>
      <c r="N112" s="2450"/>
      <c r="O112" s="2450"/>
      <c r="P112" s="2450"/>
      <c r="Q112" s="2450"/>
    </row>
    <row r="113" spans="2:17" s="852" customFormat="1">
      <c r="B113" s="2450"/>
      <c r="C113" s="2450"/>
      <c r="D113" s="2450"/>
      <c r="E113" s="2450"/>
      <c r="F113" s="2450"/>
      <c r="G113" s="2450"/>
      <c r="H113" s="2450"/>
      <c r="I113" s="2450"/>
      <c r="J113" s="2450"/>
      <c r="K113" s="2450"/>
      <c r="L113" s="2450"/>
      <c r="M113" s="2450"/>
      <c r="N113" s="2450"/>
      <c r="O113" s="2450"/>
      <c r="P113" s="2450"/>
      <c r="Q113" s="2450"/>
    </row>
    <row r="114" spans="2:17" s="852" customFormat="1">
      <c r="B114" s="2450"/>
      <c r="C114" s="2450"/>
      <c r="D114" s="2450"/>
      <c r="E114" s="2450"/>
      <c r="F114" s="2450"/>
      <c r="G114" s="2450"/>
      <c r="H114" s="2450"/>
      <c r="I114" s="2450"/>
      <c r="J114" s="2450"/>
      <c r="K114" s="2450"/>
      <c r="L114" s="2450"/>
      <c r="M114" s="2450"/>
      <c r="N114" s="2450"/>
      <c r="O114" s="2450"/>
      <c r="P114" s="2450"/>
      <c r="Q114" s="2450"/>
    </row>
    <row r="115" spans="2:17" s="852" customFormat="1">
      <c r="B115" s="2450"/>
      <c r="C115" s="2450"/>
      <c r="D115" s="2450"/>
      <c r="E115" s="2450"/>
      <c r="F115" s="2450"/>
      <c r="G115" s="2450"/>
      <c r="H115" s="2450"/>
      <c r="I115" s="2450"/>
      <c r="J115" s="2450"/>
      <c r="K115" s="2450"/>
      <c r="L115" s="2450"/>
      <c r="M115" s="2450"/>
      <c r="N115" s="2450"/>
      <c r="O115" s="2450"/>
      <c r="P115" s="2450"/>
      <c r="Q115" s="2450"/>
    </row>
    <row r="116" spans="2:17" s="852" customFormat="1">
      <c r="B116" s="2450"/>
      <c r="C116" s="2450"/>
      <c r="D116" s="2450"/>
      <c r="E116" s="2450"/>
      <c r="F116" s="2450"/>
      <c r="G116" s="2450"/>
      <c r="H116" s="2450"/>
      <c r="I116" s="2450"/>
      <c r="J116" s="2450"/>
      <c r="K116" s="2450"/>
      <c r="L116" s="2450"/>
      <c r="M116" s="2450"/>
      <c r="N116" s="2450"/>
      <c r="O116" s="2450"/>
      <c r="P116" s="2450"/>
      <c r="Q116" s="2450"/>
    </row>
    <row r="117" spans="2:17" s="852" customFormat="1">
      <c r="B117" s="2450"/>
      <c r="C117" s="2450"/>
      <c r="D117" s="2450"/>
      <c r="E117" s="2450"/>
      <c r="F117" s="2450"/>
      <c r="G117" s="2450"/>
      <c r="H117" s="2450"/>
      <c r="I117" s="2450"/>
      <c r="J117" s="2450"/>
      <c r="K117" s="2450"/>
      <c r="L117" s="2450"/>
      <c r="M117" s="2450"/>
      <c r="N117" s="2450"/>
      <c r="O117" s="2450"/>
      <c r="P117" s="2450"/>
      <c r="Q117" s="2450"/>
    </row>
    <row r="118" spans="2:17" s="852" customFormat="1">
      <c r="B118" s="2450"/>
      <c r="C118" s="2450"/>
      <c r="D118" s="2450"/>
      <c r="E118" s="2450"/>
      <c r="F118" s="2450"/>
      <c r="G118" s="2450"/>
      <c r="H118" s="2450"/>
      <c r="I118" s="2450"/>
      <c r="J118" s="2450"/>
      <c r="K118" s="2450"/>
      <c r="L118" s="2450"/>
      <c r="M118" s="2450"/>
      <c r="N118" s="2450"/>
      <c r="O118" s="2450"/>
      <c r="P118" s="2450"/>
      <c r="Q118" s="2450"/>
    </row>
    <row r="119" spans="2:17" s="852" customFormat="1">
      <c r="B119" s="2450"/>
      <c r="C119" s="2450"/>
      <c r="D119" s="2450"/>
      <c r="E119" s="2450"/>
      <c r="F119" s="2450"/>
      <c r="G119" s="2450"/>
      <c r="H119" s="2450"/>
      <c r="I119" s="2450"/>
      <c r="J119" s="2450"/>
      <c r="K119" s="2450"/>
      <c r="L119" s="2450"/>
      <c r="M119" s="2450"/>
      <c r="N119" s="2450"/>
      <c r="O119" s="2450"/>
      <c r="P119" s="2450"/>
      <c r="Q119" s="2450"/>
    </row>
    <row r="120" spans="2:17" s="852" customFormat="1">
      <c r="B120" s="2450"/>
      <c r="C120" s="2450"/>
      <c r="D120" s="2450"/>
      <c r="E120" s="2450"/>
      <c r="F120" s="2450"/>
      <c r="G120" s="2450"/>
      <c r="H120" s="2450"/>
      <c r="I120" s="2450"/>
      <c r="J120" s="2450"/>
      <c r="K120" s="2450"/>
      <c r="L120" s="2450"/>
      <c r="M120" s="2450"/>
      <c r="N120" s="2450"/>
      <c r="O120" s="2450"/>
      <c r="P120" s="2450"/>
      <c r="Q120" s="2450"/>
    </row>
    <row r="121" spans="2:17" s="852" customFormat="1">
      <c r="B121" s="2450"/>
      <c r="C121" s="2450"/>
      <c r="D121" s="2450"/>
      <c r="E121" s="2450"/>
      <c r="F121" s="2450"/>
      <c r="G121" s="2450"/>
      <c r="H121" s="2450"/>
      <c r="I121" s="2450"/>
      <c r="J121" s="2450"/>
      <c r="K121" s="2450"/>
      <c r="L121" s="2450"/>
      <c r="M121" s="2450"/>
      <c r="N121" s="2450"/>
      <c r="O121" s="2450"/>
      <c r="P121" s="2450"/>
      <c r="Q121" s="2450"/>
    </row>
    <row r="122" spans="2:17" s="852" customFormat="1">
      <c r="B122" s="2450"/>
      <c r="C122" s="2450"/>
      <c r="D122" s="2450"/>
      <c r="E122" s="2450"/>
      <c r="F122" s="2450"/>
      <c r="G122" s="2450"/>
      <c r="H122" s="2450"/>
      <c r="I122" s="2450"/>
      <c r="J122" s="2450"/>
      <c r="K122" s="2450"/>
      <c r="L122" s="2450"/>
      <c r="M122" s="2450"/>
      <c r="N122" s="2450"/>
      <c r="O122" s="2450"/>
      <c r="P122" s="2450"/>
      <c r="Q122" s="2450"/>
    </row>
    <row r="123" spans="2:17" s="852" customFormat="1">
      <c r="B123" s="2450"/>
      <c r="C123" s="2450"/>
      <c r="D123" s="2450"/>
      <c r="E123" s="2450"/>
      <c r="F123" s="2450"/>
      <c r="G123" s="2450"/>
      <c r="H123" s="2450"/>
      <c r="I123" s="2450"/>
      <c r="J123" s="2450"/>
      <c r="K123" s="2450"/>
      <c r="L123" s="2450"/>
      <c r="M123" s="2450"/>
      <c r="N123" s="2450"/>
      <c r="O123" s="2450"/>
      <c r="P123" s="2450"/>
      <c r="Q123" s="2450"/>
    </row>
    <row r="124" spans="2:17" s="852" customFormat="1">
      <c r="B124" s="2450"/>
      <c r="C124" s="2450"/>
      <c r="D124" s="2450"/>
      <c r="E124" s="2450"/>
      <c r="F124" s="2450"/>
      <c r="G124" s="2450"/>
      <c r="H124" s="2450"/>
      <c r="I124" s="2450"/>
      <c r="J124" s="2450"/>
      <c r="K124" s="2450"/>
      <c r="L124" s="2450"/>
      <c r="M124" s="2450"/>
      <c r="N124" s="2450"/>
      <c r="O124" s="2450"/>
      <c r="P124" s="2450"/>
      <c r="Q124" s="2450"/>
    </row>
    <row r="125" spans="2:17" s="852" customFormat="1">
      <c r="B125" s="2450"/>
      <c r="C125" s="2450"/>
      <c r="D125" s="2450"/>
      <c r="E125" s="2450"/>
      <c r="F125" s="2450"/>
      <c r="G125" s="2450"/>
      <c r="H125" s="2450"/>
      <c r="I125" s="2450"/>
      <c r="J125" s="2450"/>
      <c r="K125" s="2450"/>
      <c r="L125" s="2450"/>
      <c r="M125" s="2450"/>
      <c r="N125" s="2450"/>
      <c r="O125" s="2450"/>
      <c r="P125" s="2450"/>
      <c r="Q125" s="2450"/>
    </row>
    <row r="126" spans="2:17" s="852" customFormat="1">
      <c r="B126" s="2450"/>
      <c r="C126" s="2450"/>
      <c r="D126" s="2450"/>
      <c r="E126" s="2450"/>
      <c r="F126" s="2450"/>
      <c r="G126" s="2450"/>
      <c r="H126" s="2450"/>
      <c r="I126" s="2450"/>
      <c r="J126" s="2450"/>
      <c r="K126" s="2450"/>
      <c r="L126" s="2450"/>
      <c r="M126" s="2450"/>
      <c r="N126" s="2450"/>
      <c r="O126" s="2450"/>
      <c r="P126" s="2450"/>
      <c r="Q126" s="2450"/>
    </row>
    <row r="127" spans="2:17" s="852" customFormat="1">
      <c r="B127" s="2450"/>
      <c r="C127" s="2450"/>
      <c r="D127" s="2450"/>
      <c r="E127" s="2450"/>
      <c r="F127" s="2450"/>
      <c r="G127" s="2450"/>
      <c r="H127" s="2450"/>
      <c r="I127" s="2450"/>
      <c r="J127" s="2450"/>
      <c r="K127" s="2450"/>
      <c r="L127" s="2450"/>
      <c r="M127" s="2450"/>
      <c r="N127" s="2450"/>
      <c r="O127" s="2450"/>
      <c r="P127" s="2450"/>
      <c r="Q127" s="2450"/>
    </row>
    <row r="128" spans="2:17" s="852" customFormat="1">
      <c r="B128" s="2450"/>
      <c r="C128" s="2450"/>
      <c r="D128" s="2450"/>
      <c r="E128" s="2450"/>
      <c r="F128" s="2450"/>
      <c r="G128" s="2450"/>
      <c r="H128" s="2450"/>
      <c r="I128" s="2450"/>
      <c r="J128" s="2450"/>
      <c r="K128" s="2450"/>
      <c r="L128" s="2450"/>
      <c r="M128" s="2450"/>
      <c r="N128" s="2450"/>
      <c r="O128" s="2450"/>
      <c r="P128" s="2450"/>
      <c r="Q128" s="2450"/>
    </row>
    <row r="129" spans="2:17" s="852" customFormat="1">
      <c r="B129" s="2450"/>
      <c r="C129" s="2450"/>
      <c r="D129" s="2450"/>
      <c r="E129" s="2450"/>
      <c r="F129" s="2450"/>
      <c r="G129" s="2450"/>
      <c r="H129" s="2450"/>
      <c r="I129" s="2450"/>
      <c r="J129" s="2450"/>
      <c r="K129" s="2450"/>
      <c r="L129" s="2450"/>
      <c r="M129" s="2450"/>
      <c r="N129" s="2450"/>
      <c r="O129" s="2450"/>
      <c r="P129" s="2450"/>
      <c r="Q129" s="2450"/>
    </row>
    <row r="130" spans="2:17" s="852" customFormat="1">
      <c r="B130" s="2450"/>
      <c r="C130" s="2450"/>
      <c r="D130" s="2450"/>
      <c r="E130" s="2450"/>
      <c r="F130" s="2450"/>
      <c r="G130" s="2450"/>
      <c r="H130" s="2450"/>
      <c r="I130" s="2450"/>
      <c r="J130" s="2450"/>
      <c r="K130" s="2450"/>
      <c r="L130" s="2450"/>
      <c r="M130" s="2450"/>
      <c r="N130" s="2450"/>
      <c r="O130" s="2450"/>
      <c r="P130" s="2450"/>
      <c r="Q130" s="2450"/>
    </row>
    <row r="131" spans="2:17" s="852" customFormat="1">
      <c r="B131" s="2450"/>
      <c r="C131" s="2450"/>
      <c r="D131" s="2450"/>
      <c r="E131" s="2450"/>
      <c r="F131" s="2450"/>
      <c r="G131" s="2450"/>
      <c r="H131" s="2450"/>
      <c r="I131" s="2450"/>
      <c r="J131" s="2450"/>
      <c r="K131" s="2450"/>
      <c r="L131" s="2450"/>
      <c r="M131" s="2450"/>
      <c r="N131" s="2450"/>
      <c r="O131" s="2450"/>
      <c r="P131" s="2450"/>
      <c r="Q131" s="2450"/>
    </row>
    <row r="132" spans="2:17" s="852" customFormat="1">
      <c r="B132" s="2450"/>
      <c r="C132" s="2450"/>
      <c r="D132" s="2450"/>
      <c r="E132" s="2450"/>
      <c r="F132" s="2450"/>
      <c r="G132" s="2450"/>
      <c r="H132" s="2450"/>
      <c r="I132" s="2450"/>
      <c r="J132" s="2450"/>
      <c r="K132" s="2450"/>
      <c r="L132" s="2450"/>
      <c r="M132" s="2450"/>
      <c r="N132" s="2450"/>
      <c r="O132" s="2450"/>
      <c r="P132" s="2450"/>
      <c r="Q132" s="2450"/>
    </row>
    <row r="133" spans="2:17" s="852" customFormat="1">
      <c r="B133" s="2450"/>
      <c r="C133" s="2450"/>
      <c r="D133" s="2450"/>
      <c r="E133" s="2450"/>
      <c r="F133" s="2450"/>
      <c r="G133" s="2450"/>
      <c r="H133" s="2450"/>
      <c r="I133" s="2450"/>
      <c r="J133" s="2450"/>
      <c r="K133" s="2450"/>
      <c r="L133" s="2450"/>
      <c r="M133" s="2450"/>
      <c r="N133" s="2450"/>
      <c r="O133" s="2450"/>
      <c r="P133" s="2450"/>
      <c r="Q133" s="2450"/>
    </row>
    <row r="134" spans="2:17" s="852" customFormat="1">
      <c r="B134" s="2450"/>
      <c r="C134" s="2450"/>
      <c r="D134" s="2450"/>
      <c r="E134" s="2450"/>
      <c r="F134" s="2450"/>
      <c r="G134" s="2450"/>
      <c r="H134" s="2450"/>
      <c r="I134" s="2450"/>
      <c r="J134" s="2450"/>
      <c r="K134" s="2450"/>
      <c r="L134" s="2450"/>
      <c r="M134" s="2450"/>
      <c r="N134" s="2450"/>
      <c r="O134" s="2450"/>
      <c r="P134" s="2450"/>
      <c r="Q134" s="2450"/>
    </row>
    <row r="135" spans="2:17" s="852" customFormat="1">
      <c r="B135" s="2450"/>
      <c r="C135" s="2450"/>
      <c r="D135" s="2450"/>
      <c r="E135" s="2450"/>
      <c r="F135" s="2450"/>
      <c r="G135" s="2450"/>
      <c r="H135" s="2450"/>
      <c r="I135" s="2450"/>
      <c r="J135" s="2450"/>
      <c r="K135" s="2450"/>
      <c r="L135" s="2450"/>
      <c r="M135" s="2450"/>
      <c r="N135" s="2450"/>
      <c r="O135" s="2450"/>
      <c r="P135" s="2450"/>
      <c r="Q135" s="2450"/>
    </row>
    <row r="136" spans="2:17" s="852" customFormat="1">
      <c r="B136" s="2450"/>
      <c r="C136" s="2450"/>
      <c r="D136" s="2450"/>
      <c r="E136" s="2450"/>
      <c r="F136" s="2450"/>
      <c r="G136" s="2450"/>
      <c r="H136" s="2450"/>
      <c r="I136" s="2450"/>
      <c r="J136" s="2450"/>
      <c r="K136" s="2450"/>
      <c r="L136" s="2450"/>
      <c r="M136" s="2450"/>
      <c r="N136" s="2450"/>
      <c r="O136" s="2450"/>
      <c r="P136" s="2450"/>
      <c r="Q136" s="2450"/>
    </row>
    <row r="137" spans="2:17" s="852" customFormat="1">
      <c r="B137" s="2450"/>
      <c r="C137" s="2450"/>
      <c r="D137" s="2450"/>
      <c r="E137" s="2450"/>
      <c r="F137" s="2450"/>
      <c r="G137" s="2450"/>
      <c r="H137" s="2450"/>
      <c r="I137" s="2450"/>
      <c r="J137" s="2450"/>
      <c r="K137" s="2450"/>
      <c r="L137" s="2450"/>
      <c r="M137" s="2450"/>
      <c r="N137" s="2450"/>
      <c r="O137" s="2450"/>
      <c r="P137" s="2450"/>
      <c r="Q137" s="2450"/>
    </row>
    <row r="138" spans="2:17" s="852" customFormat="1">
      <c r="B138" s="2450"/>
      <c r="C138" s="2450"/>
      <c r="D138" s="2450"/>
      <c r="E138" s="2450"/>
      <c r="F138" s="2450"/>
      <c r="G138" s="2450"/>
      <c r="H138" s="2450"/>
      <c r="I138" s="2450"/>
      <c r="J138" s="2450"/>
      <c r="K138" s="2450"/>
      <c r="L138" s="2450"/>
      <c r="M138" s="2450"/>
      <c r="N138" s="2450"/>
      <c r="O138" s="2450"/>
      <c r="P138" s="2450"/>
      <c r="Q138" s="2450"/>
    </row>
    <row r="139" spans="2:17" s="852" customFormat="1">
      <c r="B139" s="2450"/>
      <c r="C139" s="2450"/>
      <c r="D139" s="2450"/>
      <c r="E139" s="2450"/>
      <c r="F139" s="2450"/>
      <c r="G139" s="2450"/>
      <c r="H139" s="2450"/>
      <c r="I139" s="2450"/>
      <c r="J139" s="2450"/>
      <c r="K139" s="2450"/>
      <c r="L139" s="2450"/>
      <c r="M139" s="2450"/>
      <c r="N139" s="2450"/>
      <c r="O139" s="2450"/>
      <c r="P139" s="2450"/>
      <c r="Q139" s="2450"/>
    </row>
    <row r="140" spans="2:17" s="852" customFormat="1">
      <c r="B140" s="2450"/>
      <c r="C140" s="2450"/>
      <c r="D140" s="2450"/>
      <c r="E140" s="2450"/>
      <c r="F140" s="2450"/>
      <c r="G140" s="2450"/>
      <c r="H140" s="2450"/>
      <c r="I140" s="2450"/>
      <c r="J140" s="2450"/>
      <c r="K140" s="2450"/>
      <c r="L140" s="2450"/>
      <c r="M140" s="2450"/>
      <c r="N140" s="2450"/>
      <c r="O140" s="2450"/>
      <c r="P140" s="2450"/>
      <c r="Q140" s="2450"/>
    </row>
    <row r="141" spans="2:17" s="852" customFormat="1">
      <c r="B141" s="2450"/>
      <c r="C141" s="2450"/>
      <c r="D141" s="2450"/>
      <c r="E141" s="2450"/>
      <c r="F141" s="2450"/>
      <c r="G141" s="2450"/>
      <c r="H141" s="2450"/>
      <c r="I141" s="2450"/>
      <c r="J141" s="2450"/>
      <c r="K141" s="2450"/>
      <c r="L141" s="2450"/>
      <c r="M141" s="2450"/>
      <c r="N141" s="2450"/>
      <c r="O141" s="2450"/>
      <c r="P141" s="2450"/>
      <c r="Q141" s="2450"/>
    </row>
    <row r="142" spans="2:17" s="852" customFormat="1">
      <c r="B142" s="2450"/>
      <c r="C142" s="2450"/>
      <c r="D142" s="2450"/>
      <c r="E142" s="2450"/>
      <c r="F142" s="2450"/>
      <c r="G142" s="2450"/>
      <c r="H142" s="2450"/>
      <c r="I142" s="2450"/>
      <c r="J142" s="2450"/>
      <c r="K142" s="2450"/>
      <c r="L142" s="2450"/>
      <c r="M142" s="2450"/>
      <c r="N142" s="2450"/>
      <c r="O142" s="2450"/>
      <c r="P142" s="2450"/>
      <c r="Q142" s="2450"/>
    </row>
    <row r="143" spans="2:17" s="852" customFormat="1">
      <c r="B143" s="2450"/>
      <c r="C143" s="2450"/>
      <c r="D143" s="2450"/>
      <c r="E143" s="2450"/>
      <c r="F143" s="2450"/>
      <c r="G143" s="2450"/>
      <c r="H143" s="2450"/>
      <c r="I143" s="2450"/>
      <c r="J143" s="2450"/>
      <c r="K143" s="2450"/>
      <c r="L143" s="2450"/>
      <c r="M143" s="2450"/>
      <c r="N143" s="2450"/>
      <c r="O143" s="2450"/>
      <c r="P143" s="2450"/>
      <c r="Q143" s="2450"/>
    </row>
    <row r="144" spans="2:17" s="852" customFormat="1">
      <c r="B144" s="2450"/>
      <c r="C144" s="2450"/>
      <c r="D144" s="2450"/>
      <c r="E144" s="2450"/>
      <c r="F144" s="2450"/>
      <c r="G144" s="2450"/>
      <c r="H144" s="2450"/>
      <c r="I144" s="2450"/>
      <c r="J144" s="2450"/>
      <c r="K144" s="2450"/>
      <c r="L144" s="2450"/>
      <c r="M144" s="2450"/>
      <c r="N144" s="2450"/>
      <c r="O144" s="2450"/>
      <c r="P144" s="2450"/>
      <c r="Q144" s="2450"/>
    </row>
    <row r="145" spans="2:17" s="852" customFormat="1">
      <c r="B145" s="2450"/>
      <c r="C145" s="2450"/>
      <c r="D145" s="2450"/>
      <c r="E145" s="2450"/>
      <c r="F145" s="2450"/>
      <c r="G145" s="2450"/>
      <c r="H145" s="2450"/>
      <c r="I145" s="2450"/>
      <c r="J145" s="2450"/>
      <c r="K145" s="2450"/>
      <c r="L145" s="2450"/>
      <c r="M145" s="2450"/>
      <c r="N145" s="2450"/>
      <c r="O145" s="2450"/>
      <c r="P145" s="2450"/>
      <c r="Q145" s="2450"/>
    </row>
    <row r="146" spans="2:17" s="852" customFormat="1">
      <c r="B146" s="2450"/>
      <c r="C146" s="2450"/>
      <c r="D146" s="2450"/>
      <c r="E146" s="2450"/>
      <c r="F146" s="2450"/>
      <c r="G146" s="2450"/>
      <c r="H146" s="2450"/>
      <c r="I146" s="2450"/>
      <c r="J146" s="2450"/>
      <c r="K146" s="2450"/>
      <c r="L146" s="2450"/>
      <c r="M146" s="2450"/>
      <c r="N146" s="2450"/>
      <c r="O146" s="2450"/>
      <c r="P146" s="2450"/>
      <c r="Q146" s="2450"/>
    </row>
    <row r="147" spans="2:17" s="852" customFormat="1">
      <c r="B147" s="2450"/>
      <c r="C147" s="2450"/>
      <c r="D147" s="2450"/>
      <c r="E147" s="2450"/>
      <c r="F147" s="2450"/>
      <c r="G147" s="2450"/>
      <c r="H147" s="2450"/>
      <c r="I147" s="2450"/>
      <c r="J147" s="2450"/>
      <c r="K147" s="2450"/>
      <c r="L147" s="2450"/>
      <c r="M147" s="2450"/>
      <c r="N147" s="2450"/>
      <c r="O147" s="2450"/>
      <c r="P147" s="2450"/>
      <c r="Q147" s="2450"/>
    </row>
    <row r="148" spans="2:17" s="852" customFormat="1">
      <c r="B148" s="2450"/>
      <c r="C148" s="2450"/>
      <c r="D148" s="2450"/>
      <c r="E148" s="2450"/>
      <c r="F148" s="2450"/>
      <c r="G148" s="2450"/>
      <c r="H148" s="2450"/>
      <c r="I148" s="2450"/>
      <c r="J148" s="2450"/>
      <c r="K148" s="2450"/>
      <c r="L148" s="2450"/>
      <c r="M148" s="2450"/>
      <c r="N148" s="2450"/>
      <c r="O148" s="2450"/>
      <c r="P148" s="2450"/>
      <c r="Q148" s="2450"/>
    </row>
    <row r="149" spans="2:17" s="852" customFormat="1">
      <c r="B149" s="2450"/>
      <c r="C149" s="2450"/>
      <c r="D149" s="2450"/>
      <c r="E149" s="2450"/>
      <c r="F149" s="2450"/>
      <c r="G149" s="2450"/>
      <c r="H149" s="2450"/>
      <c r="I149" s="2450"/>
      <c r="J149" s="2450"/>
      <c r="K149" s="2450"/>
      <c r="L149" s="2450"/>
      <c r="M149" s="2450"/>
      <c r="N149" s="2450"/>
      <c r="O149" s="2450"/>
      <c r="P149" s="2450"/>
      <c r="Q149" s="2450"/>
    </row>
    <row r="150" spans="2:17" s="852" customFormat="1">
      <c r="B150" s="2450"/>
      <c r="C150" s="2450"/>
      <c r="D150" s="2450"/>
      <c r="E150" s="2450"/>
      <c r="F150" s="2450"/>
      <c r="G150" s="2450"/>
      <c r="H150" s="2450"/>
      <c r="I150" s="2450"/>
      <c r="J150" s="2450"/>
      <c r="K150" s="2450"/>
      <c r="L150" s="2450"/>
      <c r="M150" s="2450"/>
      <c r="N150" s="2450"/>
      <c r="O150" s="2450"/>
      <c r="P150" s="2450"/>
      <c r="Q150" s="2450"/>
    </row>
    <row r="151" spans="2:17" s="852" customFormat="1">
      <c r="B151" s="2450"/>
      <c r="C151" s="2450"/>
      <c r="D151" s="2450"/>
      <c r="E151" s="2450"/>
      <c r="F151" s="2450"/>
      <c r="G151" s="2450"/>
      <c r="H151" s="2450"/>
      <c r="I151" s="2450"/>
      <c r="J151" s="2450"/>
      <c r="K151" s="2450"/>
      <c r="L151" s="2450"/>
      <c r="M151" s="2450"/>
      <c r="N151" s="2450"/>
      <c r="O151" s="2450"/>
      <c r="P151" s="2450"/>
      <c r="Q151" s="2450"/>
    </row>
    <row r="152" spans="2:17" s="852" customFormat="1">
      <c r="B152" s="2450"/>
      <c r="C152" s="2450"/>
      <c r="D152" s="2450"/>
      <c r="E152" s="2450"/>
      <c r="F152" s="2450"/>
      <c r="G152" s="2450"/>
      <c r="H152" s="2450"/>
      <c r="I152" s="2450"/>
      <c r="J152" s="2450"/>
      <c r="K152" s="2450"/>
      <c r="L152" s="2450"/>
      <c r="M152" s="2450"/>
      <c r="N152" s="2450"/>
      <c r="O152" s="2450"/>
      <c r="P152" s="2450"/>
      <c r="Q152" s="2450"/>
    </row>
    <row r="153" spans="2:17" s="852" customFormat="1">
      <c r="B153" s="2450"/>
      <c r="C153" s="2450"/>
      <c r="D153" s="2450"/>
      <c r="E153" s="2450"/>
      <c r="F153" s="2450"/>
      <c r="G153" s="2450"/>
      <c r="H153" s="2450"/>
      <c r="I153" s="2450"/>
      <c r="J153" s="2450"/>
      <c r="K153" s="2450"/>
      <c r="L153" s="2450"/>
      <c r="M153" s="2450"/>
      <c r="N153" s="2450"/>
      <c r="O153" s="2450"/>
      <c r="P153" s="2450"/>
      <c r="Q153" s="2450"/>
    </row>
    <row r="154" spans="2:17" s="852" customFormat="1">
      <c r="B154" s="2450"/>
      <c r="C154" s="2450"/>
      <c r="D154" s="2450"/>
      <c r="E154" s="2450"/>
      <c r="F154" s="2450"/>
      <c r="G154" s="2450"/>
      <c r="H154" s="2450"/>
      <c r="I154" s="2450"/>
      <c r="J154" s="2450"/>
      <c r="K154" s="2450"/>
      <c r="L154" s="2450"/>
      <c r="M154" s="2450"/>
      <c r="N154" s="2450"/>
      <c r="O154" s="2450"/>
      <c r="P154" s="2450"/>
      <c r="Q154" s="2450"/>
    </row>
    <row r="155" spans="2:17" s="852" customFormat="1">
      <c r="B155" s="2450"/>
      <c r="C155" s="2450"/>
      <c r="D155" s="2450"/>
      <c r="E155" s="2450"/>
      <c r="F155" s="2450"/>
      <c r="G155" s="2450"/>
      <c r="H155" s="2450"/>
      <c r="I155" s="2450"/>
      <c r="J155" s="2450"/>
      <c r="K155" s="2450"/>
      <c r="L155" s="2450"/>
      <c r="M155" s="2450"/>
      <c r="N155" s="2450"/>
      <c r="O155" s="2450"/>
      <c r="P155" s="2450"/>
      <c r="Q155" s="2450"/>
    </row>
    <row r="156" spans="2:17" s="852" customFormat="1">
      <c r="B156" s="2450"/>
      <c r="C156" s="2450"/>
      <c r="D156" s="2450"/>
      <c r="E156" s="2450"/>
      <c r="F156" s="2450"/>
      <c r="G156" s="2450"/>
      <c r="H156" s="2450"/>
      <c r="I156" s="2450"/>
      <c r="J156" s="2450"/>
      <c r="K156" s="2450"/>
      <c r="L156" s="2450"/>
      <c r="M156" s="2450"/>
      <c r="N156" s="2450"/>
      <c r="O156" s="2450"/>
      <c r="P156" s="2450"/>
      <c r="Q156" s="2450"/>
    </row>
    <row r="157" spans="2:17" s="852" customFormat="1">
      <c r="B157" s="2450"/>
      <c r="C157" s="2450"/>
      <c r="D157" s="2450"/>
      <c r="E157" s="2450"/>
      <c r="F157" s="2450"/>
      <c r="G157" s="2450"/>
      <c r="H157" s="2450"/>
      <c r="I157" s="2450"/>
      <c r="J157" s="2450"/>
      <c r="K157" s="2450"/>
      <c r="L157" s="2450"/>
      <c r="M157" s="2450"/>
      <c r="N157" s="2450"/>
      <c r="O157" s="2450"/>
      <c r="P157" s="2450"/>
      <c r="Q157" s="2450"/>
    </row>
    <row r="158" spans="2:17" s="852" customFormat="1">
      <c r="B158" s="2450"/>
      <c r="C158" s="2450"/>
      <c r="D158" s="2450"/>
      <c r="E158" s="2450"/>
      <c r="F158" s="2450"/>
      <c r="G158" s="2450"/>
      <c r="H158" s="2450"/>
      <c r="I158" s="2450"/>
      <c r="J158" s="2450"/>
      <c r="K158" s="2450"/>
      <c r="L158" s="2450"/>
      <c r="M158" s="2450"/>
      <c r="N158" s="2450"/>
      <c r="O158" s="2450"/>
      <c r="P158" s="2450"/>
      <c r="Q158" s="2450"/>
    </row>
    <row r="159" spans="2:17" s="852" customFormat="1">
      <c r="B159" s="2450"/>
      <c r="C159" s="2450"/>
      <c r="D159" s="2450"/>
      <c r="E159" s="2450"/>
      <c r="F159" s="2450"/>
      <c r="G159" s="2450"/>
      <c r="H159" s="2450"/>
      <c r="I159" s="2450"/>
      <c r="J159" s="2450"/>
      <c r="K159" s="2450"/>
      <c r="L159" s="2450"/>
      <c r="M159" s="2450"/>
      <c r="N159" s="2450"/>
      <c r="O159" s="2450"/>
      <c r="P159" s="2450"/>
      <c r="Q159" s="2450"/>
    </row>
    <row r="160" spans="2:17" s="852" customFormat="1">
      <c r="B160" s="2450"/>
      <c r="C160" s="2450"/>
      <c r="D160" s="2450"/>
      <c r="E160" s="2450"/>
      <c r="F160" s="2450"/>
      <c r="G160" s="2450"/>
      <c r="H160" s="2450"/>
      <c r="I160" s="2450"/>
      <c r="J160" s="2450"/>
      <c r="K160" s="2450"/>
      <c r="L160" s="2450"/>
      <c r="M160" s="2450"/>
      <c r="N160" s="2450"/>
      <c r="O160" s="2450"/>
      <c r="P160" s="2450"/>
      <c r="Q160" s="2450"/>
    </row>
    <row r="161" spans="2:17" s="852" customFormat="1">
      <c r="B161" s="2450"/>
      <c r="C161" s="2450"/>
      <c r="D161" s="2450"/>
      <c r="E161" s="2450"/>
      <c r="F161" s="2450"/>
      <c r="G161" s="2450"/>
      <c r="H161" s="2450"/>
      <c r="I161" s="2450"/>
      <c r="J161" s="2450"/>
      <c r="K161" s="2450"/>
      <c r="L161" s="2450"/>
      <c r="M161" s="2450"/>
      <c r="N161" s="2450"/>
      <c r="O161" s="2450"/>
      <c r="P161" s="2450"/>
      <c r="Q161" s="2450"/>
    </row>
    <row r="162" spans="2:17" s="852" customFormat="1">
      <c r="B162" s="2450"/>
      <c r="C162" s="2450"/>
      <c r="D162" s="2450"/>
      <c r="E162" s="2450"/>
      <c r="F162" s="2450"/>
      <c r="G162" s="2450"/>
      <c r="H162" s="2450"/>
      <c r="I162" s="2450"/>
      <c r="J162" s="2450"/>
      <c r="K162" s="2450"/>
      <c r="L162" s="2450"/>
      <c r="M162" s="2450"/>
      <c r="N162" s="2450"/>
      <c r="O162" s="2450"/>
      <c r="P162" s="2450"/>
      <c r="Q162" s="2450"/>
    </row>
    <row r="163" spans="2:17" s="852" customFormat="1">
      <c r="B163" s="2450"/>
      <c r="C163" s="2450"/>
      <c r="D163" s="2450"/>
      <c r="E163" s="2450"/>
      <c r="F163" s="2450"/>
      <c r="G163" s="2450"/>
      <c r="H163" s="2450"/>
      <c r="I163" s="2450"/>
      <c r="J163" s="2450"/>
      <c r="K163" s="2450"/>
      <c r="L163" s="2450"/>
      <c r="M163" s="2450"/>
      <c r="N163" s="2450"/>
      <c r="O163" s="2450"/>
      <c r="P163" s="2450"/>
      <c r="Q163" s="2450"/>
    </row>
    <row r="164" spans="2:17" s="852" customFormat="1">
      <c r="B164" s="2450"/>
      <c r="C164" s="2450"/>
      <c r="D164" s="2450"/>
      <c r="E164" s="2450"/>
      <c r="F164" s="2450"/>
      <c r="G164" s="2450"/>
      <c r="H164" s="2450"/>
      <c r="I164" s="2450"/>
      <c r="J164" s="2450"/>
      <c r="K164" s="2450"/>
      <c r="L164" s="2450"/>
      <c r="M164" s="2450"/>
      <c r="N164" s="2450"/>
      <c r="O164" s="2450"/>
      <c r="P164" s="2450"/>
      <c r="Q164" s="2450"/>
    </row>
    <row r="165" spans="2:17" s="852" customFormat="1">
      <c r="B165" s="2450"/>
      <c r="C165" s="2450"/>
      <c r="D165" s="2450"/>
      <c r="E165" s="2450"/>
      <c r="F165" s="2450"/>
      <c r="G165" s="2450"/>
      <c r="H165" s="2450"/>
      <c r="I165" s="2450"/>
      <c r="J165" s="2450"/>
      <c r="K165" s="2450"/>
      <c r="L165" s="2450"/>
      <c r="M165" s="2450"/>
      <c r="N165" s="2450"/>
      <c r="O165" s="2450"/>
      <c r="P165" s="2450"/>
      <c r="Q165" s="2450"/>
    </row>
    <row r="166" spans="2:17" s="852" customFormat="1">
      <c r="B166" s="2450"/>
      <c r="C166" s="2450"/>
      <c r="D166" s="2450"/>
      <c r="E166" s="2450"/>
      <c r="F166" s="2450"/>
      <c r="G166" s="2450"/>
      <c r="H166" s="2450"/>
      <c r="I166" s="2450"/>
      <c r="J166" s="2450"/>
      <c r="K166" s="2450"/>
      <c r="L166" s="2450"/>
      <c r="M166" s="2450"/>
      <c r="N166" s="2450"/>
      <c r="O166" s="2450"/>
      <c r="P166" s="2450"/>
      <c r="Q166" s="2450"/>
    </row>
    <row r="167" spans="2:17" s="852" customFormat="1">
      <c r="B167" s="2450"/>
      <c r="C167" s="2450"/>
      <c r="D167" s="2450"/>
      <c r="E167" s="2450"/>
      <c r="F167" s="2450"/>
      <c r="G167" s="2450"/>
      <c r="H167" s="2450"/>
      <c r="I167" s="2450"/>
      <c r="J167" s="2450"/>
      <c r="K167" s="2450"/>
      <c r="L167" s="2450"/>
      <c r="M167" s="2450"/>
      <c r="N167" s="2450"/>
      <c r="O167" s="2450"/>
      <c r="P167" s="2450"/>
      <c r="Q167" s="2450"/>
    </row>
    <row r="168" spans="2:17" s="852" customFormat="1">
      <c r="B168" s="2450"/>
      <c r="C168" s="2450"/>
      <c r="D168" s="2450"/>
      <c r="E168" s="2450"/>
      <c r="F168" s="2450"/>
      <c r="G168" s="2450"/>
      <c r="H168" s="2450"/>
      <c r="I168" s="2450"/>
      <c r="J168" s="2450"/>
      <c r="K168" s="2450"/>
      <c r="L168" s="2450"/>
      <c r="M168" s="2450"/>
      <c r="N168" s="2450"/>
      <c r="O168" s="2450"/>
      <c r="P168" s="2450"/>
      <c r="Q168" s="2450"/>
    </row>
    <row r="169" spans="2:17" s="852" customFormat="1">
      <c r="B169" s="2450"/>
      <c r="C169" s="2450"/>
      <c r="D169" s="2450"/>
      <c r="E169" s="2450"/>
      <c r="F169" s="2450"/>
      <c r="G169" s="2450"/>
      <c r="H169" s="2450"/>
      <c r="I169" s="2450"/>
      <c r="J169" s="2450"/>
      <c r="K169" s="2450"/>
      <c r="L169" s="2450"/>
      <c r="M169" s="2450"/>
      <c r="N169" s="2450"/>
      <c r="O169" s="2450"/>
      <c r="P169" s="2450"/>
      <c r="Q169" s="2450"/>
    </row>
    <row r="170" spans="2:17" s="852" customFormat="1">
      <c r="B170" s="2450"/>
      <c r="C170" s="2450"/>
      <c r="D170" s="2450"/>
      <c r="E170" s="2450"/>
      <c r="F170" s="2450"/>
      <c r="G170" s="2450"/>
      <c r="H170" s="2450"/>
      <c r="I170" s="2450"/>
      <c r="J170" s="2450"/>
      <c r="K170" s="2450"/>
      <c r="L170" s="2450"/>
      <c r="M170" s="2450"/>
      <c r="N170" s="2450"/>
      <c r="O170" s="2450"/>
      <c r="P170" s="2450"/>
      <c r="Q170" s="2450"/>
    </row>
    <row r="171" spans="2:17" s="852" customFormat="1">
      <c r="B171" s="2450"/>
      <c r="C171" s="2450"/>
      <c r="D171" s="2450"/>
      <c r="E171" s="2450"/>
      <c r="F171" s="2450"/>
      <c r="G171" s="2450"/>
      <c r="H171" s="2450"/>
      <c r="I171" s="2450"/>
      <c r="J171" s="2450"/>
      <c r="K171" s="2450"/>
      <c r="L171" s="2450"/>
      <c r="M171" s="2450"/>
      <c r="N171" s="2450"/>
      <c r="O171" s="2450"/>
      <c r="P171" s="2450"/>
      <c r="Q171" s="2450"/>
    </row>
    <row r="172" spans="2:17" s="852" customFormat="1">
      <c r="B172" s="2450"/>
      <c r="C172" s="2450"/>
      <c r="D172" s="2450"/>
      <c r="E172" s="2450"/>
      <c r="F172" s="2450"/>
      <c r="G172" s="2450"/>
      <c r="H172" s="2450"/>
      <c r="I172" s="2450"/>
      <c r="J172" s="2450"/>
      <c r="K172" s="2450"/>
      <c r="L172" s="2450"/>
      <c r="M172" s="2450"/>
      <c r="N172" s="2450"/>
      <c r="O172" s="2450"/>
      <c r="P172" s="2450"/>
      <c r="Q172" s="2450"/>
    </row>
    <row r="173" spans="2:17" s="852" customFormat="1">
      <c r="B173" s="2450"/>
      <c r="C173" s="2450"/>
      <c r="D173" s="2450"/>
      <c r="E173" s="2450"/>
      <c r="F173" s="2450"/>
      <c r="G173" s="2450"/>
      <c r="H173" s="2450"/>
      <c r="I173" s="2450"/>
      <c r="J173" s="2450"/>
      <c r="K173" s="2450"/>
      <c r="L173" s="2450"/>
      <c r="M173" s="2450"/>
      <c r="N173" s="2450"/>
      <c r="O173" s="2450"/>
      <c r="P173" s="2450"/>
      <c r="Q173" s="2450"/>
    </row>
    <row r="174" spans="2:17" s="852" customFormat="1">
      <c r="B174" s="2450"/>
      <c r="C174" s="2450"/>
      <c r="D174" s="2450"/>
      <c r="E174" s="2450"/>
      <c r="F174" s="2450"/>
      <c r="G174" s="2450"/>
      <c r="H174" s="2450"/>
      <c r="I174" s="2450"/>
      <c r="J174" s="2450"/>
      <c r="K174" s="2450"/>
      <c r="L174" s="2450"/>
      <c r="M174" s="2450"/>
      <c r="N174" s="2450"/>
      <c r="O174" s="2450"/>
      <c r="P174" s="2450"/>
      <c r="Q174" s="2450"/>
    </row>
    <row r="175" spans="2:17" s="852" customFormat="1">
      <c r="B175" s="2450"/>
      <c r="C175" s="2450"/>
      <c r="D175" s="2450"/>
      <c r="E175" s="2450"/>
      <c r="F175" s="2450"/>
      <c r="G175" s="2450"/>
      <c r="H175" s="2450"/>
      <c r="I175" s="2450"/>
      <c r="J175" s="2450"/>
      <c r="K175" s="2450"/>
      <c r="L175" s="2450"/>
      <c r="M175" s="2450"/>
      <c r="N175" s="2450"/>
      <c r="O175" s="2450"/>
      <c r="P175" s="2450"/>
      <c r="Q175" s="2450"/>
    </row>
    <row r="176" spans="2:17" s="852" customFormat="1">
      <c r="B176" s="2450"/>
      <c r="C176" s="2450"/>
      <c r="D176" s="2450"/>
      <c r="E176" s="2450"/>
      <c r="F176" s="2450"/>
      <c r="G176" s="2450"/>
      <c r="H176" s="2450"/>
      <c r="I176" s="2450"/>
      <c r="J176" s="2450"/>
      <c r="K176" s="2450"/>
      <c r="L176" s="2450"/>
      <c r="M176" s="2450"/>
      <c r="N176" s="2450"/>
      <c r="O176" s="2450"/>
      <c r="P176" s="2450"/>
      <c r="Q176" s="2450"/>
    </row>
    <row r="177" spans="1:17" s="852" customFormat="1">
      <c r="B177" s="2450"/>
      <c r="C177" s="2450"/>
      <c r="D177" s="2450"/>
      <c r="E177" s="2450"/>
      <c r="F177" s="2450"/>
      <c r="G177" s="2450"/>
      <c r="H177" s="2450"/>
      <c r="I177" s="2450"/>
      <c r="J177" s="2450"/>
      <c r="K177" s="2450"/>
      <c r="L177" s="2450"/>
      <c r="M177" s="2450"/>
      <c r="N177" s="2450"/>
      <c r="O177" s="2450"/>
      <c r="P177" s="2450"/>
      <c r="Q177" s="2450"/>
    </row>
    <row r="178" spans="1:17" s="852" customFormat="1">
      <c r="B178" s="2450"/>
      <c r="C178" s="2450"/>
      <c r="D178" s="2450"/>
      <c r="E178" s="2450"/>
      <c r="F178" s="2450"/>
      <c r="G178" s="2450"/>
      <c r="H178" s="2450"/>
      <c r="I178" s="2450"/>
      <c r="J178" s="2450"/>
      <c r="K178" s="2450"/>
      <c r="L178" s="2450"/>
      <c r="M178" s="2450"/>
      <c r="N178" s="2450"/>
      <c r="O178" s="2450"/>
      <c r="P178" s="2450"/>
      <c r="Q178" s="2450"/>
    </row>
    <row r="179" spans="1:17" s="852" customFormat="1">
      <c r="B179" s="2450"/>
      <c r="C179" s="2450"/>
      <c r="D179" s="2450"/>
      <c r="E179" s="2450"/>
      <c r="F179" s="2450"/>
      <c r="G179" s="2450"/>
      <c r="H179" s="2450"/>
      <c r="I179" s="2450"/>
      <c r="J179" s="2450"/>
      <c r="K179" s="2450"/>
      <c r="L179" s="2450"/>
      <c r="M179" s="2450"/>
      <c r="N179" s="2450"/>
      <c r="O179" s="2450"/>
      <c r="P179" s="2450"/>
      <c r="Q179" s="2450"/>
    </row>
    <row r="180" spans="1:17" s="852" customFormat="1">
      <c r="B180" s="2450"/>
      <c r="C180" s="2450"/>
      <c r="D180" s="2450"/>
      <c r="E180" s="2450"/>
      <c r="F180" s="2450"/>
      <c r="G180" s="2450"/>
      <c r="H180" s="2450"/>
      <c r="I180" s="2450"/>
      <c r="J180" s="2450"/>
      <c r="K180" s="2450"/>
      <c r="L180" s="2450"/>
      <c r="M180" s="2450"/>
      <c r="N180" s="2450"/>
      <c r="O180" s="2450"/>
      <c r="P180" s="2450"/>
      <c r="Q180" s="2450"/>
    </row>
    <row r="181" spans="1:17" s="852" customFormat="1">
      <c r="B181" s="2450"/>
      <c r="C181" s="2450"/>
      <c r="D181" s="2450"/>
      <c r="E181" s="2450"/>
      <c r="F181" s="2450"/>
      <c r="G181" s="2450"/>
      <c r="H181" s="2450"/>
      <c r="I181" s="2450"/>
      <c r="J181" s="2450"/>
      <c r="K181" s="2450"/>
      <c r="L181" s="2450"/>
      <c r="M181" s="2450"/>
      <c r="N181" s="2450"/>
      <c r="O181" s="2450"/>
      <c r="P181" s="2450"/>
      <c r="Q181" s="2450"/>
    </row>
    <row r="182" spans="1:17" s="852" customFormat="1">
      <c r="B182" s="2450"/>
      <c r="C182" s="2450"/>
      <c r="D182" s="2450"/>
      <c r="E182" s="2450"/>
      <c r="F182" s="2450"/>
      <c r="G182" s="2450"/>
      <c r="H182" s="2450"/>
      <c r="I182" s="2450"/>
      <c r="J182" s="2450"/>
      <c r="K182" s="2450"/>
      <c r="L182" s="2450"/>
      <c r="M182" s="2450"/>
      <c r="N182" s="2450"/>
      <c r="O182" s="2450"/>
      <c r="P182" s="2450"/>
      <c r="Q182" s="2450"/>
    </row>
    <row r="183" spans="1:17" s="852" customFormat="1">
      <c r="B183" s="2450"/>
      <c r="C183" s="2450"/>
      <c r="D183" s="2450"/>
      <c r="E183" s="2450"/>
      <c r="F183" s="2450"/>
      <c r="G183" s="2450"/>
      <c r="H183" s="2450"/>
      <c r="I183" s="2450"/>
      <c r="J183" s="2450"/>
      <c r="K183" s="2450"/>
      <c r="L183" s="2450"/>
      <c r="M183" s="2450"/>
      <c r="N183" s="2450"/>
      <c r="O183" s="2450"/>
      <c r="P183" s="2450"/>
      <c r="Q183" s="2450"/>
    </row>
    <row r="184" spans="1:17" s="852" customFormat="1">
      <c r="B184" s="2450"/>
      <c r="C184" s="2450"/>
      <c r="D184" s="2450"/>
      <c r="E184" s="2450"/>
      <c r="F184" s="2450"/>
      <c r="G184" s="2450"/>
      <c r="H184" s="2450"/>
      <c r="I184" s="2450"/>
      <c r="J184" s="2450"/>
      <c r="K184" s="2450"/>
      <c r="L184" s="2450"/>
      <c r="M184" s="2450"/>
      <c r="N184" s="2450"/>
      <c r="O184" s="2450"/>
      <c r="P184" s="2450"/>
      <c r="Q184" s="2450"/>
    </row>
    <row r="185" spans="1:17" s="852" customFormat="1">
      <c r="B185" s="2450"/>
      <c r="C185" s="2450"/>
      <c r="D185" s="2450"/>
      <c r="E185" s="2450"/>
      <c r="F185" s="2450"/>
      <c r="G185" s="2450"/>
      <c r="H185" s="2450"/>
      <c r="I185" s="2450"/>
      <c r="J185" s="2450"/>
      <c r="K185" s="2450"/>
      <c r="L185" s="2450"/>
      <c r="M185" s="2450"/>
      <c r="N185" s="2450"/>
      <c r="O185" s="2450"/>
      <c r="P185" s="2450"/>
      <c r="Q185" s="2450"/>
    </row>
    <row r="186" spans="1:17">
      <c r="A186" s="852"/>
      <c r="B186" s="2450"/>
      <c r="C186" s="2450"/>
      <c r="E186" s="2450"/>
      <c r="F186" s="2450"/>
      <c r="G186" s="2450"/>
    </row>
    <row r="187" spans="1:17">
      <c r="A187" s="852"/>
      <c r="B187" s="2450"/>
      <c r="C187" s="2450"/>
      <c r="E187" s="2450"/>
      <c r="F187" s="2450"/>
      <c r="G187" s="245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36"/>
  <sheetViews>
    <sheetView view="pageBreakPreview" topLeftCell="B1" zoomScale="80" zoomScaleNormal="80" zoomScaleSheetLayoutView="80" workbookViewId="0">
      <selection activeCell="G42" sqref="G42"/>
    </sheetView>
  </sheetViews>
  <sheetFormatPr defaultColWidth="9" defaultRowHeight="13.5"/>
  <cols>
    <col min="1" max="1" width="25" style="2474" customWidth="1"/>
    <col min="2" max="9" width="15.75" style="2474" customWidth="1"/>
    <col min="10" max="16384" width="9" style="2474"/>
  </cols>
  <sheetData>
    <row r="1" spans="1:11" ht="16.5">
      <c r="A1" s="2473" t="s">
        <v>1271</v>
      </c>
      <c r="B1" s="2473">
        <f>SUM(B14:B23)</f>
        <v>15349.199999999999</v>
      </c>
      <c r="C1" s="2637"/>
      <c r="D1" s="2637"/>
      <c r="E1" s="2637"/>
      <c r="F1" s="2637"/>
      <c r="G1" s="2638"/>
      <c r="H1" s="2638"/>
      <c r="I1" s="2638"/>
      <c r="J1" s="2638"/>
      <c r="K1" s="2638"/>
    </row>
    <row r="2" spans="1:11" ht="16.5">
      <c r="A2" s="2473" t="s">
        <v>1259</v>
      </c>
      <c r="B2" s="2473">
        <f>SUM(C14:C23)</f>
        <v>0</v>
      </c>
      <c r="C2" s="2637"/>
      <c r="D2" s="2637"/>
      <c r="E2" s="2637"/>
      <c r="F2" s="2637"/>
      <c r="G2" s="2638"/>
      <c r="H2" s="2638"/>
      <c r="I2" s="2638"/>
      <c r="J2" s="2638"/>
      <c r="K2" s="2638"/>
    </row>
    <row r="3" spans="1:11" ht="16.5">
      <c r="A3" s="2473" t="s">
        <v>1268</v>
      </c>
      <c r="B3" s="2475">
        <f>项目基本情况!D3</f>
        <v>41685</v>
      </c>
      <c r="C3" s="2637"/>
      <c r="D3" s="2637"/>
      <c r="E3" s="2637"/>
      <c r="F3" s="2637"/>
      <c r="G3" s="2638"/>
      <c r="H3" s="2638"/>
      <c r="I3" s="2638"/>
      <c r="J3" s="2638"/>
      <c r="K3" s="2638"/>
    </row>
    <row r="4" spans="1:11" ht="33">
      <c r="A4" s="2473" t="s">
        <v>1267</v>
      </c>
      <c r="B4" s="2473" t="s">
        <v>1266</v>
      </c>
      <c r="C4" s="2473" t="s">
        <v>1265</v>
      </c>
      <c r="D4" s="2473" t="s">
        <v>1264</v>
      </c>
      <c r="E4" s="2637"/>
      <c r="F4" s="2638"/>
      <c r="G4" s="2638"/>
      <c r="H4" s="2638"/>
      <c r="I4" s="2638"/>
      <c r="J4" s="2638"/>
      <c r="K4" s="2638"/>
    </row>
    <row r="5" spans="1:11" ht="16.5">
      <c r="A5" s="2473" t="s">
        <v>1263</v>
      </c>
      <c r="B5" s="2473">
        <f ca="1">SUM(D14:D23)</f>
        <v>2074059</v>
      </c>
      <c r="C5" s="2473">
        <f ca="1">ROUND(B5*10000/$B$1,0)</f>
        <v>1351249</v>
      </c>
      <c r="D5" s="2473" t="e">
        <f ca="1">ROUND(B5*10000/$B$2,0)</f>
        <v>#DIV/0!</v>
      </c>
      <c r="E5" s="2637"/>
      <c r="F5" s="2638"/>
      <c r="G5" s="2638"/>
      <c r="H5" s="2638"/>
      <c r="I5" s="2638"/>
      <c r="J5" s="2638"/>
      <c r="K5" s="2638"/>
    </row>
    <row r="6" spans="1:11" ht="16.5">
      <c r="A6" s="2473" t="s">
        <v>1262</v>
      </c>
      <c r="B6" s="2473">
        <f ca="1">SUM(G14:G23)</f>
        <v>2074059</v>
      </c>
      <c r="C6" s="2473">
        <f ca="1">ROUND(B6*10000/$B$1,0)</f>
        <v>1351249</v>
      </c>
      <c r="D6" s="2473" t="e">
        <f ca="1">ROUND(B6*10000/$B$2,0)</f>
        <v>#DIV/0!</v>
      </c>
      <c r="E6" s="2637"/>
      <c r="F6" s="2638"/>
      <c r="G6" s="2638"/>
      <c r="H6" s="2638"/>
      <c r="I6" s="2638"/>
      <c r="J6" s="2638"/>
      <c r="K6" s="2638"/>
    </row>
    <row r="7" spans="1:11" ht="16.5">
      <c r="A7" s="2473" t="s">
        <v>1270</v>
      </c>
      <c r="B7" s="2473">
        <f>SUM(H14:H23)</f>
        <v>0</v>
      </c>
      <c r="C7" s="2473">
        <f>ROUND(B7*10000/$B$1,0)</f>
        <v>0</v>
      </c>
      <c r="D7" s="2473" t="e">
        <f>ROUND(B7*10000/$B$2,0)</f>
        <v>#DIV/0!</v>
      </c>
      <c r="E7" s="2637"/>
      <c r="F7" s="2638"/>
      <c r="G7" s="2638"/>
      <c r="H7" s="2638"/>
      <c r="I7" s="2638"/>
      <c r="J7" s="2638"/>
      <c r="K7" s="2638"/>
    </row>
    <row r="8" spans="1:11" ht="16.5">
      <c r="A8" s="2473" t="s">
        <v>1193</v>
      </c>
      <c r="B8" s="2473">
        <f ca="1">SUM(I14:I23)</f>
        <v>885100</v>
      </c>
      <c r="C8" s="2473">
        <f ca="1">ROUND(B8*10000/$B$1,0)</f>
        <v>576642</v>
      </c>
      <c r="D8" s="2473" t="e">
        <f ca="1">ROUND(B8*10000/$B$2,0)</f>
        <v>#DIV/0!</v>
      </c>
      <c r="E8" s="2637"/>
      <c r="F8" s="2638"/>
      <c r="G8" s="2638"/>
      <c r="H8" s="2638"/>
      <c r="I8" s="2638"/>
      <c r="J8" s="2638"/>
      <c r="K8" s="2638"/>
    </row>
    <row r="9" spans="1:11" ht="16.5">
      <c r="A9" s="2473" t="s">
        <v>1261</v>
      </c>
      <c r="B9" s="1375"/>
      <c r="C9" s="2637"/>
      <c r="D9" s="2637"/>
      <c r="E9" s="2637"/>
      <c r="F9" s="2638"/>
      <c r="G9" s="2638"/>
      <c r="H9" s="2638"/>
      <c r="I9" s="2638"/>
      <c r="J9" s="2638"/>
      <c r="K9" s="2638"/>
    </row>
    <row r="10" spans="1:11" ht="16.5">
      <c r="A10" s="2473" t="s">
        <v>1260</v>
      </c>
      <c r="B10" s="1375"/>
      <c r="C10" s="2637"/>
      <c r="D10" s="2637"/>
      <c r="E10" s="2637"/>
      <c r="F10" s="2638"/>
      <c r="G10" s="2638"/>
      <c r="H10" s="2638"/>
      <c r="I10" s="2638"/>
      <c r="J10" s="2638"/>
      <c r="K10" s="2638"/>
    </row>
    <row r="11" spans="1:11" ht="16.5">
      <c r="A11" s="2473" t="s">
        <v>1276</v>
      </c>
      <c r="B11" s="1375"/>
      <c r="C11" s="2637"/>
      <c r="D11" s="2637"/>
      <c r="E11" s="2637"/>
      <c r="F11" s="2638"/>
      <c r="G11" s="2638"/>
      <c r="H11" s="2638"/>
      <c r="I11" s="2638"/>
      <c r="J11" s="2638"/>
      <c r="K11" s="2638"/>
    </row>
    <row r="12" spans="1:11" ht="16.5">
      <c r="A12" s="2637"/>
      <c r="B12" s="2637"/>
      <c r="C12" s="2637"/>
      <c r="D12" s="2637"/>
      <c r="E12" s="2637"/>
      <c r="F12" s="2638"/>
      <c r="G12" s="2638"/>
      <c r="H12" s="2638"/>
      <c r="I12" s="2638"/>
      <c r="J12" s="2638"/>
      <c r="K12" s="2638"/>
    </row>
    <row r="13" spans="1:11" ht="33">
      <c r="A13" s="2476" t="s">
        <v>1275</v>
      </c>
      <c r="B13" s="2477" t="s">
        <v>1272</v>
      </c>
      <c r="C13" s="2477" t="s">
        <v>1274</v>
      </c>
      <c r="D13" s="2477" t="s">
        <v>1273</v>
      </c>
      <c r="E13" s="2473" t="s">
        <v>1265</v>
      </c>
      <c r="F13" s="2473" t="s">
        <v>1264</v>
      </c>
      <c r="G13" s="2477" t="s">
        <v>1258</v>
      </c>
      <c r="H13" s="2477" t="s">
        <v>1269</v>
      </c>
      <c r="I13" s="2477" t="s">
        <v>1257</v>
      </c>
      <c r="J13" s="2638"/>
      <c r="K13" s="2638"/>
    </row>
    <row r="14" spans="1:11" ht="16.5">
      <c r="A14" s="2478" t="s">
        <v>1256</v>
      </c>
      <c r="B14" s="2479">
        <f>结果表!B118</f>
        <v>69.52</v>
      </c>
      <c r="C14" s="2479">
        <f>结果表!C118</f>
        <v>0</v>
      </c>
      <c r="D14" s="2479">
        <f ca="1">结果表!H118</f>
        <v>1959560</v>
      </c>
      <c r="E14" s="2479">
        <f ca="1">ROUND(D14*10000/B14,0)</f>
        <v>281869965</v>
      </c>
      <c r="F14" s="2479" t="e">
        <f ca="1">ROUND(D14*10000/C14,0)</f>
        <v>#DIV/0!</v>
      </c>
      <c r="G14" s="2479">
        <f ca="1">结果表!D122</f>
        <v>1959560</v>
      </c>
      <c r="H14" s="2479" t="str">
        <f>结果表!D124</f>
        <v>——</v>
      </c>
      <c r="I14" s="2479">
        <f ca="1">结果表!D126</f>
        <v>770918</v>
      </c>
      <c r="J14" s="2638"/>
      <c r="K14" s="2638"/>
    </row>
    <row r="15" spans="1:11" ht="16.5">
      <c r="A15" s="2478" t="s">
        <v>1255</v>
      </c>
      <c r="B15" s="2480">
        <f>[4]典型户型修正!$B$22</f>
        <v>15279.679999999998</v>
      </c>
      <c r="C15" s="2480">
        <f>[4]系统读取表!C14</f>
        <v>0</v>
      </c>
      <c r="D15" s="2480">
        <f>[4]典型户型修正!$S$22</f>
        <v>114499</v>
      </c>
      <c r="E15" s="2479">
        <f t="shared" ref="E15:E23" si="0">ROUND(D15*10000/B15,0)</f>
        <v>74935</v>
      </c>
      <c r="F15" s="2479" t="e">
        <f t="shared" ref="F15:F23" si="1">ROUND(D15*10000/C15,0)</f>
        <v>#DIV/0!</v>
      </c>
      <c r="G15" s="2480">
        <f>D15</f>
        <v>114499</v>
      </c>
      <c r="H15" s="2480" t="str">
        <f>[4]系统读取表!H14</f>
        <v>——</v>
      </c>
      <c r="I15" s="2480">
        <f>[4]系统读取表!I14</f>
        <v>114182</v>
      </c>
      <c r="J15" s="2638"/>
      <c r="K15" s="2638"/>
    </row>
    <row r="16" spans="1:11" ht="16.5">
      <c r="A16" s="2478" t="s">
        <v>1254</v>
      </c>
      <c r="B16" s="2480"/>
      <c r="C16" s="2480"/>
      <c r="D16" s="2480"/>
      <c r="E16" s="2479" t="e">
        <f t="shared" si="0"/>
        <v>#DIV/0!</v>
      </c>
      <c r="F16" s="2479" t="e">
        <f t="shared" si="1"/>
        <v>#DIV/0!</v>
      </c>
      <c r="G16" s="1375"/>
      <c r="H16" s="1375"/>
      <c r="I16" s="2480"/>
      <c r="J16" s="2638"/>
      <c r="K16" s="2638"/>
    </row>
    <row r="17" spans="1:11" ht="16.5">
      <c r="A17" s="2478" t="s">
        <v>1253</v>
      </c>
      <c r="B17" s="2480"/>
      <c r="C17" s="2480"/>
      <c r="D17" s="2480"/>
      <c r="E17" s="2479" t="e">
        <f t="shared" si="0"/>
        <v>#DIV/0!</v>
      </c>
      <c r="F17" s="2479" t="e">
        <f t="shared" si="1"/>
        <v>#DIV/0!</v>
      </c>
      <c r="G17" s="1375"/>
      <c r="H17" s="1375"/>
      <c r="I17" s="2480"/>
      <c r="J17" s="2638"/>
      <c r="K17" s="2638"/>
    </row>
    <row r="18" spans="1:11" ht="16.5">
      <c r="A18" s="2478" t="s">
        <v>1252</v>
      </c>
      <c r="B18" s="2480"/>
      <c r="C18" s="2480"/>
      <c r="D18" s="2480"/>
      <c r="E18" s="2479" t="e">
        <f t="shared" si="0"/>
        <v>#DIV/0!</v>
      </c>
      <c r="F18" s="2479" t="e">
        <f t="shared" si="1"/>
        <v>#DIV/0!</v>
      </c>
      <c r="G18" s="2480"/>
      <c r="H18" s="2480"/>
      <c r="I18" s="2480"/>
      <c r="J18" s="2638"/>
      <c r="K18" s="2638"/>
    </row>
    <row r="19" spans="1:11" ht="16.5">
      <c r="A19" s="2478" t="s">
        <v>1251</v>
      </c>
      <c r="B19" s="2480"/>
      <c r="C19" s="2480"/>
      <c r="D19" s="2480"/>
      <c r="E19" s="2479" t="e">
        <f t="shared" si="0"/>
        <v>#DIV/0!</v>
      </c>
      <c r="F19" s="2479" t="e">
        <f t="shared" si="1"/>
        <v>#DIV/0!</v>
      </c>
      <c r="G19" s="2480"/>
      <c r="H19" s="2480"/>
      <c r="I19" s="2480"/>
      <c r="J19" s="2638"/>
      <c r="K19" s="2638"/>
    </row>
    <row r="20" spans="1:11" ht="16.5">
      <c r="A20" s="2478" t="s">
        <v>1250</v>
      </c>
      <c r="B20" s="2480"/>
      <c r="C20" s="2480"/>
      <c r="D20" s="2480"/>
      <c r="E20" s="2479" t="e">
        <f t="shared" si="0"/>
        <v>#DIV/0!</v>
      </c>
      <c r="F20" s="2479" t="e">
        <f t="shared" si="1"/>
        <v>#DIV/0!</v>
      </c>
      <c r="G20" s="2480"/>
      <c r="H20" s="2480"/>
      <c r="I20" s="2480"/>
      <c r="J20" s="2638"/>
      <c r="K20" s="2638"/>
    </row>
    <row r="21" spans="1:11" ht="16.5">
      <c r="A21" s="2478" t="s">
        <v>1249</v>
      </c>
      <c r="B21" s="2480"/>
      <c r="C21" s="2480"/>
      <c r="D21" s="2480"/>
      <c r="E21" s="2479" t="e">
        <f t="shared" si="0"/>
        <v>#DIV/0!</v>
      </c>
      <c r="F21" s="2479" t="e">
        <f t="shared" si="1"/>
        <v>#DIV/0!</v>
      </c>
      <c r="G21" s="2480"/>
      <c r="H21" s="2480"/>
      <c r="I21" s="2480"/>
      <c r="J21" s="2638"/>
      <c r="K21" s="2638"/>
    </row>
    <row r="22" spans="1:11" ht="16.5">
      <c r="A22" s="2478" t="s">
        <v>1248</v>
      </c>
      <c r="B22" s="2480"/>
      <c r="C22" s="2480"/>
      <c r="D22" s="2480"/>
      <c r="E22" s="2479" t="e">
        <f t="shared" si="0"/>
        <v>#DIV/0!</v>
      </c>
      <c r="F22" s="2479" t="e">
        <f t="shared" si="1"/>
        <v>#DIV/0!</v>
      </c>
      <c r="G22" s="2480"/>
      <c r="H22" s="2480"/>
      <c r="I22" s="2480"/>
      <c r="J22" s="2638"/>
      <c r="K22" s="2638"/>
    </row>
    <row r="23" spans="1:11" ht="16.5">
      <c r="A23" s="2478" t="s">
        <v>1247</v>
      </c>
      <c r="B23" s="2480"/>
      <c r="C23" s="2480"/>
      <c r="D23" s="2480"/>
      <c r="E23" s="1375" t="e">
        <f t="shared" si="0"/>
        <v>#DIV/0!</v>
      </c>
      <c r="F23" s="1375" t="e">
        <f t="shared" si="1"/>
        <v>#DIV/0!</v>
      </c>
      <c r="G23" s="2480"/>
      <c r="H23" s="2480"/>
      <c r="I23" s="2480"/>
      <c r="J23" s="2638"/>
      <c r="K23" s="2638"/>
    </row>
    <row r="24" spans="1:11">
      <c r="A24" s="2638"/>
      <c r="B24" s="2638"/>
      <c r="C24" s="2638"/>
      <c r="D24" s="2638"/>
      <c r="E24" s="2638"/>
      <c r="F24" s="2638"/>
      <c r="G24" s="2638"/>
      <c r="H24" s="2638"/>
      <c r="I24" s="2638"/>
      <c r="J24" s="2638"/>
      <c r="K24" s="2638"/>
    </row>
    <row r="25" spans="1:11">
      <c r="A25" s="2638"/>
      <c r="B25" s="2638"/>
      <c r="C25" s="2638"/>
      <c r="D25" s="2638"/>
      <c r="E25" s="2638"/>
      <c r="F25" s="2638"/>
      <c r="G25" s="2638"/>
      <c r="H25" s="2638"/>
      <c r="I25" s="2638"/>
      <c r="J25" s="2638"/>
      <c r="K25" s="2638"/>
    </row>
    <row r="26" spans="1:11">
      <c r="A26" s="2638"/>
      <c r="B26" s="2638"/>
      <c r="C26" s="2638"/>
      <c r="D26" s="2638"/>
      <c r="E26" s="2638"/>
      <c r="F26" s="2638"/>
      <c r="G26" s="2638"/>
      <c r="H26" s="2638"/>
      <c r="I26" s="2638"/>
      <c r="J26" s="2638"/>
      <c r="K26" s="2638"/>
    </row>
    <row r="28" spans="1:11">
      <c r="I28" s="2474">
        <f ca="1">ROUND(I14*10000/B14,0)</f>
        <v>110891542</v>
      </c>
    </row>
    <row r="29" spans="1:11">
      <c r="I29" s="2474">
        <f>ROUND(I15*10000/B15,0)</f>
        <v>74728</v>
      </c>
    </row>
    <row r="35" spans="1:1">
      <c r="A35" s="2986">
        <f ca="1">B5*10000</f>
        <v>20740590000</v>
      </c>
    </row>
    <row r="36" spans="1:1">
      <c r="A36" s="2986">
        <f ca="1">B8*10000</f>
        <v>8851000000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5" customWidth="1"/>
    <col min="2" max="9" width="10" style="895" customWidth="1"/>
    <col min="10" max="16384" width="9" style="895"/>
  </cols>
  <sheetData>
    <row r="36" spans="1:9">
      <c r="A36" s="894" t="s">
        <v>818</v>
      </c>
      <c r="B36" s="894" t="s">
        <v>819</v>
      </c>
    </row>
    <row r="37" spans="1:9" ht="27.75" customHeight="1">
      <c r="A37" s="894"/>
      <c r="B37" s="3133" t="str">
        <f>项目基本情况!B1</f>
        <v>北京市房地产抵押价值预评估</v>
      </c>
      <c r="C37" s="3133"/>
      <c r="D37" s="3133"/>
      <c r="E37" s="3133"/>
      <c r="F37" s="3133"/>
      <c r="G37" s="3133"/>
      <c r="H37" s="3133"/>
      <c r="I37" s="3133"/>
    </row>
    <row r="38" spans="1:9">
      <c r="A38" s="896"/>
      <c r="B38" s="896"/>
    </row>
    <row r="39" spans="1:9">
      <c r="A39" s="894" t="s">
        <v>818</v>
      </c>
      <c r="B39" s="894" t="s">
        <v>820</v>
      </c>
    </row>
    <row r="40" spans="1:9">
      <c r="A40" s="894"/>
      <c r="B40" s="1523">
        <f>项目基本情况!B5</f>
        <v>0</v>
      </c>
    </row>
    <row r="41" spans="1:9">
      <c r="A41" s="894"/>
      <c r="B41" s="894"/>
    </row>
    <row r="42" spans="1:9">
      <c r="A42" s="894" t="s">
        <v>818</v>
      </c>
      <c r="B42" s="894" t="s">
        <v>821</v>
      </c>
    </row>
    <row r="43" spans="1:9">
      <c r="A43" s="894"/>
      <c r="B43" s="1523" t="s">
        <v>822</v>
      </c>
    </row>
    <row r="44" spans="1:9">
      <c r="A44" s="894"/>
      <c r="B44" s="894"/>
    </row>
    <row r="45" spans="1:9">
      <c r="A45" s="894" t="s">
        <v>818</v>
      </c>
      <c r="B45" s="894" t="s">
        <v>823</v>
      </c>
    </row>
    <row r="46" spans="1:9" s="894" customFormat="1" ht="12.75">
      <c r="B46" s="1523" t="str">
        <f ca="1">项目基本情况!K4</f>
        <v>崔锴（注册号：0)、郑燚（注册号：0)</v>
      </c>
    </row>
    <row r="47" spans="1:9">
      <c r="A47" s="894"/>
      <c r="B47" s="894" t="str">
        <f>项目基本情况!K5</f>
        <v>（注册号：0)、（注册号：0)</v>
      </c>
    </row>
    <row r="48" spans="1:9">
      <c r="A48" s="894" t="s">
        <v>818</v>
      </c>
      <c r="B48" s="894" t="s">
        <v>824</v>
      </c>
    </row>
    <row r="49" spans="2:2">
      <c r="B49" s="152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706"/>
    <col min="3" max="4" width="12.625" style="1706" customWidth="1"/>
    <col min="5" max="9" width="12.625" style="1706"/>
    <col min="10" max="11" width="12.625" style="692" customWidth="1"/>
    <col min="12" max="12" width="12.625" style="692"/>
    <col min="13" max="13" width="14.125" style="692" bestFit="1" customWidth="1"/>
    <col min="14" max="26" width="12.625" style="692"/>
    <col min="27" max="35" width="12.625" style="1768"/>
    <col min="36" max="16384" width="12.625" style="1706"/>
  </cols>
  <sheetData>
    <row r="1" spans="1:12" ht="21.75" customHeight="1" thickBot="1">
      <c r="A1" s="1666" t="s">
        <v>1886</v>
      </c>
      <c r="B1" s="654"/>
      <c r="C1" s="1765"/>
      <c r="D1" s="654"/>
      <c r="E1" s="654"/>
      <c r="F1" s="1766" t="s">
        <v>1887</v>
      </c>
      <c r="G1" s="1598" t="s">
        <v>3122</v>
      </c>
      <c r="H1" s="1766" t="str">
        <f>IF(G1="现房","——","估价对象范围")</f>
        <v>——</v>
      </c>
      <c r="I1" s="1767" t="s">
        <v>3143</v>
      </c>
    </row>
    <row r="2" spans="1:12" ht="21.75" customHeight="1" thickBot="1">
      <c r="A2" s="3258" t="str">
        <f>项目基本情况!S2</f>
        <v>北京市房地产</v>
      </c>
      <c r="B2" s="3259"/>
      <c r="C2" s="3259"/>
      <c r="D2" s="3259"/>
      <c r="E2" s="3259"/>
      <c r="F2" s="3259"/>
      <c r="G2" s="3259"/>
      <c r="H2" s="3259"/>
      <c r="I2" s="3260"/>
    </row>
    <row r="3" spans="1:12" ht="12.75">
      <c r="A3" s="3262" t="s">
        <v>1888</v>
      </c>
      <c r="B3" s="3263"/>
      <c r="C3" s="3263"/>
      <c r="D3" s="3263"/>
      <c r="E3" s="3263"/>
      <c r="F3" s="3263"/>
      <c r="G3" s="3263"/>
      <c r="H3" s="3263"/>
      <c r="I3" s="3263"/>
    </row>
    <row r="4" spans="1:12" ht="14.25">
      <c r="A4" s="1769" t="s">
        <v>1889</v>
      </c>
      <c r="B4" s="1770" t="s">
        <v>1890</v>
      </c>
      <c r="C4" s="1771" t="s">
        <v>3723</v>
      </c>
      <c r="D4" s="1771" t="s">
        <v>3724</v>
      </c>
      <c r="E4" s="3264" t="s">
        <v>1891</v>
      </c>
      <c r="F4" s="3265"/>
      <c r="G4" s="3265"/>
      <c r="H4" s="3265"/>
      <c r="I4" s="3266"/>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成本法</v>
      </c>
    </row>
    <row r="5" spans="1:12" ht="12.75">
      <c r="A5" s="3238" t="s">
        <v>1892</v>
      </c>
      <c r="B5" s="3225">
        <v>25</v>
      </c>
      <c r="C5" s="3241"/>
      <c r="D5" s="3261"/>
      <c r="E5" s="128" t="s">
        <v>1893</v>
      </c>
      <c r="F5" s="1772"/>
      <c r="G5" s="1772"/>
      <c r="H5" s="1772"/>
      <c r="I5" s="1425"/>
    </row>
    <row r="6" spans="1:12" ht="12.75">
      <c r="A6" s="3238"/>
      <c r="B6" s="3225"/>
      <c r="C6" s="3242"/>
      <c r="D6" s="3261"/>
      <c r="E6" s="128" t="s">
        <v>1894</v>
      </c>
      <c r="F6" s="1772"/>
      <c r="G6" s="1772"/>
      <c r="H6" s="1772"/>
      <c r="I6" s="1425"/>
    </row>
    <row r="7" spans="1:12" ht="12.75">
      <c r="A7" s="3238"/>
      <c r="B7" s="3225"/>
      <c r="C7" s="3243"/>
      <c r="D7" s="3261"/>
      <c r="E7" s="128" t="s">
        <v>1895</v>
      </c>
      <c r="F7" s="1772"/>
      <c r="G7" s="1772"/>
      <c r="H7" s="1772"/>
      <c r="I7" s="1425"/>
    </row>
    <row r="8" spans="1:12" ht="12.75">
      <c r="A8" s="3238" t="s">
        <v>1896</v>
      </c>
      <c r="B8" s="3225">
        <v>15</v>
      </c>
      <c r="C8" s="3241"/>
      <c r="D8" s="3261"/>
      <c r="E8" s="128" t="s">
        <v>1897</v>
      </c>
      <c r="F8" s="1772"/>
      <c r="G8" s="1772"/>
      <c r="H8" s="1772"/>
      <c r="I8" s="1425"/>
    </row>
    <row r="9" spans="1:12" ht="12.75">
      <c r="A9" s="3238"/>
      <c r="B9" s="3225"/>
      <c r="C9" s="3243"/>
      <c r="D9" s="3261"/>
      <c r="E9" s="128" t="s">
        <v>1898</v>
      </c>
      <c r="F9" s="1772"/>
      <c r="G9" s="1772"/>
      <c r="H9" s="1772"/>
      <c r="I9" s="1425"/>
    </row>
    <row r="10" spans="1:12" ht="12.75">
      <c r="A10" s="3238" t="s">
        <v>1899</v>
      </c>
      <c r="B10" s="3225">
        <v>15</v>
      </c>
      <c r="C10" s="3241"/>
      <c r="D10" s="3261"/>
      <c r="E10" s="128" t="s">
        <v>1900</v>
      </c>
      <c r="F10" s="1772"/>
      <c r="G10" s="1772"/>
      <c r="H10" s="1772"/>
      <c r="I10" s="1425"/>
    </row>
    <row r="11" spans="1:12" ht="12.75">
      <c r="A11" s="3238"/>
      <c r="B11" s="3225"/>
      <c r="C11" s="3243"/>
      <c r="D11" s="3261"/>
      <c r="E11" s="128" t="s">
        <v>1901</v>
      </c>
      <c r="F11" s="1772"/>
      <c r="G11" s="1772"/>
      <c r="H11" s="1772"/>
      <c r="I11" s="1425"/>
    </row>
    <row r="12" spans="1:12" ht="12.75">
      <c r="A12" s="3238" t="s">
        <v>1902</v>
      </c>
      <c r="B12" s="3225">
        <v>15</v>
      </c>
      <c r="C12" s="3241"/>
      <c r="D12" s="3261"/>
      <c r="E12" s="128" t="s">
        <v>1903</v>
      </c>
      <c r="F12" s="1772"/>
      <c r="G12" s="1772"/>
      <c r="H12" s="1772"/>
      <c r="I12" s="1425"/>
    </row>
    <row r="13" spans="1:12" ht="12.75">
      <c r="A13" s="3238"/>
      <c r="B13" s="3225"/>
      <c r="C13" s="3243"/>
      <c r="D13" s="3261"/>
      <c r="E13" s="128" t="s">
        <v>1904</v>
      </c>
      <c r="F13" s="1772"/>
      <c r="G13" s="1772"/>
      <c r="H13" s="1772"/>
      <c r="I13" s="1425"/>
    </row>
    <row r="14" spans="1:12" ht="12.75">
      <c r="A14" s="3238" t="s">
        <v>1905</v>
      </c>
      <c r="B14" s="3225">
        <v>30</v>
      </c>
      <c r="C14" s="3241">
        <v>8</v>
      </c>
      <c r="D14" s="3261">
        <f>10-C14</f>
        <v>2</v>
      </c>
      <c r="E14" s="128" t="s">
        <v>1906</v>
      </c>
      <c r="F14" s="1772"/>
      <c r="G14" s="1772"/>
      <c r="H14" s="1772"/>
      <c r="I14" s="1425"/>
    </row>
    <row r="15" spans="1:12" ht="12.75">
      <c r="A15" s="3238"/>
      <c r="B15" s="3225"/>
      <c r="C15" s="3242"/>
      <c r="D15" s="3261"/>
      <c r="E15" s="128" t="s">
        <v>1907</v>
      </c>
      <c r="F15" s="1772"/>
      <c r="G15" s="1772"/>
      <c r="H15" s="1772"/>
      <c r="I15" s="1425"/>
    </row>
    <row r="16" spans="1:12" ht="12.75">
      <c r="A16" s="3238"/>
      <c r="B16" s="3225"/>
      <c r="C16" s="3243"/>
      <c r="D16" s="3261"/>
      <c r="E16" s="128" t="s">
        <v>1908</v>
      </c>
      <c r="F16" s="1772"/>
      <c r="G16" s="1772"/>
      <c r="H16" s="1772"/>
      <c r="I16" s="1425"/>
    </row>
    <row r="17" spans="1:36" ht="15">
      <c r="A17" s="1773" t="s">
        <v>1909</v>
      </c>
      <c r="B17" s="58"/>
      <c r="C17" s="129">
        <f>SUM(C5:C16)</f>
        <v>8</v>
      </c>
      <c r="D17" s="129">
        <f>SUM(D5:D16)</f>
        <v>2</v>
      </c>
      <c r="E17" s="126"/>
      <c r="F17" s="126"/>
      <c r="G17" s="126"/>
      <c r="H17" s="126"/>
      <c r="I17" s="126"/>
      <c r="K17" s="300"/>
      <c r="L17" s="300" t="s">
        <v>1910</v>
      </c>
      <c r="M17" s="300" t="s">
        <v>1911</v>
      </c>
    </row>
    <row r="18" spans="1:36" ht="31.9" customHeight="1" thickBot="1">
      <c r="A18" s="1774" t="s">
        <v>1912</v>
      </c>
      <c r="B18" s="1687"/>
      <c r="C18" s="130">
        <f>ROUND(C17/SUM(C17:D17),2)</f>
        <v>0.8</v>
      </c>
      <c r="D18" s="130">
        <f>1-C18</f>
        <v>0.19999999999999996</v>
      </c>
      <c r="E18" s="3248" t="s">
        <v>2800</v>
      </c>
      <c r="F18" s="3249"/>
      <c r="G18" s="3249"/>
      <c r="H18" s="3249"/>
      <c r="I18" s="3249"/>
      <c r="J18" s="692" t="s">
        <v>3284</v>
      </c>
      <c r="K18" s="300" t="s">
        <v>1913</v>
      </c>
      <c r="L18" s="300">
        <f>IF(C1="",'数据-汇总表'!E3,SUMIF(项目类型,C1,'数据-汇总表'!E17:E26)+SUMIF(项目类型,C1,'数据-汇总表'!I17:I26))</f>
        <v>69.52</v>
      </c>
      <c r="M18" s="300">
        <f>IF(C1="",'数据-汇总表'!E3,SUMIF(项目类型,C1,'数据-汇总表'!E17:E26))</f>
        <v>69.52</v>
      </c>
    </row>
    <row r="19" spans="1:36" ht="15">
      <c r="A19" s="1775" t="s">
        <v>1914</v>
      </c>
      <c r="B19" s="1776" t="s">
        <v>1915</v>
      </c>
      <c r="C19" s="131">
        <f ca="1">SUMIF(INDIRECT("'"&amp;C4&amp;"'"&amp;"!A:A"),结果表!B19,INDIRECT("'"&amp;C4&amp;"'"&amp;"!B:B"))</f>
        <v>208</v>
      </c>
      <c r="D19" s="132">
        <f ca="1">SUMIF(INDIRECT("'"&amp;D4&amp;"'"&amp;"!A:A"),结果表!B19,INDIRECT("'"&amp;D4&amp;"'"&amp;"!B:B"))</f>
        <v>147.30850000000001</v>
      </c>
      <c r="E19" s="1775" t="s">
        <v>1916</v>
      </c>
      <c r="F19" s="1776" t="s">
        <v>1915</v>
      </c>
      <c r="G19" s="133">
        <f ca="1">ROUND(G20*'数据-汇总表'!F19,0)</f>
        <v>1959560</v>
      </c>
      <c r="H19" s="3132" t="s">
        <v>3725</v>
      </c>
      <c r="I19" s="126"/>
      <c r="J19" s="692">
        <v>100270</v>
      </c>
      <c r="K19" s="300" t="s">
        <v>1917</v>
      </c>
      <c r="L19" s="300">
        <f>IF(C1="",'数据-汇总表'!D3,SUMIF(项目类型,C1,'数据-汇总表'!D17:D26)+SUMIF(项目类型,C1,'数据-汇总表'!H17:H27))</f>
        <v>0</v>
      </c>
      <c r="M19" s="300">
        <f>IF(C1="",'数据-汇总表'!D3,SUMIF(项目类型,C1,'数据-汇总表'!D17:D26))</f>
        <v>0</v>
      </c>
    </row>
    <row r="20" spans="1:36" ht="15">
      <c r="A20" s="1777"/>
      <c r="B20" s="46" t="s">
        <v>1918</v>
      </c>
      <c r="C20" s="134">
        <f ca="1">SUMIF(INDIRECT("'"&amp;C4&amp;"'"&amp;"!A:A"),结果表!B20,INDIRECT("'"&amp;C4&amp;"'"&amp;"!B:B"))</f>
        <v>29936</v>
      </c>
      <c r="D20" s="135">
        <f ca="1">SUMIF(INDIRECT("'"&amp;D4&amp;"'"&amp;"!A:A"),结果表!B20,INDIRECT("'"&amp;D4&amp;"'"&amp;"!B:B"))</f>
        <v>21189</v>
      </c>
      <c r="E20" s="1777"/>
      <c r="F20" s="46" t="s">
        <v>1918</v>
      </c>
      <c r="G20" s="136">
        <f ca="1">ROUND(C20*$C$18+D20*$D$18,0)</f>
        <v>28187</v>
      </c>
      <c r="H20" s="862" t="s">
        <v>1919</v>
      </c>
      <c r="I20" s="126"/>
      <c r="J20" s="692">
        <v>57990</v>
      </c>
    </row>
    <row r="21" spans="1:36" ht="15" customHeight="1" thickBot="1">
      <c r="A21" s="457"/>
      <c r="B21" s="98" t="s">
        <v>1920</v>
      </c>
      <c r="C21" s="686" t="e">
        <f ca="1">ROUND(C19*10000/L19,0)</f>
        <v>#DIV/0!</v>
      </c>
      <c r="D21" s="687" t="e">
        <f ca="1">ROUND(D19*10000/L19,0)</f>
        <v>#DIV/0!</v>
      </c>
      <c r="E21" s="457"/>
      <c r="F21" s="98" t="s">
        <v>1920</v>
      </c>
      <c r="G21" s="137" t="e">
        <f ca="1">ROUND(G19*10000/L19,0)</f>
        <v>#DIV/0!</v>
      </c>
      <c r="H21" s="1778" t="s">
        <v>1919</v>
      </c>
      <c r="I21" s="126"/>
    </row>
    <row r="22" spans="1:36" ht="15" thickBot="1">
      <c r="A22" s="1709" t="s">
        <v>1921</v>
      </c>
      <c r="B22" s="1779"/>
      <c r="C22" s="1780"/>
      <c r="D22" s="688">
        <f ca="1">IF(C19&lt;D19,D19/C19-1,C19/D19-1)</f>
        <v>0.41200270181286203</v>
      </c>
      <c r="E22" s="126"/>
      <c r="F22" s="126"/>
      <c r="G22" s="126"/>
      <c r="H22" s="126"/>
      <c r="I22" s="126"/>
    </row>
    <row r="23" spans="1:36" ht="13.5" thickBot="1">
      <c r="A23" s="654"/>
      <c r="B23" s="654"/>
      <c r="C23" s="654"/>
      <c r="D23" s="654"/>
      <c r="E23" s="126"/>
      <c r="F23" s="126"/>
      <c r="G23" s="126"/>
      <c r="H23" s="126"/>
      <c r="I23" s="126"/>
    </row>
    <row r="24" spans="1:36" ht="14.25">
      <c r="A24" s="3232" t="s">
        <v>1922</v>
      </c>
      <c r="B24" s="1776" t="s">
        <v>1915</v>
      </c>
      <c r="C24" s="133">
        <f>IF(B30=0,0,D30)</f>
        <v>0</v>
      </c>
      <c r="D24" s="1781"/>
      <c r="E24" s="126"/>
      <c r="F24" s="126"/>
      <c r="G24" s="126"/>
      <c r="H24" s="126"/>
      <c r="I24" s="126"/>
    </row>
    <row r="25" spans="1:36" ht="14.25">
      <c r="A25" s="3233"/>
      <c r="B25" s="46" t="s">
        <v>1918</v>
      </c>
      <c r="C25" s="138">
        <f>IF(B30=0,0,C30)</f>
        <v>0</v>
      </c>
      <c r="D25" s="1782"/>
      <c r="E25" s="126"/>
      <c r="F25" s="126"/>
      <c r="G25" s="126"/>
      <c r="H25" s="126"/>
      <c r="I25" s="126"/>
    </row>
    <row r="26" spans="1:36" ht="13.5" customHeight="1">
      <c r="A26" s="1783" t="s">
        <v>1923</v>
      </c>
      <c r="B26" s="139" t="s">
        <v>1924</v>
      </c>
      <c r="C26" s="139" t="s">
        <v>1925</v>
      </c>
      <c r="D26" s="140" t="s">
        <v>1926</v>
      </c>
      <c r="E26" s="126"/>
      <c r="F26" s="126"/>
      <c r="G26" s="126"/>
      <c r="H26" s="126"/>
      <c r="I26" s="126"/>
    </row>
    <row r="27" spans="1:36" ht="14.25">
      <c r="A27" s="1783"/>
      <c r="B27" s="139">
        <v>0</v>
      </c>
      <c r="C27" s="139">
        <v>0</v>
      </c>
      <c r="D27" s="140">
        <f>ROUND(C27*B27/10000,0)</f>
        <v>0</v>
      </c>
      <c r="E27" s="126"/>
      <c r="F27" s="126"/>
      <c r="G27" s="126"/>
      <c r="H27" s="126"/>
      <c r="I27" s="126"/>
    </row>
    <row r="28" spans="1:36" ht="14.25">
      <c r="A28" s="1783"/>
      <c r="B28" s="139"/>
      <c r="C28" s="139"/>
      <c r="D28" s="140"/>
      <c r="E28" s="126"/>
      <c r="F28" s="126"/>
      <c r="G28" s="126"/>
      <c r="H28" s="126"/>
      <c r="I28" s="126"/>
    </row>
    <row r="29" spans="1:36" ht="14.25">
      <c r="A29" s="1783"/>
      <c r="B29" s="139"/>
      <c r="C29" s="139"/>
      <c r="D29" s="140"/>
      <c r="E29" s="126"/>
      <c r="F29" s="126"/>
      <c r="G29" s="126"/>
      <c r="H29" s="126"/>
      <c r="I29" s="126"/>
    </row>
    <row r="30" spans="1:36" ht="15" thickBot="1">
      <c r="A30" s="139" t="s">
        <v>1927</v>
      </c>
      <c r="B30" s="139"/>
      <c r="C30" s="139"/>
      <c r="D30" s="139"/>
      <c r="E30" s="2295" t="s">
        <v>2801</v>
      </c>
      <c r="F30" s="126"/>
      <c r="G30" s="126"/>
      <c r="H30" s="126"/>
      <c r="I30" s="126"/>
    </row>
    <row r="31" spans="1:36" s="2301" customFormat="1" ht="26.45" customHeight="1" thickTop="1" thickBot="1">
      <c r="A31" s="2296"/>
      <c r="B31" s="2297"/>
      <c r="C31" s="2297"/>
      <c r="D31" s="2297"/>
      <c r="E31" s="2297"/>
      <c r="F31" s="2297"/>
      <c r="G31" s="2297"/>
      <c r="H31" s="2297"/>
      <c r="I31" s="2298" t="s">
        <v>2802</v>
      </c>
      <c r="J31" s="2639"/>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84" t="s">
        <v>1928</v>
      </c>
      <c r="B32" s="1680"/>
      <c r="C32" s="141">
        <f ca="1">IF(D32="总价",G19-C24,G20-C25)</f>
        <v>1959560</v>
      </c>
      <c r="D32" s="1785" t="s">
        <v>3144</v>
      </c>
      <c r="E32" s="126"/>
      <c r="F32" s="126"/>
      <c r="G32" s="126"/>
      <c r="H32" s="126"/>
      <c r="I32" s="126"/>
    </row>
    <row r="33" spans="1:17" ht="15">
      <c r="A33" s="841" t="s">
        <v>1929</v>
      </c>
      <c r="B33" s="128"/>
      <c r="C33" s="1786" t="s">
        <v>3309</v>
      </c>
      <c r="D33" s="1787" t="s">
        <v>3222</v>
      </c>
      <c r="E33" s="1788" t="s">
        <v>1930</v>
      </c>
      <c r="F33" s="1789" t="str">
        <f>IF(D32="楼面单价","取值（单价）","取值（总价）")</f>
        <v>取值（总价）</v>
      </c>
      <c r="G33" s="126"/>
      <c r="H33" s="126"/>
      <c r="I33" s="126"/>
      <c r="K33" s="2946" t="s">
        <v>3297</v>
      </c>
      <c r="L33" s="2946" t="s">
        <v>3298</v>
      </c>
      <c r="M33" s="2946" t="s">
        <v>3299</v>
      </c>
      <c r="N33" s="2946" t="s">
        <v>3300</v>
      </c>
      <c r="O33" s="2946" t="s">
        <v>3301</v>
      </c>
      <c r="P33" s="2946" t="s">
        <v>3302</v>
      </c>
      <c r="Q33" s="2946" t="s">
        <v>3303</v>
      </c>
    </row>
    <row r="34" spans="1:17" ht="15">
      <c r="A34" s="1790"/>
      <c r="B34" s="1791" t="s">
        <v>1931</v>
      </c>
      <c r="C34" s="145">
        <f ca="1">IF(C33="自定义",F34,C32-C35)</f>
        <v>1959560</v>
      </c>
      <c r="D34" s="910">
        <f ca="1">IF(C33="自定义",ROUND(C34/C32,3),IF(C33="收益比率",SUMIF(INDIRECT("'"&amp;D33&amp;"'"&amp;"!b:b"),"土地收益比率",INDIRECT("'"&amp;D33&amp;"'"&amp;"!c:c")),SUMIF(INDIRECT("'"&amp;D33&amp;"'"&amp;"!b:b"),"土地成本比率",INDIRECT("'"&amp;D33&amp;"'"&amp;"!c:c"))))</f>
        <v>1</v>
      </c>
      <c r="E34" s="1792" t="s">
        <v>1932</v>
      </c>
      <c r="F34" s="1374"/>
      <c r="G34" s="126"/>
      <c r="H34" s="126"/>
      <c r="I34" s="126"/>
      <c r="K34" s="692" t="s">
        <v>3304</v>
      </c>
      <c r="L34" s="692">
        <f>基准地价修正!V2</f>
        <v>5581</v>
      </c>
      <c r="M34" s="692">
        <f ca="1">ROUND(L34/$L$39*$D$118,0)</f>
        <v>591984</v>
      </c>
      <c r="N34" s="692">
        <f>'面积指标 (2)'!D2</f>
        <v>2741.34</v>
      </c>
      <c r="O34" s="692">
        <f ca="1">G118</f>
        <v>0</v>
      </c>
      <c r="P34" s="692">
        <f ca="1">ROUND(M34+(N34*$O$34)/10000,0)</f>
        <v>591984</v>
      </c>
      <c r="Q34" s="692">
        <f t="shared" ref="Q34:Q39" ca="1" si="0">ROUND(P34*10000/N34,0)</f>
        <v>2159469</v>
      </c>
    </row>
    <row r="35" spans="1:17" ht="15.75" thickBot="1">
      <c r="A35" s="1793"/>
      <c r="B35" s="1794" t="s">
        <v>1933</v>
      </c>
      <c r="C35" s="1217">
        <f ca="1">IF(C33="自定义",F35,ROUND(C32*D35,0))</f>
        <v>0</v>
      </c>
      <c r="D35" s="1218">
        <f ca="1">IF(C33="自定义",ROUND(C35/C32,3),IF(C33="收益比率",SUMIF(INDIRECT("'"&amp;D33&amp;"'"&amp;"!b:b"),"建筑物收益比率",INDIRECT("'"&amp;D33&amp;"'"&amp;"!c:c")),SUMIF(INDIRECT("'"&amp;D33&amp;"'"&amp;"!b:b"),"建筑物成本比率",INDIRECT("'"&amp;D33&amp;"'"&amp;"!c:c"))))</f>
        <v>0</v>
      </c>
      <c r="E35" s="1795" t="s">
        <v>1934</v>
      </c>
      <c r="F35" s="151"/>
      <c r="G35" s="126"/>
      <c r="H35" s="126"/>
      <c r="I35" s="126"/>
      <c r="K35" s="692" t="s">
        <v>3305</v>
      </c>
      <c r="L35" s="692">
        <f>基准地价修正!V3</f>
        <v>5166</v>
      </c>
      <c r="M35" s="692">
        <f ca="1">ROUND(L35/$L$39*$D$118,0)</f>
        <v>547964</v>
      </c>
      <c r="N35" s="692">
        <f>'面积指标 (2)'!D3</f>
        <v>3534.98</v>
      </c>
      <c r="P35" s="692">
        <f ca="1">ROUND(M35+(N35*$O$34)/10000,0)</f>
        <v>547964</v>
      </c>
      <c r="Q35" s="692">
        <f t="shared" ca="1" si="0"/>
        <v>1550119</v>
      </c>
    </row>
    <row r="36" spans="1:17" ht="15.75" thickBot="1">
      <c r="A36" s="3252" t="s">
        <v>1935</v>
      </c>
      <c r="B36" s="1796" t="s">
        <v>1936</v>
      </c>
      <c r="C36" s="142"/>
      <c r="D36" s="1797"/>
      <c r="E36" s="1712"/>
      <c r="F36" s="1798"/>
      <c r="G36" s="126"/>
      <c r="H36" s="126"/>
      <c r="I36" s="126"/>
      <c r="K36" s="692" t="s">
        <v>3306</v>
      </c>
      <c r="L36" s="692">
        <f>基准地价修正!V4</f>
        <v>4281</v>
      </c>
      <c r="M36" s="692">
        <f ca="1">ROUND(L36/$L$39*$D$118,0)</f>
        <v>454091</v>
      </c>
      <c r="N36" s="692">
        <f>'面积指标 (2)'!D4</f>
        <v>3631.02</v>
      </c>
      <c r="P36" s="692">
        <f ca="1">ROUND(M36+(N36*$O$34)/10000,0)</f>
        <v>454091</v>
      </c>
      <c r="Q36" s="692">
        <f t="shared" ca="1" si="0"/>
        <v>1250588</v>
      </c>
    </row>
    <row r="37" spans="1:17" ht="15.75" thickBot="1">
      <c r="A37" s="3253"/>
      <c r="B37" s="1700" t="s">
        <v>1937</v>
      </c>
      <c r="C37" s="144"/>
      <c r="D37" s="1198"/>
      <c r="E37" s="1198"/>
      <c r="F37" s="1798"/>
      <c r="G37" s="126"/>
      <c r="H37" s="126"/>
      <c r="I37" s="126"/>
      <c r="K37" s="692" t="s">
        <v>3307</v>
      </c>
      <c r="L37" s="692">
        <f>基准地价修正!V5</f>
        <v>3446</v>
      </c>
      <c r="M37" s="692">
        <f ca="1">ROUND(L37/$L$39*$D$118,0)</f>
        <v>365521</v>
      </c>
      <c r="N37" s="692">
        <f>'面积指标 (2)'!D5</f>
        <v>3642.43</v>
      </c>
      <c r="P37" s="692">
        <f ca="1">ROUND(M37+(N37*$O$34)/10000,0)</f>
        <v>365521</v>
      </c>
      <c r="Q37" s="692">
        <f t="shared" ca="1" si="0"/>
        <v>1003509</v>
      </c>
    </row>
    <row r="38" spans="1:17" ht="15.75" thickBot="1">
      <c r="A38" s="3254"/>
      <c r="B38" s="1799" t="s">
        <v>1938</v>
      </c>
      <c r="C38" s="649"/>
      <c r="D38" s="1800" t="s">
        <v>1939</v>
      </c>
      <c r="E38" s="1198"/>
      <c r="F38" s="1798"/>
      <c r="G38" s="126"/>
      <c r="H38" s="126"/>
      <c r="I38" s="126"/>
      <c r="K38" s="692" t="s">
        <v>3308</v>
      </c>
      <c r="L38" s="692">
        <f>基准地价修正!E33</f>
        <v>0</v>
      </c>
      <c r="M38" s="692">
        <f ca="1">ROUND(L38/$L$39*$D$118,0)</f>
        <v>0</v>
      </c>
      <c r="N38" s="692">
        <f>'面积指标 (2)'!D6</f>
        <v>3741.2</v>
      </c>
      <c r="P38" s="692">
        <f ca="1">ROUND(P39-P34-P35-P36-P37,0)</f>
        <v>0</v>
      </c>
      <c r="Q38" s="692">
        <f t="shared" ca="1" si="0"/>
        <v>0</v>
      </c>
    </row>
    <row r="39" spans="1:17" ht="15">
      <c r="A39" s="1777" t="s">
        <v>1940</v>
      </c>
      <c r="B39" s="1801" t="s">
        <v>1941</v>
      </c>
      <c r="C39" s="1802" t="s">
        <v>1942</v>
      </c>
      <c r="D39" s="1802" t="s">
        <v>1943</v>
      </c>
      <c r="E39" s="1803" t="s">
        <v>1944</v>
      </c>
      <c r="F39" s="1798"/>
      <c r="G39" s="126"/>
      <c r="H39" s="126"/>
      <c r="I39" s="126"/>
      <c r="L39" s="692">
        <f>SUM(L34:L38)</f>
        <v>18474</v>
      </c>
      <c r="M39" s="692">
        <f ca="1">SUM(M34:M38)</f>
        <v>1959560</v>
      </c>
      <c r="N39" s="692">
        <f>SUM(N34:N38)</f>
        <v>17290.97</v>
      </c>
      <c r="P39" s="692">
        <f ca="1">H118</f>
        <v>1959560</v>
      </c>
      <c r="Q39" s="692">
        <f t="shared" ca="1" si="0"/>
        <v>1133285</v>
      </c>
    </row>
    <row r="40" spans="1:17" ht="14.25">
      <c r="A40" s="1804" t="s">
        <v>1945</v>
      </c>
      <c r="B40" s="146"/>
      <c r="C40" s="147"/>
      <c r="D40" s="147"/>
      <c r="E40" s="148"/>
      <c r="F40" s="1798"/>
      <c r="G40" s="126"/>
      <c r="H40" s="126"/>
      <c r="I40" s="126"/>
    </row>
    <row r="41" spans="1:17" ht="14.25">
      <c r="A41" s="1804" t="s">
        <v>1946</v>
      </c>
      <c r="B41" s="146"/>
      <c r="C41" s="147"/>
      <c r="D41" s="147"/>
      <c r="E41" s="148"/>
      <c r="F41" s="1798"/>
      <c r="G41" s="126"/>
      <c r="H41" s="126"/>
      <c r="I41" s="126"/>
    </row>
    <row r="42" spans="1:17" ht="15" thickBot="1">
      <c r="A42" s="1805"/>
      <c r="B42" s="149"/>
      <c r="C42" s="150"/>
      <c r="D42" s="150"/>
      <c r="E42" s="151"/>
      <c r="F42" s="1798"/>
      <c r="G42" s="126"/>
      <c r="H42" s="126"/>
      <c r="I42" s="126"/>
    </row>
    <row r="43" spans="1:17" ht="12.75">
      <c r="A43" s="1612"/>
      <c r="B43" s="1612"/>
      <c r="C43" s="1612"/>
      <c r="D43" s="1612"/>
      <c r="E43" s="1612"/>
      <c r="F43" s="1806"/>
      <c r="G43" s="1806"/>
      <c r="H43" s="1806"/>
      <c r="I43" s="1807"/>
    </row>
    <row r="44" spans="1:17" ht="18.75">
      <c r="A44" s="1609" t="s">
        <v>1947</v>
      </c>
      <c r="B44" s="1808"/>
      <c r="C44" s="1808"/>
      <c r="D44" s="1809"/>
      <c r="E44" s="1809"/>
      <c r="F44" s="1810"/>
      <c r="G44" s="1810"/>
      <c r="H44" s="1810"/>
      <c r="I44" s="1810"/>
      <c r="J44" s="1811" t="s">
        <v>1948</v>
      </c>
      <c r="K44" s="7"/>
      <c r="L44" s="7"/>
      <c r="M44" s="7"/>
      <c r="N44" s="7"/>
      <c r="O44" s="7"/>
    </row>
    <row r="45" spans="1:17" ht="14.25" customHeight="1" thickBot="1">
      <c r="A45" s="3229" t="s">
        <v>1949</v>
      </c>
      <c r="B45" s="3230"/>
      <c r="C45" s="3231"/>
      <c r="D45" s="152">
        <f ca="1">ROUND(H101*F45,0)</f>
        <v>1959560</v>
      </c>
      <c r="E45" s="153" t="s">
        <v>1950</v>
      </c>
      <c r="F45" s="154">
        <v>1</v>
      </c>
      <c r="G45" s="155" t="s">
        <v>1951</v>
      </c>
      <c r="H45" s="126"/>
      <c r="I45" s="126"/>
      <c r="J45" s="3310" t="s">
        <v>1952</v>
      </c>
      <c r="K45" s="3310"/>
      <c r="L45" s="3310"/>
      <c r="M45" s="3310"/>
      <c r="N45" s="3310"/>
      <c r="O45" s="3310"/>
    </row>
    <row r="46" spans="1:17" ht="14.25" customHeight="1">
      <c r="A46" s="3226" t="s">
        <v>1953</v>
      </c>
      <c r="B46" s="3227"/>
      <c r="C46" s="3227"/>
      <c r="D46" s="3227"/>
      <c r="E46" s="3227"/>
      <c r="F46" s="3227"/>
      <c r="G46" s="3228"/>
      <c r="H46" s="1812"/>
      <c r="I46" s="156"/>
      <c r="J46" s="2483">
        <v>1</v>
      </c>
      <c r="K46" s="3291" t="s">
        <v>1954</v>
      </c>
      <c r="L46" s="3291"/>
      <c r="M46" s="3311"/>
      <c r="N46" s="3311"/>
      <c r="O46" s="3311"/>
    </row>
    <row r="47" spans="1:17" ht="12" customHeight="1">
      <c r="A47" s="157" t="s">
        <v>1955</v>
      </c>
      <c r="B47" s="158"/>
      <c r="C47" s="159"/>
      <c r="D47" s="1149" t="s">
        <v>1956</v>
      </c>
      <c r="E47" s="300" t="s">
        <v>1957</v>
      </c>
      <c r="F47" s="160" t="s">
        <v>1958</v>
      </c>
      <c r="G47" s="2505" t="s">
        <v>1959</v>
      </c>
      <c r="H47" s="2506"/>
      <c r="I47" s="156"/>
      <c r="J47" s="2483">
        <v>2</v>
      </c>
      <c r="K47" s="3291" t="s">
        <v>1960</v>
      </c>
      <c r="L47" s="3291"/>
      <c r="M47" s="3312">
        <f>'数据-取费表'!B2</f>
        <v>41685</v>
      </c>
      <c r="N47" s="3312"/>
      <c r="O47" s="3312"/>
    </row>
    <row r="48" spans="1:17" ht="25.5">
      <c r="A48" s="3257" t="s">
        <v>1961</v>
      </c>
      <c r="B48" s="3240"/>
      <c r="C48" s="3240"/>
      <c r="D48" s="15">
        <f ca="1">IF(H48="情况1",0,IF(H48="情况2",D52,IF(H48="情况3",D53,IF(H48="情况4",D54))))</f>
        <v>104203</v>
      </c>
      <c r="E48" s="1400" t="str">
        <f>IF(H48="情况4","(销售额-原购置价)×税（费）率","销售额×税（费）率")</f>
        <v>(销售额-原购置价)×税（费）率</v>
      </c>
      <c r="F48" s="2507">
        <f>IF(H48="情况1","免征",'数据-取费表'!B41)</f>
        <v>5.5000000000000007E-2</v>
      </c>
      <c r="G48" s="2508" t="s">
        <v>1962</v>
      </c>
      <c r="H48" s="2509" t="s">
        <v>3145</v>
      </c>
      <c r="I48" s="1812"/>
      <c r="J48" s="2483">
        <v>3</v>
      </c>
      <c r="K48" s="3291" t="s">
        <v>1963</v>
      </c>
      <c r="L48" s="3291"/>
      <c r="M48" s="3313">
        <f ca="1">H101</f>
        <v>1959560</v>
      </c>
      <c r="N48" s="3313"/>
      <c r="O48" s="3313"/>
    </row>
    <row r="49" spans="1:35" ht="25.5" customHeight="1">
      <c r="A49" s="2324" t="s">
        <v>1964</v>
      </c>
      <c r="B49" s="3224" t="s">
        <v>1965</v>
      </c>
      <c r="C49" s="3224"/>
      <c r="D49" s="1623">
        <v>0</v>
      </c>
      <c r="E49" s="322" t="s">
        <v>1966</v>
      </c>
      <c r="F49" s="2408" t="s">
        <v>34</v>
      </c>
      <c r="G49" s="3297"/>
      <c r="H49" s="2302" t="s">
        <v>2803</v>
      </c>
      <c r="I49" s="2303"/>
      <c r="J49" s="2483">
        <v>4</v>
      </c>
      <c r="K49" s="3291" t="str">
        <f>IF(项目基本情况!E8="房地产抵押价值","房地产抵押价值","抵押担保权已注销时的房地产抵押价值")</f>
        <v>房地产抵押价值</v>
      </c>
      <c r="L49" s="3291"/>
      <c r="M49" s="3313">
        <f ca="1">IF(项目基本情况!E8="房地产抵押价值",H107,H109)</f>
        <v>1959560</v>
      </c>
      <c r="N49" s="3313"/>
      <c r="O49" s="3313"/>
    </row>
    <row r="50" spans="1:35" ht="25.5" customHeight="1">
      <c r="A50" s="2510"/>
      <c r="B50" s="3224" t="s">
        <v>1967</v>
      </c>
      <c r="C50" s="3224"/>
      <c r="D50" s="2362"/>
      <c r="E50" s="329"/>
      <c r="F50" s="2408"/>
      <c r="G50" s="3298"/>
      <c r="H50" s="2304" t="s">
        <v>2804</v>
      </c>
      <c r="I50" s="2303"/>
      <c r="J50" s="3310" t="s">
        <v>1968</v>
      </c>
      <c r="K50" s="3310"/>
      <c r="L50" s="3310"/>
      <c r="M50" s="3310"/>
      <c r="N50" s="3310"/>
      <c r="O50" s="3310"/>
    </row>
    <row r="51" spans="1:35" ht="20.45" customHeight="1">
      <c r="A51" s="2511"/>
      <c r="B51" s="3224" t="s">
        <v>1969</v>
      </c>
      <c r="C51" s="3224"/>
      <c r="D51" s="1149"/>
      <c r="E51" s="325"/>
      <c r="F51" s="2408"/>
      <c r="G51" s="3299"/>
      <c r="H51" s="2304" t="s">
        <v>2805</v>
      </c>
      <c r="I51" s="2303"/>
      <c r="J51" s="2484" t="s">
        <v>1970</v>
      </c>
      <c r="K51" s="3291" t="s">
        <v>1971</v>
      </c>
      <c r="L51" s="3291"/>
      <c r="M51" s="2484" t="s">
        <v>1972</v>
      </c>
      <c r="N51" s="2484" t="s">
        <v>1973</v>
      </c>
      <c r="O51" s="2484" t="s">
        <v>1974</v>
      </c>
    </row>
    <row r="52" spans="1:35" ht="24" customHeight="1">
      <c r="A52" s="2325" t="s">
        <v>1975</v>
      </c>
      <c r="B52" s="3224" t="s">
        <v>1976</v>
      </c>
      <c r="C52" s="3224"/>
      <c r="D52" s="1149">
        <f ca="1">ROUND(D45*'数据-取费表'!B41/(1+'数据-取费表'!C42),0)</f>
        <v>107776</v>
      </c>
      <c r="E52" s="1400" t="s">
        <v>1977</v>
      </c>
      <c r="F52" s="2512">
        <f>'数据-取费表'!B41</f>
        <v>5.5000000000000007E-2</v>
      </c>
      <c r="G52" s="2513"/>
      <c r="H52" s="2503"/>
      <c r="I52" s="1813"/>
      <c r="J52" s="2483">
        <v>1</v>
      </c>
      <c r="K52" s="3292" t="s">
        <v>1978</v>
      </c>
      <c r="L52" s="3292"/>
      <c r="M52" s="2485">
        <f ca="1">D48</f>
        <v>104203</v>
      </c>
      <c r="N52" s="2483" t="str">
        <f>E48</f>
        <v>(销售额-原购置价)×税（费）率</v>
      </c>
      <c r="O52" s="2486">
        <f>F48</f>
        <v>5.5000000000000007E-2</v>
      </c>
    </row>
    <row r="53" spans="1:35" ht="12" customHeight="1">
      <c r="A53" s="2325" t="s">
        <v>1979</v>
      </c>
      <c r="B53" s="3250" t="s">
        <v>2960</v>
      </c>
      <c r="C53" s="3251"/>
      <c r="D53" s="1149">
        <f ca="1">ROUND(D45*'数据-取费表'!B41/(1+'数据-取费表'!C42),0)</f>
        <v>107776</v>
      </c>
      <c r="E53" s="1400" t="s">
        <v>1977</v>
      </c>
      <c r="F53" s="2512">
        <f>'数据-取费表'!B41</f>
        <v>5.5000000000000007E-2</v>
      </c>
      <c r="G53" s="2513"/>
      <c r="H53" s="2503"/>
      <c r="I53" s="1813"/>
      <c r="J53" s="2483">
        <v>2</v>
      </c>
      <c r="K53" s="3292" t="s">
        <v>1980</v>
      </c>
      <c r="L53" s="3292"/>
      <c r="M53" s="2485">
        <f t="shared" ref="M53:O54" ca="1" si="1">D55</f>
        <v>980</v>
      </c>
      <c r="N53" s="2483" t="str">
        <f t="shared" si="1"/>
        <v>销售额×税（费）率</v>
      </c>
      <c r="O53" s="2486">
        <f t="shared" si="1"/>
        <v>5.0000000000000001E-4</v>
      </c>
    </row>
    <row r="54" spans="1:35" ht="12" customHeight="1">
      <c r="A54" s="2325" t="s">
        <v>1981</v>
      </c>
      <c r="B54" s="3250" t="s">
        <v>2961</v>
      </c>
      <c r="C54" s="3251"/>
      <c r="D54" s="1149">
        <f ca="1">C68</f>
        <v>104203</v>
      </c>
      <c r="E54" s="325" t="s">
        <v>1982</v>
      </c>
      <c r="F54" s="2512">
        <f>'数据-取费表'!B41</f>
        <v>5.5000000000000007E-2</v>
      </c>
      <c r="G54" s="2513"/>
      <c r="H54" s="2514"/>
      <c r="I54" s="1813"/>
      <c r="J54" s="2483">
        <v>3</v>
      </c>
      <c r="K54" s="3292" t="s">
        <v>1983</v>
      </c>
      <c r="L54" s="3292"/>
      <c r="M54" s="2485">
        <f t="shared" ca="1" si="1"/>
        <v>1083459</v>
      </c>
      <c r="N54" s="2483" t="str">
        <f t="shared" si="1"/>
        <v>增值额×税（费）率</v>
      </c>
      <c r="O54" s="2487" t="str">
        <f t="shared" si="1"/>
        <v>——</v>
      </c>
    </row>
    <row r="55" spans="1:35" ht="24" customHeight="1">
      <c r="A55" s="3239" t="s">
        <v>1984</v>
      </c>
      <c r="B55" s="3240"/>
      <c r="C55" s="3240"/>
      <c r="D55" s="15">
        <f ca="1">IF(H55="个人住宅",0,ROUND(D45*I55,0))</f>
        <v>980</v>
      </c>
      <c r="E55" s="1400" t="s">
        <v>1985</v>
      </c>
      <c r="F55" s="2512">
        <f>IF(H55="正常",I55,"免征")</f>
        <v>5.0000000000000001E-4</v>
      </c>
      <c r="G55" s="2513"/>
      <c r="H55" s="2509" t="s">
        <v>3146</v>
      </c>
      <c r="I55" s="162">
        <f>'数据-取费表'!B49</f>
        <v>5.0000000000000001E-4</v>
      </c>
      <c r="J55" s="2483" t="str">
        <f>IF(H59="非个人房产","",4)</f>
        <v/>
      </c>
      <c r="K55" s="3292" t="str">
        <f>IF(H59="非个人房产","——","个人所得税")</f>
        <v>——</v>
      </c>
      <c r="L55" s="3292"/>
      <c r="M55" s="2488" t="str">
        <f>D59</f>
        <v>——</v>
      </c>
      <c r="N55" s="2026" t="str">
        <f>E59</f>
        <v>——</v>
      </c>
      <c r="O55" s="2489" t="str">
        <f>F59</f>
        <v>——</v>
      </c>
    </row>
    <row r="56" spans="1:35" ht="24.75">
      <c r="A56" s="3239" t="s">
        <v>1986</v>
      </c>
      <c r="B56" s="3240"/>
      <c r="C56" s="3240"/>
      <c r="D56" s="15">
        <f ca="1">IF(H56="个人住宅",D57,D58)</f>
        <v>1083459</v>
      </c>
      <c r="E56" s="1400" t="s">
        <v>1987</v>
      </c>
      <c r="F56" s="2512" t="str">
        <f>IF(H56="正常",F58,"免征")</f>
        <v>——</v>
      </c>
      <c r="G56" s="2515" t="s">
        <v>1988</v>
      </c>
      <c r="H56" s="2516" t="s">
        <v>3146</v>
      </c>
      <c r="I56" s="1814"/>
      <c r="J56" s="2483" t="str">
        <f>IF(项目基本情况!K6="上海银行",IF(J55="",4,J55+1),"")</f>
        <v/>
      </c>
      <c r="K56" s="3315" t="str">
        <f>IF(项目基本情况!K6="上海银行","其他处置费用","")</f>
        <v/>
      </c>
      <c r="L56" s="3316"/>
      <c r="M56" s="2485" t="str">
        <f>IF(项目基本情况!K6="上海银行",M69,"")</f>
        <v/>
      </c>
      <c r="N56" s="3315" t="str">
        <f>IF(项目基本情况!K6="上海银行","包含处置中涉及的律师、诉讼、拍卖、评估等费用","")</f>
        <v/>
      </c>
      <c r="O56" s="3318"/>
    </row>
    <row r="57" spans="1:35" ht="12.75">
      <c r="A57" s="2325" t="s">
        <v>1964</v>
      </c>
      <c r="B57" s="3250" t="s">
        <v>1989</v>
      </c>
      <c r="C57" s="3251"/>
      <c r="D57" s="1623">
        <v>0</v>
      </c>
      <c r="E57" s="322" t="s">
        <v>1966</v>
      </c>
      <c r="F57" s="300"/>
      <c r="G57" s="2513"/>
      <c r="H57" s="2517"/>
      <c r="I57" s="1814"/>
      <c r="J57" s="3292">
        <f>IF(AND(J55="",J56=""),4,IF(项目基本情况!K6="上海银行",结果表!J56+1,结果表!J55+1))</f>
        <v>4</v>
      </c>
      <c r="K57" s="3292" t="s">
        <v>1990</v>
      </c>
      <c r="L57" s="2490" t="s">
        <v>1991</v>
      </c>
      <c r="M57" s="2491"/>
      <c r="N57" s="2492">
        <f ca="1">SUMIF(M52:M56,"&lt;9e307")</f>
        <v>1188642</v>
      </c>
      <c r="O57" s="2493"/>
      <c r="P57" s="2640">
        <f ca="1">N57/M49</f>
        <v>0.60658617240605028</v>
      </c>
    </row>
    <row r="58" spans="1:35" ht="24.75">
      <c r="A58" s="2325" t="s">
        <v>1975</v>
      </c>
      <c r="B58" s="3250" t="s">
        <v>1992</v>
      </c>
      <c r="C58" s="3224"/>
      <c r="D58" s="15">
        <f ca="1">IF(H58="转让取得",C81,C97)</f>
        <v>1083459</v>
      </c>
      <c r="E58" s="1400" t="s">
        <v>1987</v>
      </c>
      <c r="F58" s="300" t="s">
        <v>34</v>
      </c>
      <c r="G58" s="2513"/>
      <c r="H58" s="2516" t="s">
        <v>3147</v>
      </c>
      <c r="I58" s="1814"/>
      <c r="J58" s="3292"/>
      <c r="K58" s="3292"/>
      <c r="L58" s="2490" t="s">
        <v>1993</v>
      </c>
      <c r="M58" s="2494"/>
      <c r="N58" s="2495" t="str">
        <f ca="1">NUMBERSTRING(INT(N57*10000),2)&amp;"元整"</f>
        <v>壹佰壹拾捌亿捌仟陆佰肆拾贰万元整</v>
      </c>
      <c r="O58" s="2496"/>
    </row>
    <row r="59" spans="1:35" ht="24.75" thickBot="1">
      <c r="A59" s="3295" t="s">
        <v>1994</v>
      </c>
      <c r="B59" s="3296"/>
      <c r="C59" s="3296"/>
      <c r="D59" s="2518" t="str">
        <f>IF(H59="非个人房产","——",IF(H59="个人住宅（满五唯一有凭证）",0,IF(H59="个人其他（无凭证）",ROUND(D45*F59,0),ROUND(C67*F59,0))))</f>
        <v>——</v>
      </c>
      <c r="E59" s="2519" t="str">
        <f>IF(H59="非个人房产","——",IF(H59="个人其他（无凭证）","销售额×税（费）率",IF(H59="个人住宅（满五唯一有凭证）","免征","差额计税")))</f>
        <v>——</v>
      </c>
      <c r="F59" s="2520" t="str">
        <f>IF(OR(H59="非个人房产",H59="个人住宅（满五唯一有凭证）"),"——",IF(H59="个人其他（有凭证）",20%,1%))</f>
        <v>——</v>
      </c>
      <c r="G59" s="2521" t="s">
        <v>1988</v>
      </c>
      <c r="H59" s="2306" t="s">
        <v>3295</v>
      </c>
      <c r="I59" s="2305" t="s">
        <v>2806</v>
      </c>
      <c r="J59" s="3293">
        <f>J57+1</f>
        <v>5</v>
      </c>
      <c r="K59" s="3292" t="s">
        <v>1995</v>
      </c>
      <c r="L59" s="2483" t="s">
        <v>1991</v>
      </c>
      <c r="M59" s="2497"/>
      <c r="N59" s="2985">
        <f ca="1">M49-N57</f>
        <v>770918</v>
      </c>
      <c r="O59" s="2498"/>
    </row>
    <row r="60" spans="1:35" ht="12" customHeight="1">
      <c r="A60" s="1815"/>
      <c r="B60" s="654"/>
      <c r="C60" s="654"/>
      <c r="D60" s="654"/>
      <c r="E60" s="1611"/>
      <c r="F60" s="1814"/>
      <c r="G60" s="1814"/>
      <c r="H60" s="156"/>
      <c r="I60" s="126"/>
      <c r="J60" s="3294"/>
      <c r="K60" s="3292"/>
      <c r="L60" s="2490" t="s">
        <v>1993</v>
      </c>
      <c r="M60" s="2494"/>
      <c r="N60" s="2495" t="str">
        <f ca="1">NUMBERSTRING(INT(N59*10000),2)&amp;"元整"</f>
        <v>柒拾柒亿零玖佰壹拾捌万元整</v>
      </c>
      <c r="O60" s="2496"/>
    </row>
    <row r="61" spans="1:35" ht="13.5" thickBot="1">
      <c r="A61" s="3237" t="s">
        <v>1996</v>
      </c>
      <c r="B61" s="3237"/>
      <c r="C61" s="3237"/>
      <c r="D61" s="3237"/>
      <c r="E61" s="3237"/>
      <c r="F61" s="1814"/>
      <c r="G61" s="1814"/>
      <c r="H61" s="156"/>
      <c r="I61" s="126"/>
      <c r="J61" s="2483">
        <f>J59+1</f>
        <v>6</v>
      </c>
      <c r="K61" s="3292" t="s">
        <v>1997</v>
      </c>
      <c r="L61" s="3292"/>
      <c r="M61" s="2499"/>
      <c r="N61" s="2500">
        <f ca="1">ROUND(N59*10000/'数据-汇总表'!E3,0)</f>
        <v>110891542</v>
      </c>
      <c r="O61" s="2501"/>
    </row>
    <row r="62" spans="1:35" ht="12.75">
      <c r="A62" s="3255" t="s">
        <v>1998</v>
      </c>
      <c r="B62" s="3256"/>
      <c r="C62" s="2009"/>
      <c r="D62" s="2009" t="s">
        <v>1999</v>
      </c>
      <c r="E62" s="163" t="s">
        <v>2000</v>
      </c>
      <c r="F62" s="1814"/>
      <c r="G62" s="1814"/>
      <c r="H62" s="156"/>
      <c r="I62" s="126"/>
    </row>
    <row r="63" spans="1:35" ht="12.75">
      <c r="A63" s="170" t="s">
        <v>775</v>
      </c>
      <c r="B63" s="164" t="s">
        <v>2001</v>
      </c>
      <c r="C63" s="2522">
        <f ca="1">ROUND((C64+C65)/(1+'数据-取费表'!C42),0)</f>
        <v>1959560</v>
      </c>
      <c r="D63" s="164"/>
      <c r="E63" s="165"/>
      <c r="F63" s="1814"/>
      <c r="G63" s="1814"/>
      <c r="H63" s="156"/>
      <c r="I63" s="126"/>
      <c r="J63" s="3317" t="s">
        <v>2002</v>
      </c>
      <c r="K63" s="1376" t="s">
        <v>2003</v>
      </c>
      <c r="L63" s="1376">
        <f ca="1">IF(M49&gt;10000,M49*0.5%,IF(AND(M49&gt;1000,M49&lt;=10000),M49*1%,IF(AND(M49&gt;100,M49&lt;=1000),M49*3%,IF(AND(M49&gt;10,M49&lt;=100),M49*5%,M49*8%))))</f>
        <v>9797.8000000000011</v>
      </c>
      <c r="M63" s="300">
        <f ca="1">ROUND(L63,1)</f>
        <v>9797.7999999999993</v>
      </c>
      <c r="N63" s="2502"/>
      <c r="Z63" s="1768"/>
      <c r="AI63" s="1706"/>
    </row>
    <row r="64" spans="1:35" ht="14.25" customHeight="1">
      <c r="A64" s="166" t="s">
        <v>770</v>
      </c>
      <c r="B64" s="167" t="s">
        <v>2004</v>
      </c>
      <c r="C64" s="2523">
        <f ca="1">D45</f>
        <v>1959560</v>
      </c>
      <c r="D64" s="167" t="s">
        <v>32</v>
      </c>
      <c r="E64" s="169"/>
      <c r="F64" s="1814"/>
      <c r="G64" s="1814"/>
      <c r="H64" s="156"/>
      <c r="I64" s="126"/>
      <c r="J64" s="3317"/>
      <c r="K64" s="1376" t="s">
        <v>2005</v>
      </c>
      <c r="L64" s="1376">
        <f ca="1">IF(M49&gt;2000,M49*0.5%,IF(AND(M49&gt;1000,M49&lt;=2000),M49*0.6%,IF(AND(M49&gt;500,M49&lt;=1000),M49*0.7%,IF(AND(M49&gt;200,M49&lt;=500),M49*0.8%,IF(AND(M49&gt;100,M49&lt;=200),M49*0.9%,IF(AND(M49&gt;50,M49&lt;=100),M49*1%,IF(AND(M49&gt;20,M49&lt;=50),M49*1.5%,IF(AND(M49&gt;10,M49&lt;=20),M49*2%,IF(AND(M49&gt;1,M49&lt;=10),M49*2.5%)))))))))</f>
        <v>9797.8000000000011</v>
      </c>
      <c r="M64" s="300">
        <f t="shared" ref="M64:M65" ca="1" si="2">ROUND(L64,1)</f>
        <v>9797.7999999999993</v>
      </c>
      <c r="N64" s="2503" t="s">
        <v>2006</v>
      </c>
      <c r="Z64" s="1768"/>
      <c r="AI64" s="1706"/>
    </row>
    <row r="65" spans="1:35" ht="14.25" customHeight="1">
      <c r="A65" s="166" t="s">
        <v>771</v>
      </c>
      <c r="B65" s="167" t="s">
        <v>2007</v>
      </c>
      <c r="C65" s="2524"/>
      <c r="D65" s="167"/>
      <c r="E65" s="169"/>
      <c r="F65" s="1814"/>
      <c r="G65" s="1814"/>
      <c r="H65" s="156"/>
      <c r="I65" s="126"/>
      <c r="J65" s="3317"/>
      <c r="K65" s="1376" t="s">
        <v>2008</v>
      </c>
      <c r="L65" s="1376">
        <f ca="1">IF(M49&gt;1000,M49*0.1%,IF(AND(M49&gt;500,M49&lt;=1000),M49*0.5%,IF(AND(M49&gt;50,M49&lt;=500),M49*1%,IF(AND(M49&gt;1,M49&lt;=50),M49*1.5%))))</f>
        <v>1959.56</v>
      </c>
      <c r="M65" s="300">
        <f t="shared" ca="1" si="2"/>
        <v>1959.6</v>
      </c>
      <c r="N65" s="2503" t="s">
        <v>2006</v>
      </c>
      <c r="Z65" s="1768"/>
      <c r="AI65" s="1706"/>
    </row>
    <row r="66" spans="1:35" ht="14.25" customHeight="1">
      <c r="A66" s="170" t="s">
        <v>772</v>
      </c>
      <c r="B66" s="171" t="s">
        <v>2009</v>
      </c>
      <c r="C66" s="2525">
        <f>C75/1.05</f>
        <v>64956.766666666663</v>
      </c>
      <c r="D66" s="171" t="s">
        <v>32</v>
      </c>
      <c r="E66" s="1382" t="s">
        <v>1277</v>
      </c>
      <c r="F66" s="1814"/>
      <c r="G66" s="1814"/>
      <c r="H66" s="156"/>
      <c r="I66" s="126"/>
      <c r="J66" s="3317"/>
      <c r="K66" s="1376" t="s">
        <v>2010</v>
      </c>
      <c r="L66" s="1376">
        <f ca="1">M49*0.5%</f>
        <v>9797.8000000000011</v>
      </c>
      <c r="M66" s="300">
        <f ca="1">IF(L66&gt;0.5,0.5,ROUND(L66,0))</f>
        <v>0.5</v>
      </c>
      <c r="N66" s="2503" t="s">
        <v>2011</v>
      </c>
      <c r="Z66" s="1768"/>
      <c r="AI66" s="1706"/>
    </row>
    <row r="67" spans="1:35" ht="14.25" customHeight="1">
      <c r="A67" s="170" t="s">
        <v>773</v>
      </c>
      <c r="B67" s="171" t="s">
        <v>2012</v>
      </c>
      <c r="C67" s="2526">
        <f ca="1">C63-C66</f>
        <v>1894603.2333333334</v>
      </c>
      <c r="D67" s="167" t="s">
        <v>32</v>
      </c>
      <c r="E67" s="169"/>
      <c r="F67" s="1814"/>
      <c r="G67" s="1814"/>
      <c r="H67" s="156"/>
      <c r="I67" s="126"/>
      <c r="J67" s="3317"/>
      <c r="K67" s="1376" t="s">
        <v>2013</v>
      </c>
      <c r="L67" s="1376">
        <f ca="1">IF(M49&gt;=10000,(8.25+(M49-10000)*0.01%),IF(AND(M49&gt;=8000,M49&lt;10000),(7.85+(M49-8000)*0.02%),IF(AND(M49&gt;=5000,M49&lt;8000),(6.65+(M49-5000)*0.04%),IF(AND(M49&gt;=2000,M49&lt;5000),(4.25+(PM49-2000)*0.08%),IF(AND(M49&gt;=1000,M49&lt;2000),(2.75+(M49-1000)*0.15%),IF(AND(M49&gt;=100,M49&lt;1000),(0.5+(M49-100)*0.25%),IF(AND(M49&gt;0,M49&lt;100),M49*0.5%)))))))</f>
        <v>203.20600000000002</v>
      </c>
      <c r="M67" s="300">
        <f ca="1">ROUND(L67*0.9,1)</f>
        <v>182.9</v>
      </c>
      <c r="N67" s="2502"/>
      <c r="Z67" s="1768"/>
      <c r="AI67" s="1706"/>
    </row>
    <row r="68" spans="1:35" ht="14.25" customHeight="1" thickBot="1">
      <c r="A68" s="173" t="s">
        <v>774</v>
      </c>
      <c r="B68" s="174" t="s">
        <v>2014</v>
      </c>
      <c r="C68" s="2527">
        <f ca="1">IF(C67&lt;=0,0,ROUND(C67*D68,0))</f>
        <v>104203</v>
      </c>
      <c r="D68" s="2528">
        <f>'数据-取费表'!B41</f>
        <v>5.5000000000000007E-2</v>
      </c>
      <c r="E68" s="176"/>
      <c r="F68" s="1814"/>
      <c r="G68" s="1814"/>
      <c r="H68" s="156"/>
      <c r="I68" s="126"/>
      <c r="J68" s="3317"/>
      <c r="K68" s="1376" t="s">
        <v>2015</v>
      </c>
      <c r="L68" s="1376">
        <f ca="1">IF(M49&gt;10000,M49*0.5%,IF(AND(M49&gt;5000,M49&lt;=10000),M49*1%,IF(AND(M49&gt;1000,M49&lt;=5000),M49*2%,IF(AND(M49&gt;200,M49&lt;=1000),M49*3%,M49*5%))))</f>
        <v>9797.8000000000011</v>
      </c>
      <c r="M68" s="300">
        <f ca="1">ROUND(L68,1)</f>
        <v>9797.7999999999993</v>
      </c>
      <c r="N68" s="2502"/>
      <c r="Z68" s="1768"/>
      <c r="AI68" s="1706"/>
    </row>
    <row r="69" spans="1:35" ht="16.5" customHeight="1">
      <c r="A69" s="1816"/>
      <c r="B69" s="1817"/>
      <c r="C69" s="1818"/>
      <c r="D69" s="1819"/>
      <c r="E69" s="1820"/>
      <c r="F69" s="1611"/>
      <c r="G69" s="1611"/>
      <c r="H69" s="1612"/>
      <c r="I69" s="654"/>
      <c r="J69" s="3317"/>
      <c r="K69" s="1376" t="s">
        <v>2016</v>
      </c>
      <c r="L69" s="1376"/>
      <c r="M69" s="300">
        <f ca="1">ROUND(SUM(M63:M68),0)</f>
        <v>31536</v>
      </c>
      <c r="N69" s="2504">
        <f ca="1">M69/M49</f>
        <v>1.609340872440752E-2</v>
      </c>
      <c r="Z69" s="1768"/>
      <c r="AI69" s="1706"/>
    </row>
    <row r="70" spans="1:35" s="650" customFormat="1" ht="15" thickBot="1">
      <c r="A70" s="3276" t="s">
        <v>2017</v>
      </c>
      <c r="B70" s="3277"/>
      <c r="C70" s="3277"/>
      <c r="D70" s="3277"/>
      <c r="E70" s="3277"/>
      <c r="F70" s="3277"/>
      <c r="G70" s="3277"/>
      <c r="H70" s="3277"/>
      <c r="I70" s="1821"/>
      <c r="J70" s="467"/>
      <c r="K70" s="467"/>
      <c r="L70" s="467"/>
      <c r="M70" s="467"/>
      <c r="N70" s="1822"/>
      <c r="O70" s="1822"/>
      <c r="P70" s="1822"/>
      <c r="Q70" s="1822"/>
      <c r="R70" s="1822"/>
      <c r="S70" s="1822"/>
      <c r="T70" s="1822"/>
      <c r="U70" s="1822"/>
      <c r="V70" s="1822"/>
      <c r="W70" s="1822"/>
      <c r="X70" s="1822"/>
      <c r="Y70" s="1822"/>
      <c r="Z70" s="1822"/>
      <c r="AA70" s="1823"/>
      <c r="AB70" s="1823"/>
      <c r="AC70" s="1823"/>
      <c r="AD70" s="1823"/>
      <c r="AE70" s="1823"/>
      <c r="AF70" s="1823"/>
      <c r="AG70" s="1823"/>
      <c r="AH70" s="1823"/>
      <c r="AI70" s="1823"/>
    </row>
    <row r="71" spans="1:35" s="650" customFormat="1" ht="14.25">
      <c r="A71" s="3255" t="s">
        <v>1998</v>
      </c>
      <c r="B71" s="3256"/>
      <c r="C71" s="2009"/>
      <c r="D71" s="2009" t="s">
        <v>1999</v>
      </c>
      <c r="E71" s="177" t="s">
        <v>2000</v>
      </c>
      <c r="F71" s="178"/>
      <c r="G71" s="178"/>
      <c r="H71" s="179"/>
      <c r="I71" s="1824"/>
      <c r="J71" s="467"/>
      <c r="K71" s="467"/>
      <c r="L71" s="467"/>
      <c r="M71" s="467"/>
      <c r="N71" s="1822"/>
      <c r="O71" s="1822"/>
      <c r="P71" s="1822"/>
      <c r="Q71" s="1822"/>
      <c r="R71" s="1822"/>
      <c r="S71" s="1822"/>
      <c r="T71" s="1822"/>
      <c r="U71" s="1822"/>
      <c r="V71" s="1822"/>
      <c r="W71" s="1822"/>
      <c r="X71" s="1822"/>
      <c r="Y71" s="1822"/>
      <c r="Z71" s="1822"/>
      <c r="AA71" s="1823"/>
      <c r="AB71" s="1823"/>
      <c r="AC71" s="1823"/>
      <c r="AD71" s="1823"/>
      <c r="AE71" s="1823"/>
      <c r="AF71" s="1823"/>
      <c r="AG71" s="1823"/>
      <c r="AH71" s="1823"/>
      <c r="AI71" s="1823"/>
    </row>
    <row r="72" spans="1:35" s="650" customFormat="1" ht="14.25">
      <c r="A72" s="170" t="s">
        <v>775</v>
      </c>
      <c r="B72" s="171" t="s">
        <v>2018</v>
      </c>
      <c r="C72" s="2526">
        <f ca="1">ROUND(D45/(1+'数据-取费表'!C42),0)</f>
        <v>1959560</v>
      </c>
      <c r="D72" s="167" t="s">
        <v>32</v>
      </c>
      <c r="E72" s="1401"/>
      <c r="F72" s="1399"/>
      <c r="G72" s="1399"/>
      <c r="H72" s="180"/>
      <c r="I72" s="1824"/>
      <c r="J72" s="467"/>
      <c r="K72" s="467"/>
      <c r="L72" s="467"/>
      <c r="M72" s="467"/>
      <c r="N72" s="1822"/>
      <c r="O72" s="1822"/>
      <c r="P72" s="1822"/>
      <c r="Q72" s="1822"/>
      <c r="R72" s="1822"/>
      <c r="S72" s="1822"/>
      <c r="T72" s="1822"/>
      <c r="U72" s="1822"/>
      <c r="V72" s="1822"/>
      <c r="W72" s="1822"/>
      <c r="X72" s="1822"/>
      <c r="Y72" s="1822"/>
      <c r="Z72" s="1822"/>
      <c r="AA72" s="1823"/>
      <c r="AB72" s="1823"/>
      <c r="AC72" s="1823"/>
      <c r="AD72" s="1823"/>
      <c r="AE72" s="1823"/>
      <c r="AF72" s="1823"/>
      <c r="AG72" s="1823"/>
      <c r="AH72" s="1823"/>
      <c r="AI72" s="1823"/>
    </row>
    <row r="73" spans="1:35" s="650" customFormat="1" ht="14.25">
      <c r="A73" s="170" t="s">
        <v>772</v>
      </c>
      <c r="B73" s="160" t="s">
        <v>2019</v>
      </c>
      <c r="C73" s="2526">
        <f ca="1">C74+C78</f>
        <v>97134</v>
      </c>
      <c r="D73" s="167" t="s">
        <v>32</v>
      </c>
      <c r="E73" s="1401"/>
      <c r="F73" s="1399"/>
      <c r="G73" s="1399"/>
      <c r="H73" s="180"/>
      <c r="I73" s="1824"/>
      <c r="J73" s="1822"/>
      <c r="K73" s="1822"/>
      <c r="L73" s="1822"/>
      <c r="M73" s="1822"/>
      <c r="N73" s="1822"/>
      <c r="O73" s="1822"/>
      <c r="P73" s="1822"/>
      <c r="Q73" s="1822"/>
      <c r="R73" s="1822"/>
      <c r="S73" s="1822"/>
      <c r="T73" s="1822"/>
      <c r="U73" s="1822"/>
      <c r="V73" s="1822"/>
      <c r="W73" s="1822"/>
      <c r="X73" s="1822"/>
      <c r="Y73" s="1822"/>
      <c r="Z73" s="1822"/>
      <c r="AA73" s="1823"/>
      <c r="AB73" s="1823"/>
      <c r="AC73" s="1823"/>
      <c r="AD73" s="1823"/>
      <c r="AE73" s="1823"/>
      <c r="AF73" s="1823"/>
      <c r="AG73" s="1823"/>
      <c r="AH73" s="1823"/>
      <c r="AI73" s="1823"/>
    </row>
    <row r="74" spans="1:35" s="650" customFormat="1" ht="24">
      <c r="A74" s="166" t="s">
        <v>770</v>
      </c>
      <c r="B74" s="167" t="s">
        <v>2020</v>
      </c>
      <c r="C74" s="167">
        <f>ROUND(IF(G77="2016年5月1日后购买",C75/(1+'数据-取费表'!C42)+C76+C77,C75+C76+C77),0)</f>
        <v>87336</v>
      </c>
      <c r="D74" s="167" t="s">
        <v>32</v>
      </c>
      <c r="E74" s="1401"/>
      <c r="F74" s="1399"/>
      <c r="G74" s="1399"/>
      <c r="H74" s="180"/>
      <c r="I74" s="1824"/>
      <c r="J74" s="1822"/>
      <c r="K74" s="1822"/>
      <c r="L74" s="1822"/>
      <c r="M74" s="1822"/>
      <c r="N74" s="1822"/>
      <c r="O74" s="1822"/>
      <c r="P74" s="1822"/>
      <c r="Q74" s="1822"/>
      <c r="R74" s="1822"/>
      <c r="S74" s="1822"/>
      <c r="T74" s="1822"/>
      <c r="U74" s="1822"/>
      <c r="V74" s="1822"/>
      <c r="W74" s="1822"/>
      <c r="X74" s="1822"/>
      <c r="Y74" s="1822"/>
      <c r="Z74" s="1822"/>
      <c r="AA74" s="1823"/>
      <c r="AB74" s="1823"/>
      <c r="AC74" s="1823"/>
      <c r="AD74" s="1823"/>
      <c r="AE74" s="1823"/>
      <c r="AF74" s="1823"/>
      <c r="AG74" s="1823"/>
      <c r="AH74" s="1823"/>
      <c r="AI74" s="1823"/>
    </row>
    <row r="75" spans="1:35" s="650" customFormat="1" ht="14.25">
      <c r="A75" s="166" t="s">
        <v>776</v>
      </c>
      <c r="B75" s="167" t="s">
        <v>2021</v>
      </c>
      <c r="C75" s="2529">
        <f>'面积指标 (2)'!G30</f>
        <v>68204.604999999996</v>
      </c>
      <c r="D75" s="167" t="s">
        <v>32</v>
      </c>
      <c r="E75" s="182" t="s">
        <v>2022</v>
      </c>
      <c r="F75" s="2530" t="s">
        <v>3148</v>
      </c>
      <c r="G75" s="182" t="s">
        <v>2023</v>
      </c>
      <c r="H75" s="2531">
        <v>5</v>
      </c>
      <c r="I75" s="1825"/>
      <c r="J75" s="1822"/>
      <c r="K75" s="1822"/>
      <c r="L75" s="1822"/>
      <c r="M75" s="1822"/>
      <c r="N75" s="1822"/>
      <c r="O75" s="1822"/>
      <c r="P75" s="1822"/>
      <c r="Q75" s="1822"/>
      <c r="R75" s="1822"/>
      <c r="S75" s="1822"/>
      <c r="T75" s="1822"/>
      <c r="U75" s="1822"/>
      <c r="V75" s="1822"/>
      <c r="W75" s="1822"/>
      <c r="X75" s="1822"/>
      <c r="Y75" s="1822"/>
      <c r="Z75" s="1822"/>
      <c r="AA75" s="1823"/>
      <c r="AB75" s="1823"/>
      <c r="AC75" s="1823"/>
      <c r="AD75" s="1823"/>
      <c r="AE75" s="1823"/>
      <c r="AF75" s="1823"/>
      <c r="AG75" s="1823"/>
      <c r="AH75" s="1823"/>
      <c r="AI75" s="1823"/>
    </row>
    <row r="76" spans="1:35" s="650" customFormat="1" ht="24.75" customHeight="1">
      <c r="A76" s="166" t="s">
        <v>777</v>
      </c>
      <c r="B76" s="183" t="s">
        <v>2024</v>
      </c>
      <c r="C76" s="167">
        <f>IF(F75="购房发票",ROUND(C75*H75*D76,0),0)</f>
        <v>17051</v>
      </c>
      <c r="D76" s="2532">
        <v>0.05</v>
      </c>
      <c r="E76" s="3250" t="s">
        <v>2025</v>
      </c>
      <c r="F76" s="3224"/>
      <c r="G76" s="3224"/>
      <c r="H76" s="3275"/>
      <c r="I76" s="1824"/>
      <c r="J76" s="1822"/>
      <c r="K76" s="1822"/>
      <c r="L76" s="1822"/>
      <c r="M76" s="1822"/>
      <c r="N76" s="1822"/>
      <c r="O76" s="1822"/>
      <c r="P76" s="1822"/>
      <c r="Q76" s="1822"/>
      <c r="R76" s="1822"/>
      <c r="S76" s="1822"/>
      <c r="T76" s="1822"/>
      <c r="U76" s="1822"/>
      <c r="V76" s="1822"/>
      <c r="W76" s="1822"/>
      <c r="X76" s="1822"/>
      <c r="Y76" s="1822"/>
      <c r="Z76" s="1822"/>
      <c r="AA76" s="1823"/>
      <c r="AB76" s="1823"/>
      <c r="AC76" s="1823"/>
      <c r="AD76" s="1823"/>
      <c r="AE76" s="1823"/>
      <c r="AF76" s="1823"/>
      <c r="AG76" s="1823"/>
      <c r="AH76" s="1823"/>
      <c r="AI76" s="1823"/>
    </row>
    <row r="77" spans="1:35" s="650" customFormat="1" ht="24.75" customHeight="1">
      <c r="A77" s="166" t="s">
        <v>778</v>
      </c>
      <c r="B77" s="167" t="s">
        <v>2026</v>
      </c>
      <c r="C77" s="167">
        <f>ROUND(IF(G77="个人住宅",0,IF(G77="2016年5月1日前购买",C75*D77,C75*D77/(1+'数据-取费表'!C42))),0)</f>
        <v>2080</v>
      </c>
      <c r="D77" s="2533">
        <f>'数据-取费表'!B48+'数据-取费表'!B49</f>
        <v>3.0499999999999999E-2</v>
      </c>
      <c r="E77" s="15" t="s">
        <v>2027</v>
      </c>
      <c r="F77" s="184"/>
      <c r="G77" s="1826" t="s">
        <v>3296</v>
      </c>
      <c r="H77" s="2323" t="str">
        <f>IF(G77="个人买卖住房","免征印花税"," ")</f>
        <v xml:space="preserve"> </v>
      </c>
      <c r="I77" s="1824"/>
      <c r="J77" s="1822"/>
      <c r="K77" s="1822"/>
      <c r="L77" s="1822"/>
      <c r="M77" s="1822"/>
      <c r="N77" s="1822"/>
      <c r="O77" s="1822"/>
      <c r="P77" s="1822"/>
      <c r="Q77" s="1822"/>
      <c r="R77" s="1822"/>
      <c r="S77" s="1822"/>
      <c r="T77" s="1822"/>
      <c r="U77" s="1822"/>
      <c r="V77" s="1822"/>
      <c r="W77" s="1822"/>
      <c r="X77" s="1822"/>
      <c r="Y77" s="1822"/>
      <c r="Z77" s="1822"/>
      <c r="AA77" s="1823"/>
      <c r="AB77" s="1823"/>
      <c r="AC77" s="1823"/>
      <c r="AD77" s="1823"/>
      <c r="AE77" s="1823"/>
      <c r="AF77" s="1823"/>
      <c r="AG77" s="1823"/>
      <c r="AH77" s="1823"/>
      <c r="AI77" s="1823"/>
    </row>
    <row r="78" spans="1:35" s="650" customFormat="1" ht="24.75" customHeight="1">
      <c r="A78" s="166" t="s">
        <v>771</v>
      </c>
      <c r="B78" s="167" t="s">
        <v>2028</v>
      </c>
      <c r="C78" s="2534">
        <f ca="1">ROUND(D45*D78/(1+'数据-取费表'!C42),0)</f>
        <v>9798</v>
      </c>
      <c r="D78" s="2535">
        <f>'数据-取费表'!B43</f>
        <v>5.000000000000001E-3</v>
      </c>
      <c r="E78" s="3234" t="s">
        <v>2029</v>
      </c>
      <c r="F78" s="3235"/>
      <c r="G78" s="3235"/>
      <c r="H78" s="3244"/>
      <c r="I78" s="1827"/>
      <c r="J78" s="1822"/>
      <c r="K78" s="1822"/>
      <c r="L78" s="1822"/>
      <c r="M78" s="1822"/>
      <c r="N78" s="1822"/>
      <c r="O78" s="1822"/>
      <c r="P78" s="1822"/>
      <c r="Q78" s="1822"/>
      <c r="R78" s="1822"/>
      <c r="S78" s="1822"/>
      <c r="T78" s="1822"/>
      <c r="U78" s="1822"/>
      <c r="V78" s="1822"/>
      <c r="W78" s="1822"/>
      <c r="X78" s="1822"/>
      <c r="Y78" s="1822"/>
      <c r="Z78" s="1822"/>
      <c r="AA78" s="1823"/>
      <c r="AB78" s="1823"/>
      <c r="AC78" s="1823"/>
      <c r="AD78" s="1823"/>
      <c r="AE78" s="1823"/>
      <c r="AF78" s="1823"/>
      <c r="AG78" s="1823"/>
      <c r="AH78" s="1823"/>
      <c r="AI78" s="1823"/>
    </row>
    <row r="79" spans="1:35" s="650" customFormat="1" ht="14.25">
      <c r="A79" s="170" t="s">
        <v>779</v>
      </c>
      <c r="B79" s="171" t="s">
        <v>2030</v>
      </c>
      <c r="C79" s="2526">
        <f ca="1">C72-C73</f>
        <v>1862426</v>
      </c>
      <c r="D79" s="167" t="s">
        <v>32</v>
      </c>
      <c r="E79" s="1401"/>
      <c r="F79" s="1399"/>
      <c r="G79" s="1399"/>
      <c r="H79" s="180"/>
      <c r="I79" s="1824"/>
      <c r="J79" s="1822"/>
      <c r="K79" s="1822"/>
      <c r="L79" s="1822"/>
      <c r="M79" s="1822"/>
      <c r="N79" s="1822"/>
      <c r="O79" s="1822"/>
      <c r="P79" s="1822"/>
      <c r="Q79" s="1822"/>
      <c r="R79" s="1822"/>
      <c r="S79" s="1822"/>
      <c r="T79" s="1822"/>
      <c r="U79" s="1822"/>
      <c r="V79" s="1822"/>
      <c r="W79" s="1822"/>
      <c r="X79" s="1822"/>
      <c r="Y79" s="1822"/>
      <c r="Z79" s="1822"/>
      <c r="AA79" s="1823"/>
      <c r="AB79" s="1823"/>
      <c r="AC79" s="1823"/>
      <c r="AD79" s="1823"/>
      <c r="AE79" s="1823"/>
      <c r="AF79" s="1823"/>
      <c r="AG79" s="1823"/>
      <c r="AH79" s="1823"/>
      <c r="AI79" s="1823"/>
    </row>
    <row r="80" spans="1:35" s="650" customFormat="1" ht="24">
      <c r="A80" s="170" t="s">
        <v>780</v>
      </c>
      <c r="B80" s="171" t="s">
        <v>2031</v>
      </c>
      <c r="C80" s="2536">
        <f ca="1">IF(C79&lt;=0,0,C79/C73)</f>
        <v>19.173780550579611</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99"/>
      <c r="G80" s="1399"/>
      <c r="H80" s="180"/>
      <c r="I80" s="1824"/>
      <c r="J80" s="1822"/>
      <c r="K80" s="1822"/>
      <c r="L80" s="1822"/>
      <c r="M80" s="1822"/>
      <c r="N80" s="1822"/>
      <c r="O80" s="1822"/>
      <c r="P80" s="1822"/>
      <c r="Q80" s="1822"/>
      <c r="R80" s="1822"/>
      <c r="S80" s="1822"/>
      <c r="T80" s="1822"/>
      <c r="U80" s="1822"/>
      <c r="V80" s="1822"/>
      <c r="W80" s="1822"/>
      <c r="X80" s="1822"/>
      <c r="Y80" s="1822"/>
      <c r="Z80" s="1822"/>
      <c r="AA80" s="1823"/>
      <c r="AB80" s="1823"/>
      <c r="AC80" s="1823"/>
      <c r="AD80" s="1823"/>
      <c r="AE80" s="1823"/>
      <c r="AF80" s="1823"/>
      <c r="AG80" s="1823"/>
      <c r="AH80" s="1823"/>
      <c r="AI80" s="1823"/>
    </row>
    <row r="81" spans="1:35" s="650" customFormat="1" ht="24.75" thickBot="1">
      <c r="A81" s="173" t="s">
        <v>781</v>
      </c>
      <c r="B81" s="174" t="s">
        <v>2032</v>
      </c>
      <c r="C81" s="2537">
        <f ca="1">ROUND(IF(C79&lt;=0,0,IF(C80&gt;=200%,C79*60%-C73*35%,IF(C80&gt;=100%,C79*50%-C73*15%,IF(C80&gt;=50%,C79*40%-C73*5%,IF(C80&lt;50%,C79*30%,0))))),0)</f>
        <v>1083459</v>
      </c>
      <c r="D81" s="253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4"/>
      <c r="J81" s="1822"/>
      <c r="K81" s="1822"/>
      <c r="L81" s="1822"/>
      <c r="M81" s="1822"/>
      <c r="N81" s="1822"/>
      <c r="O81" s="1822"/>
      <c r="P81" s="1822"/>
      <c r="Q81" s="1822"/>
      <c r="R81" s="1822"/>
      <c r="S81" s="1822"/>
      <c r="T81" s="1822"/>
      <c r="U81" s="1822"/>
      <c r="V81" s="1822"/>
      <c r="W81" s="1822"/>
      <c r="X81" s="1822"/>
      <c r="Y81" s="1822"/>
      <c r="Z81" s="1822"/>
      <c r="AA81" s="1823"/>
      <c r="AB81" s="1823"/>
      <c r="AC81" s="1823"/>
      <c r="AD81" s="1823"/>
      <c r="AE81" s="1823"/>
      <c r="AF81" s="1823"/>
      <c r="AG81" s="1823"/>
      <c r="AH81" s="1823"/>
      <c r="AI81" s="1823"/>
    </row>
    <row r="82" spans="1:35" s="650" customFormat="1" ht="7.5" customHeight="1">
      <c r="A82" s="7"/>
      <c r="B82" s="655"/>
      <c r="C82" s="7"/>
      <c r="D82" s="7"/>
      <c r="E82" s="655"/>
      <c r="F82" s="655"/>
      <c r="G82" s="655"/>
      <c r="H82" s="656"/>
      <c r="I82" s="1827"/>
      <c r="J82" s="1822"/>
      <c r="K82" s="1822"/>
      <c r="L82" s="1822"/>
      <c r="M82" s="1822"/>
      <c r="N82" s="1822"/>
      <c r="O82" s="1822"/>
      <c r="P82" s="1822"/>
      <c r="Q82" s="1822"/>
      <c r="R82" s="1822"/>
      <c r="S82" s="1822"/>
      <c r="T82" s="1822"/>
      <c r="U82" s="1822"/>
      <c r="V82" s="1822"/>
      <c r="W82" s="1822"/>
      <c r="X82" s="1822"/>
      <c r="Y82" s="1822"/>
      <c r="Z82" s="1822"/>
      <c r="AA82" s="1823"/>
      <c r="AB82" s="1823"/>
      <c r="AC82" s="1823"/>
      <c r="AD82" s="1823"/>
      <c r="AE82" s="1823"/>
      <c r="AF82" s="1823"/>
      <c r="AG82" s="1823"/>
      <c r="AH82" s="1823"/>
      <c r="AI82" s="1823"/>
    </row>
    <row r="83" spans="1:35" s="650" customFormat="1" ht="15" hidden="1" thickBot="1">
      <c r="A83" s="3276" t="s">
        <v>2033</v>
      </c>
      <c r="B83" s="3277"/>
      <c r="C83" s="3277"/>
      <c r="D83" s="3277"/>
      <c r="E83" s="3277"/>
      <c r="F83" s="3277"/>
      <c r="G83" s="3277"/>
      <c r="H83" s="3277"/>
      <c r="I83" s="1825"/>
      <c r="J83" s="1822"/>
      <c r="K83" s="1822"/>
      <c r="L83" s="1822"/>
      <c r="M83" s="1822"/>
      <c r="N83" s="1822"/>
      <c r="O83" s="1822"/>
      <c r="P83" s="1822"/>
      <c r="Q83" s="1822"/>
      <c r="R83" s="1822"/>
      <c r="S83" s="1822"/>
      <c r="T83" s="1822"/>
      <c r="U83" s="1822"/>
      <c r="V83" s="1822"/>
      <c r="W83" s="1822"/>
      <c r="X83" s="1822"/>
      <c r="Y83" s="1822"/>
      <c r="Z83" s="1822"/>
      <c r="AA83" s="1823"/>
      <c r="AB83" s="1823"/>
      <c r="AC83" s="1823"/>
      <c r="AD83" s="1823"/>
      <c r="AE83" s="1823"/>
      <c r="AF83" s="1823"/>
      <c r="AG83" s="1823"/>
      <c r="AH83" s="1823"/>
      <c r="AI83" s="1823"/>
    </row>
    <row r="84" spans="1:35" s="650" customFormat="1" ht="14.25" hidden="1">
      <c r="A84" s="3255" t="s">
        <v>1998</v>
      </c>
      <c r="B84" s="3256"/>
      <c r="C84" s="2009"/>
      <c r="D84" s="2009" t="s">
        <v>1999</v>
      </c>
      <c r="E84" s="177" t="s">
        <v>2000</v>
      </c>
      <c r="F84" s="178"/>
      <c r="G84" s="178"/>
      <c r="H84" s="189"/>
      <c r="I84" s="1825"/>
      <c r="J84" s="1822"/>
      <c r="K84" s="1822"/>
      <c r="L84" s="1822"/>
      <c r="M84" s="1822"/>
      <c r="N84" s="1822"/>
      <c r="O84" s="1822"/>
      <c r="P84" s="1822"/>
      <c r="Q84" s="1822"/>
      <c r="R84" s="1822"/>
      <c r="S84" s="1822"/>
      <c r="T84" s="1822"/>
      <c r="U84" s="1822"/>
      <c r="V84" s="1822"/>
      <c r="W84" s="1822"/>
      <c r="X84" s="1822"/>
      <c r="Y84" s="1822"/>
      <c r="Z84" s="1822"/>
      <c r="AA84" s="1823"/>
      <c r="AB84" s="1823"/>
      <c r="AC84" s="1823"/>
      <c r="AD84" s="1823"/>
      <c r="AE84" s="1823"/>
      <c r="AF84" s="1823"/>
      <c r="AG84" s="1823"/>
      <c r="AH84" s="1823"/>
      <c r="AI84" s="1823"/>
    </row>
    <row r="85" spans="1:35" s="650" customFormat="1" ht="14.25" hidden="1">
      <c r="A85" s="170" t="s">
        <v>775</v>
      </c>
      <c r="B85" s="171" t="s">
        <v>2018</v>
      </c>
      <c r="C85" s="2526">
        <f ca="1">ROUND(D45/(1+'数据-取费表'!C42),0)</f>
        <v>1959560</v>
      </c>
      <c r="D85" s="167" t="s">
        <v>32</v>
      </c>
      <c r="E85" s="1401"/>
      <c r="F85" s="1399"/>
      <c r="G85" s="1399"/>
      <c r="H85" s="190"/>
      <c r="I85" s="1825"/>
      <c r="J85" s="1822"/>
      <c r="K85" s="1822"/>
      <c r="L85" s="1822"/>
      <c r="M85" s="1822"/>
      <c r="N85" s="1822"/>
      <c r="O85" s="1822"/>
      <c r="P85" s="1822"/>
      <c r="Q85" s="1822"/>
      <c r="R85" s="1822"/>
      <c r="S85" s="1822"/>
      <c r="T85" s="1822"/>
      <c r="U85" s="1822"/>
      <c r="V85" s="1822"/>
      <c r="W85" s="1822"/>
      <c r="X85" s="1822"/>
      <c r="Y85" s="1822"/>
      <c r="Z85" s="1822"/>
      <c r="AA85" s="1823"/>
      <c r="AB85" s="1823"/>
      <c r="AC85" s="1823"/>
      <c r="AD85" s="1823"/>
      <c r="AE85" s="1823"/>
      <c r="AF85" s="1823"/>
      <c r="AG85" s="1823"/>
      <c r="AH85" s="1823"/>
      <c r="AI85" s="1823"/>
    </row>
    <row r="86" spans="1:35" s="650" customFormat="1" ht="14.25" hidden="1">
      <c r="A86" s="170" t="s">
        <v>772</v>
      </c>
      <c r="B86" s="160" t="s">
        <v>2019</v>
      </c>
      <c r="C86" s="2526">
        <f ca="1">IF(H88="仅含出让金",C87+C90+C91+C92+C93+C94,C87+C91+C92+C93+C94)</f>
        <v>9798</v>
      </c>
      <c r="D86" s="2539"/>
      <c r="E86" s="1401"/>
      <c r="F86" s="1399"/>
      <c r="G86" s="1399"/>
      <c r="H86" s="190"/>
      <c r="I86" s="1825"/>
      <c r="J86" s="1822"/>
      <c r="K86" s="1822"/>
      <c r="L86" s="1822"/>
      <c r="M86" s="1822"/>
      <c r="N86" s="1822"/>
      <c r="O86" s="1822"/>
      <c r="P86" s="1822"/>
      <c r="Q86" s="1822"/>
      <c r="R86" s="1822"/>
      <c r="S86" s="1822"/>
      <c r="T86" s="1822"/>
      <c r="U86" s="1822"/>
      <c r="V86" s="1822"/>
      <c r="W86" s="1822"/>
      <c r="X86" s="1822"/>
      <c r="Y86" s="1822"/>
      <c r="Z86" s="1822"/>
      <c r="AA86" s="1823"/>
      <c r="AB86" s="1823"/>
      <c r="AC86" s="1823"/>
      <c r="AD86" s="1823"/>
      <c r="AE86" s="1823"/>
      <c r="AF86" s="1823"/>
      <c r="AG86" s="1823"/>
      <c r="AH86" s="1823"/>
      <c r="AI86" s="1823"/>
    </row>
    <row r="87" spans="1:35" s="650" customFormat="1" ht="14.25" hidden="1">
      <c r="A87" s="166" t="s">
        <v>770</v>
      </c>
      <c r="B87" s="167" t="s">
        <v>2034</v>
      </c>
      <c r="C87" s="2534">
        <f>C88+C89</f>
        <v>0</v>
      </c>
      <c r="D87" s="2535"/>
      <c r="E87" s="2319"/>
      <c r="F87" s="2320"/>
      <c r="G87" s="2320"/>
      <c r="H87" s="2321"/>
      <c r="I87" s="1825"/>
      <c r="J87" s="1822"/>
      <c r="K87" s="1822"/>
      <c r="L87" s="1822"/>
      <c r="M87" s="1822"/>
      <c r="N87" s="1822"/>
      <c r="O87" s="1822"/>
      <c r="P87" s="1822"/>
      <c r="Q87" s="1822"/>
      <c r="R87" s="1822"/>
      <c r="S87" s="1822"/>
      <c r="T87" s="1822"/>
      <c r="U87" s="1822"/>
      <c r="V87" s="1822"/>
      <c r="W87" s="1822"/>
      <c r="X87" s="1822"/>
      <c r="Y87" s="1822"/>
      <c r="Z87" s="1822"/>
      <c r="AA87" s="1823"/>
      <c r="AB87" s="1823"/>
      <c r="AC87" s="1823"/>
      <c r="AD87" s="1823"/>
      <c r="AE87" s="1823"/>
      <c r="AF87" s="1823"/>
      <c r="AG87" s="1823"/>
      <c r="AH87" s="1823"/>
      <c r="AI87" s="1823"/>
    </row>
    <row r="88" spans="1:35" s="650" customFormat="1" ht="14.25" hidden="1">
      <c r="A88" s="166" t="s">
        <v>776</v>
      </c>
      <c r="B88" s="167" t="s">
        <v>2035</v>
      </c>
      <c r="C88" s="2540"/>
      <c r="D88" s="2535"/>
      <c r="E88" s="191" t="s">
        <v>2036</v>
      </c>
      <c r="F88" s="2320"/>
      <c r="G88" s="192" t="s">
        <v>2037</v>
      </c>
      <c r="H88" s="1828"/>
      <c r="I88" s="1825"/>
      <c r="J88" s="2481" t="s">
        <v>2957</v>
      </c>
      <c r="K88" s="1822"/>
      <c r="L88" s="1822"/>
      <c r="M88" s="1822"/>
      <c r="N88" s="1822"/>
      <c r="O88" s="1822"/>
      <c r="P88" s="1822"/>
      <c r="Q88" s="1822"/>
      <c r="R88" s="1822"/>
      <c r="S88" s="1822"/>
      <c r="T88" s="1822"/>
      <c r="U88" s="1822"/>
      <c r="V88" s="1822"/>
      <c r="W88" s="1822"/>
      <c r="X88" s="1822"/>
      <c r="Y88" s="1822"/>
      <c r="Z88" s="1822"/>
      <c r="AA88" s="1823"/>
      <c r="AB88" s="1823"/>
      <c r="AC88" s="1823"/>
      <c r="AD88" s="1823"/>
      <c r="AE88" s="1823"/>
      <c r="AF88" s="1823"/>
      <c r="AG88" s="1823"/>
      <c r="AH88" s="1823"/>
      <c r="AI88" s="1823"/>
    </row>
    <row r="89" spans="1:35" s="650" customFormat="1" ht="14.25" hidden="1">
      <c r="A89" s="166" t="s">
        <v>777</v>
      </c>
      <c r="B89" s="167" t="s">
        <v>2026</v>
      </c>
      <c r="C89" s="2534">
        <f>ROUND(C88*D89,0)</f>
        <v>0</v>
      </c>
      <c r="D89" s="2535">
        <f>'数据-取费表'!B48+'数据-取费表'!B49</f>
        <v>3.0499999999999999E-2</v>
      </c>
      <c r="E89" s="191" t="s">
        <v>2038</v>
      </c>
      <c r="F89" s="2320"/>
      <c r="G89" s="2320"/>
      <c r="H89" s="2321"/>
      <c r="I89" s="1825"/>
      <c r="J89" s="1822"/>
      <c r="K89" s="1822"/>
      <c r="L89" s="1822"/>
      <c r="M89" s="1822"/>
      <c r="N89" s="1822"/>
      <c r="O89" s="1822"/>
      <c r="P89" s="1822"/>
      <c r="Q89" s="1822"/>
      <c r="R89" s="1822"/>
      <c r="S89" s="1822"/>
      <c r="T89" s="1822"/>
      <c r="U89" s="1822"/>
      <c r="V89" s="1822"/>
      <c r="W89" s="1822"/>
      <c r="X89" s="1822"/>
      <c r="Y89" s="1822"/>
      <c r="Z89" s="1822"/>
      <c r="AA89" s="1823"/>
      <c r="AB89" s="1823"/>
      <c r="AC89" s="1823"/>
      <c r="AD89" s="1823"/>
      <c r="AE89" s="1823"/>
      <c r="AF89" s="1823"/>
      <c r="AG89" s="1823"/>
      <c r="AH89" s="1823"/>
      <c r="AI89" s="1823"/>
    </row>
    <row r="90" spans="1:35" s="650" customFormat="1" ht="14.25" hidden="1">
      <c r="A90" s="166" t="s">
        <v>771</v>
      </c>
      <c r="B90" s="167" t="s">
        <v>2039</v>
      </c>
      <c r="C90" s="2540"/>
      <c r="D90" s="2535"/>
      <c r="E90" s="191" t="str">
        <f>IF(H88="-","土地取得成本中已包含该笔费用"," ")</f>
        <v xml:space="preserve"> </v>
      </c>
      <c r="F90" s="2320"/>
      <c r="G90" s="3319" t="s">
        <v>2798</v>
      </c>
      <c r="H90" s="3320"/>
      <c r="I90" s="1825"/>
      <c r="J90" s="2481" t="s">
        <v>2958</v>
      </c>
      <c r="K90" s="1822"/>
      <c r="L90" s="1822"/>
      <c r="M90" s="1822"/>
      <c r="N90" s="1822"/>
      <c r="O90" s="1822"/>
      <c r="P90" s="1822"/>
      <c r="Q90" s="1822"/>
      <c r="R90" s="1822"/>
      <c r="S90" s="1822"/>
      <c r="T90" s="1822"/>
      <c r="U90" s="1822"/>
      <c r="V90" s="1822"/>
      <c r="W90" s="1822"/>
      <c r="X90" s="1822"/>
      <c r="Y90" s="1822"/>
      <c r="Z90" s="1822"/>
      <c r="AA90" s="1823"/>
      <c r="AB90" s="1823"/>
      <c r="AC90" s="1823"/>
      <c r="AD90" s="1823"/>
      <c r="AE90" s="1823"/>
      <c r="AF90" s="1823"/>
      <c r="AG90" s="1823"/>
      <c r="AH90" s="1823"/>
      <c r="AI90" s="1823"/>
    </row>
    <row r="91" spans="1:35" s="650" customFormat="1" ht="27.75" hidden="1" customHeight="1">
      <c r="A91" s="166" t="s">
        <v>2040</v>
      </c>
      <c r="B91" s="167" t="s">
        <v>2041</v>
      </c>
      <c r="C91" s="2534">
        <f>IF(H91="——",成本法!C33,I91)</f>
        <v>0</v>
      </c>
      <c r="D91" s="2535"/>
      <c r="E91" s="3234" t="s">
        <v>2042</v>
      </c>
      <c r="F91" s="3235"/>
      <c r="G91" s="3235"/>
      <c r="H91" s="1829"/>
      <c r="I91" s="1830"/>
      <c r="J91" s="1822"/>
      <c r="K91" s="1822"/>
      <c r="L91" s="1822"/>
      <c r="M91" s="1822"/>
      <c r="N91" s="1822"/>
      <c r="O91" s="1822"/>
      <c r="P91" s="1822"/>
      <c r="Q91" s="1822"/>
      <c r="R91" s="1822"/>
      <c r="S91" s="1822"/>
      <c r="T91" s="1822"/>
      <c r="U91" s="1822"/>
      <c r="V91" s="1822"/>
      <c r="W91" s="1822"/>
      <c r="X91" s="1822"/>
      <c r="Y91" s="1822"/>
      <c r="Z91" s="1822"/>
      <c r="AA91" s="1823"/>
      <c r="AB91" s="1823"/>
      <c r="AC91" s="1823"/>
      <c r="AD91" s="1823"/>
      <c r="AE91" s="1823"/>
      <c r="AF91" s="1823"/>
      <c r="AG91" s="1823"/>
      <c r="AH91" s="1823"/>
      <c r="AI91" s="1823"/>
    </row>
    <row r="92" spans="1:35" s="650" customFormat="1" ht="25.5" hidden="1" customHeight="1">
      <c r="A92" s="166" t="s">
        <v>2043</v>
      </c>
      <c r="B92" s="167" t="s">
        <v>2044</v>
      </c>
      <c r="C92" s="2534">
        <f>ROUND((C87+C90+C91)*D92,0)</f>
        <v>0</v>
      </c>
      <c r="D92" s="2541"/>
      <c r="E92" s="3234" t="s">
        <v>2045</v>
      </c>
      <c r="F92" s="3235"/>
      <c r="G92" s="3235"/>
      <c r="H92" s="3244"/>
      <c r="I92" s="1825"/>
      <c r="J92" s="2482" t="s">
        <v>2959</v>
      </c>
      <c r="K92" s="1822"/>
      <c r="L92" s="1822"/>
      <c r="M92" s="1822"/>
      <c r="N92" s="1822"/>
      <c r="O92" s="1822"/>
      <c r="P92" s="1822"/>
      <c r="Q92" s="1822"/>
      <c r="R92" s="1822"/>
      <c r="S92" s="1822"/>
      <c r="T92" s="1822"/>
      <c r="U92" s="1822"/>
      <c r="V92" s="1822"/>
      <c r="W92" s="1822"/>
      <c r="X92" s="1822"/>
      <c r="Y92" s="1822"/>
      <c r="Z92" s="1822"/>
      <c r="AA92" s="1823"/>
      <c r="AB92" s="1823"/>
      <c r="AC92" s="1823"/>
      <c r="AD92" s="1823"/>
      <c r="AE92" s="1823"/>
      <c r="AF92" s="1823"/>
      <c r="AG92" s="1823"/>
      <c r="AH92" s="1823"/>
      <c r="AI92" s="1823"/>
    </row>
    <row r="93" spans="1:35" s="650" customFormat="1" ht="25.5" hidden="1" customHeight="1">
      <c r="A93" s="166" t="s">
        <v>2046</v>
      </c>
      <c r="B93" s="167" t="s">
        <v>2028</v>
      </c>
      <c r="C93" s="2534">
        <f ca="1">ROUND(D45*D93/(1+'数据-取费表'!C42),0)</f>
        <v>9798</v>
      </c>
      <c r="D93" s="2535">
        <f>'数据-取费表'!B43</f>
        <v>5.000000000000001E-3</v>
      </c>
      <c r="E93" s="3234" t="s">
        <v>2029</v>
      </c>
      <c r="F93" s="3235"/>
      <c r="G93" s="3235"/>
      <c r="H93" s="3244"/>
      <c r="I93" s="1825"/>
      <c r="J93" s="1822"/>
      <c r="K93" s="1822"/>
      <c r="L93" s="1822"/>
      <c r="M93" s="1822"/>
      <c r="N93" s="1822"/>
      <c r="O93" s="1822"/>
      <c r="P93" s="1822"/>
      <c r="Q93" s="1822"/>
      <c r="R93" s="1822"/>
      <c r="S93" s="1822"/>
      <c r="T93" s="1822"/>
      <c r="U93" s="1822"/>
      <c r="V93" s="1822"/>
      <c r="W93" s="1822"/>
      <c r="X93" s="1822"/>
      <c r="Y93" s="1822"/>
      <c r="Z93" s="1822"/>
      <c r="AA93" s="1823"/>
      <c r="AB93" s="1823"/>
      <c r="AC93" s="1823"/>
      <c r="AD93" s="1823"/>
      <c r="AE93" s="1823"/>
      <c r="AF93" s="1823"/>
      <c r="AG93" s="1823"/>
      <c r="AH93" s="1823"/>
      <c r="AI93" s="1823"/>
    </row>
    <row r="94" spans="1:35" s="650" customFormat="1" ht="36.75" hidden="1" customHeight="1">
      <c r="A94" s="166" t="s">
        <v>2047</v>
      </c>
      <c r="B94" s="167" t="s">
        <v>2048</v>
      </c>
      <c r="C94" s="2540">
        <f>ROUND((C87+C90+C91)*D94,0)</f>
        <v>0</v>
      </c>
      <c r="D94" s="2535">
        <v>0.2</v>
      </c>
      <c r="E94" s="3245" t="s">
        <v>2049</v>
      </c>
      <c r="F94" s="3246"/>
      <c r="G94" s="3246"/>
      <c r="H94" s="3247"/>
      <c r="I94" s="1825"/>
      <c r="J94" s="1822"/>
      <c r="K94" s="1822"/>
      <c r="L94" s="1822"/>
      <c r="M94" s="1822"/>
      <c r="N94" s="1822"/>
      <c r="O94" s="1822"/>
      <c r="P94" s="1822"/>
      <c r="Q94" s="1822"/>
      <c r="R94" s="1822"/>
      <c r="S94" s="1822"/>
      <c r="T94" s="1822"/>
      <c r="U94" s="1822"/>
      <c r="V94" s="1822"/>
      <c r="W94" s="1822"/>
      <c r="X94" s="1822"/>
      <c r="Y94" s="1822"/>
      <c r="Z94" s="1822"/>
      <c r="AA94" s="1823"/>
      <c r="AB94" s="1823"/>
      <c r="AC94" s="1823"/>
      <c r="AD94" s="1823"/>
      <c r="AE94" s="1823"/>
      <c r="AF94" s="1823"/>
      <c r="AG94" s="1823"/>
      <c r="AH94" s="1823"/>
      <c r="AI94" s="1823"/>
    </row>
    <row r="95" spans="1:35" s="650" customFormat="1" ht="14.25" hidden="1">
      <c r="A95" s="170" t="s">
        <v>779</v>
      </c>
      <c r="B95" s="171" t="s">
        <v>2030</v>
      </c>
      <c r="C95" s="2526">
        <f ca="1">ROUND(C85-C86,0)</f>
        <v>1949762</v>
      </c>
      <c r="D95" s="167" t="s">
        <v>32</v>
      </c>
      <c r="E95" s="1401"/>
      <c r="F95" s="1399"/>
      <c r="G95" s="1399"/>
      <c r="H95" s="190"/>
      <c r="I95" s="1825"/>
      <c r="J95" s="1822"/>
      <c r="K95" s="1822"/>
      <c r="L95" s="1822"/>
      <c r="M95" s="1822"/>
      <c r="N95" s="1822"/>
      <c r="O95" s="1822"/>
      <c r="P95" s="1822"/>
      <c r="Q95" s="1822"/>
      <c r="R95" s="1822"/>
      <c r="S95" s="1822"/>
      <c r="T95" s="1822"/>
      <c r="U95" s="1822"/>
      <c r="V95" s="1822"/>
      <c r="W95" s="1822"/>
      <c r="X95" s="1822"/>
      <c r="Y95" s="1822"/>
      <c r="Z95" s="1822"/>
      <c r="AA95" s="1823"/>
      <c r="AB95" s="1823"/>
      <c r="AC95" s="1823"/>
      <c r="AD95" s="1823"/>
      <c r="AE95" s="1823"/>
      <c r="AF95" s="1823"/>
      <c r="AG95" s="1823"/>
      <c r="AH95" s="1823"/>
      <c r="AI95" s="1823"/>
    </row>
    <row r="96" spans="1:35" s="650" customFormat="1" ht="24" hidden="1">
      <c r="A96" s="170" t="s">
        <v>780</v>
      </c>
      <c r="B96" s="171" t="s">
        <v>2031</v>
      </c>
      <c r="C96" s="2536">
        <f ca="1">IF(C95&lt;=0,0,C95/C86)</f>
        <v>198.99591753419065</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99"/>
      <c r="G96" s="1399"/>
      <c r="H96" s="190"/>
      <c r="I96" s="1825"/>
      <c r="J96" s="1822"/>
      <c r="K96" s="1822"/>
      <c r="L96" s="1822"/>
      <c r="M96" s="1822"/>
      <c r="N96" s="1822"/>
      <c r="O96" s="1822"/>
      <c r="P96" s="1822"/>
      <c r="Q96" s="1822"/>
      <c r="R96" s="1822"/>
      <c r="S96" s="1822"/>
      <c r="T96" s="1822"/>
      <c r="U96" s="1822"/>
      <c r="V96" s="1822"/>
      <c r="W96" s="1822"/>
      <c r="X96" s="1822"/>
      <c r="Y96" s="1822"/>
      <c r="Z96" s="1822"/>
      <c r="AA96" s="1823"/>
      <c r="AB96" s="1823"/>
      <c r="AC96" s="1823"/>
      <c r="AD96" s="1823"/>
      <c r="AE96" s="1823"/>
      <c r="AF96" s="1823"/>
      <c r="AG96" s="1823"/>
      <c r="AH96" s="1823"/>
      <c r="AI96" s="1823"/>
    </row>
    <row r="97" spans="1:35" s="650" customFormat="1" ht="24.75" hidden="1" thickBot="1">
      <c r="A97" s="173" t="s">
        <v>781</v>
      </c>
      <c r="B97" s="174" t="s">
        <v>2032</v>
      </c>
      <c r="C97" s="2537">
        <f ca="1">ROUND(IF(C95&lt;=0,0,IF(C96&gt;=200%,C95*60%-C86*35%,IF(C96&gt;=100%,C95*50%-C86*15%,IF(C96&gt;=50%,C95*40%-C86*5%,IF(C96&lt;50%,C95*30%,0))))),0)</f>
        <v>1166428</v>
      </c>
      <c r="D97" s="253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5"/>
      <c r="J97" s="1822"/>
      <c r="K97" s="1822"/>
      <c r="L97" s="1822"/>
      <c r="M97" s="1822"/>
      <c r="N97" s="1822"/>
      <c r="O97" s="1822"/>
      <c r="P97" s="1822"/>
      <c r="Q97" s="1822"/>
      <c r="R97" s="1822"/>
      <c r="S97" s="1822"/>
      <c r="T97" s="1822"/>
      <c r="U97" s="1822"/>
      <c r="V97" s="1822"/>
      <c r="W97" s="1822"/>
      <c r="X97" s="1822"/>
      <c r="Y97" s="1822"/>
      <c r="Z97" s="1822"/>
      <c r="AA97" s="1823"/>
      <c r="AB97" s="1823"/>
      <c r="AC97" s="1823"/>
      <c r="AD97" s="1823"/>
      <c r="AE97" s="1823"/>
      <c r="AF97" s="1823"/>
      <c r="AG97" s="1823"/>
      <c r="AH97" s="1823"/>
      <c r="AI97" s="1823"/>
    </row>
    <row r="98" spans="1:35" ht="21.75" customHeight="1">
      <c r="A98" s="1815"/>
      <c r="B98" s="654"/>
      <c r="C98" s="654"/>
      <c r="D98" s="654"/>
      <c r="E98" s="1611"/>
      <c r="F98" s="1611"/>
      <c r="G98" s="1611"/>
      <c r="H98" s="1612"/>
      <c r="I98" s="126"/>
    </row>
    <row r="99" spans="1:35" ht="21.75" customHeight="1" thickBot="1">
      <c r="A99" s="1609" t="s">
        <v>2050</v>
      </c>
      <c r="B99" s="654"/>
      <c r="C99" s="654"/>
      <c r="D99" s="654"/>
      <c r="E99" s="1611"/>
      <c r="F99" s="1611"/>
      <c r="G99" s="1611"/>
      <c r="H99" s="1612"/>
      <c r="I99" s="126"/>
    </row>
    <row r="100" spans="1:35" ht="18.75" customHeight="1">
      <c r="A100" s="3218" t="s">
        <v>2051</v>
      </c>
      <c r="B100" s="3219"/>
      <c r="C100" s="3219"/>
      <c r="D100" s="3236"/>
      <c r="E100" s="3219" t="s">
        <v>2052</v>
      </c>
      <c r="F100" s="3219"/>
      <c r="G100" s="3219"/>
      <c r="H100" s="3236"/>
      <c r="I100" s="126"/>
    </row>
    <row r="101" spans="1:35" ht="18.75" customHeight="1">
      <c r="A101" s="3300" t="s">
        <v>2053</v>
      </c>
      <c r="B101" s="3301"/>
      <c r="C101" s="2543" t="str">
        <f>C4</f>
        <v>比较法-住宅</v>
      </c>
      <c r="D101" s="2544" t="str">
        <f>D4</f>
        <v>成本法 (元)</v>
      </c>
      <c r="E101" s="3314" t="s">
        <v>2054</v>
      </c>
      <c r="F101" s="3268"/>
      <c r="G101" s="1831" t="s">
        <v>2055</v>
      </c>
      <c r="H101" s="2553">
        <f ca="1">H118</f>
        <v>1959560</v>
      </c>
      <c r="I101" s="126"/>
    </row>
    <row r="102" spans="1:35" ht="18.75" customHeight="1">
      <c r="A102" s="3270" t="s">
        <v>2056</v>
      </c>
      <c r="B102" s="2542" t="s">
        <v>2055</v>
      </c>
      <c r="C102" s="2543">
        <f ca="1">C19</f>
        <v>208</v>
      </c>
      <c r="D102" s="2544">
        <f ca="1">D19</f>
        <v>147.30850000000001</v>
      </c>
      <c r="E102" s="3314"/>
      <c r="F102" s="3268"/>
      <c r="G102" s="1831" t="s">
        <v>2057</v>
      </c>
      <c r="H102" s="2513">
        <f ca="1">I118</f>
        <v>281869965</v>
      </c>
      <c r="I102" s="126"/>
    </row>
    <row r="103" spans="1:35" ht="42.75" customHeight="1">
      <c r="A103" s="3270"/>
      <c r="B103" s="2542" t="s">
        <v>2057</v>
      </c>
      <c r="C103" s="2545">
        <f ca="1">C20</f>
        <v>29936</v>
      </c>
      <c r="D103" s="2546">
        <f ca="1">D20</f>
        <v>21189</v>
      </c>
      <c r="E103" s="3308" t="s">
        <v>2058</v>
      </c>
      <c r="F103" s="3309"/>
      <c r="G103" s="1832" t="s">
        <v>2059</v>
      </c>
      <c r="H103" s="2553">
        <f>IF(D36="正常操作",H104+H105+H106,H105+H106)</f>
        <v>0</v>
      </c>
      <c r="I103" s="126"/>
    </row>
    <row r="104" spans="1:35" ht="18.75" customHeight="1">
      <c r="A104" s="3270" t="s">
        <v>2060</v>
      </c>
      <c r="B104" s="2547" t="s">
        <v>2055</v>
      </c>
      <c r="C104" s="2548">
        <f ca="1">H118</f>
        <v>1959560</v>
      </c>
      <c r="D104" s="2549"/>
      <c r="E104" s="1700" t="s">
        <v>2061</v>
      </c>
      <c r="F104" s="1693"/>
      <c r="G104" s="1832" t="s">
        <v>2059</v>
      </c>
      <c r="H104" s="2554">
        <f>IF(D36="同一抵押权人同一抵押物续贷",C36&amp;"（续贷，未扣减，详见特别提示）",C36)</f>
        <v>0</v>
      </c>
      <c r="I104" s="126"/>
    </row>
    <row r="105" spans="1:35" ht="18.75" customHeight="1" thickBot="1">
      <c r="A105" s="3271"/>
      <c r="B105" s="2550" t="s">
        <v>2057</v>
      </c>
      <c r="C105" s="2551">
        <f ca="1">I118</f>
        <v>281869965</v>
      </c>
      <c r="D105" s="2552"/>
      <c r="E105" s="1700" t="s">
        <v>2062</v>
      </c>
      <c r="F105" s="1693"/>
      <c r="G105" s="1832" t="s">
        <v>2059</v>
      </c>
      <c r="H105" s="2555">
        <f>C37</f>
        <v>0</v>
      </c>
      <c r="I105" s="126"/>
    </row>
    <row r="106" spans="1:35" ht="18.75" customHeight="1">
      <c r="A106" s="654" t="s">
        <v>2063</v>
      </c>
      <c r="B106" s="654"/>
      <c r="C106" s="654"/>
      <c r="D106" s="654"/>
      <c r="E106" s="1833" t="s">
        <v>2064</v>
      </c>
      <c r="F106" s="1693"/>
      <c r="G106" s="1832" t="s">
        <v>2059</v>
      </c>
      <c r="H106" s="2555">
        <f>C38</f>
        <v>0</v>
      </c>
      <c r="I106" s="126"/>
    </row>
    <row r="107" spans="1:35" ht="18.75" customHeight="1">
      <c r="A107" s="126"/>
      <c r="B107" s="126"/>
      <c r="C107" s="126"/>
      <c r="D107" s="126"/>
      <c r="E107" s="3267" t="str">
        <f>IF(项目基本情况!E8="已注销","——","3.房地产抵押价值")</f>
        <v>3.房地产抵押价值</v>
      </c>
      <c r="F107" s="3268"/>
      <c r="G107" s="1831" t="s">
        <v>2055</v>
      </c>
      <c r="H107" s="2553">
        <f ca="1">IF(E107="——","——",H101-H103)</f>
        <v>1959560</v>
      </c>
      <c r="I107" s="126"/>
    </row>
    <row r="108" spans="1:35" ht="18.75" customHeight="1">
      <c r="A108" s="126"/>
      <c r="B108" s="126"/>
      <c r="C108" s="126"/>
      <c r="D108" s="126"/>
      <c r="E108" s="3267"/>
      <c r="F108" s="3268"/>
      <c r="G108" s="1831" t="s">
        <v>2057</v>
      </c>
      <c r="H108" s="2513">
        <f ca="1">ROUND(H107*10000/'数据-汇总表'!E3,0)</f>
        <v>281869965</v>
      </c>
      <c r="I108" s="126"/>
    </row>
    <row r="109" spans="1:35" ht="18.75" customHeight="1">
      <c r="A109" s="126"/>
      <c r="B109" s="126"/>
      <c r="C109" s="126"/>
      <c r="D109" s="126"/>
      <c r="E109" s="3267" t="str">
        <f>IF(项目基本情况!E8="已注销及未注销","4.抵押担保权已注销时的房地产抵押价值",IF(项目基本情况!E8="已注销","3.抵押担保权已注销时的房地产抵押价值","——"))</f>
        <v>——</v>
      </c>
      <c r="F109" s="3268"/>
      <c r="G109" s="1831" t="s">
        <v>2055</v>
      </c>
      <c r="H109" s="2556" t="str">
        <f>IF(E109="——","——",H101-H105-H106)</f>
        <v>——</v>
      </c>
      <c r="I109" s="126"/>
    </row>
    <row r="110" spans="1:35" ht="18.75" customHeight="1">
      <c r="A110" s="126"/>
      <c r="B110" s="126"/>
      <c r="C110" s="126"/>
      <c r="D110" s="126"/>
      <c r="E110" s="3267"/>
      <c r="F110" s="3268"/>
      <c r="G110" s="1831" t="s">
        <v>2057</v>
      </c>
      <c r="H110" s="2513" t="str">
        <f>IF(H109="——","——",ROUND(H109*10000/'数据-汇总表'!E3,0))</f>
        <v>——</v>
      </c>
      <c r="I110" s="126"/>
    </row>
    <row r="111" spans="1:35" ht="18.75" customHeight="1">
      <c r="A111" s="126"/>
      <c r="B111" s="126"/>
      <c r="C111" s="126"/>
      <c r="D111" s="126"/>
      <c r="E111" s="3302" t="str">
        <f>IF(项目基本情况!E9="抵押净值",IF(OR(项目基本情况!E8="已注销",项目基本情况!E8="房地产抵押价值"),"4.抵押净值","5.抵押净值"),"——")</f>
        <v>4.抵押净值</v>
      </c>
      <c r="F111" s="3269"/>
      <c r="G111" s="1831" t="s">
        <v>2055</v>
      </c>
      <c r="H111" s="2553">
        <f ca="1">IF(E111="——","——",N59)</f>
        <v>770918</v>
      </c>
      <c r="I111" s="126"/>
    </row>
    <row r="112" spans="1:35" ht="18.75" customHeight="1" thickBot="1">
      <c r="A112" s="126"/>
      <c r="B112" s="126"/>
      <c r="C112" s="126"/>
      <c r="D112" s="126"/>
      <c r="E112" s="3303"/>
      <c r="F112" s="3304"/>
      <c r="G112" s="1834" t="s">
        <v>2057</v>
      </c>
      <c r="H112" s="2557">
        <f ca="1">IF(E111="——","——",N61)</f>
        <v>110891542</v>
      </c>
      <c r="I112" s="126"/>
    </row>
    <row r="113" spans="1:27" ht="18.75" customHeight="1">
      <c r="A113" s="126"/>
      <c r="B113" s="126"/>
      <c r="C113" s="126"/>
      <c r="D113" s="126"/>
      <c r="E113" s="3272" t="s">
        <v>2063</v>
      </c>
      <c r="F113" s="3272"/>
      <c r="G113" s="3272"/>
      <c r="H113" s="3272"/>
      <c r="I113" s="126"/>
    </row>
    <row r="114" spans="1:27" ht="3.75" customHeight="1">
      <c r="A114" s="654"/>
      <c r="B114" s="654"/>
      <c r="C114" s="654"/>
      <c r="D114" s="654"/>
      <c r="E114" s="1815"/>
      <c r="F114" s="1815"/>
      <c r="G114" s="1815"/>
      <c r="H114" s="1815"/>
      <c r="I114" s="654"/>
    </row>
    <row r="115" spans="1:27" ht="18.75" customHeight="1">
      <c r="A115" s="3285" t="s">
        <v>2065</v>
      </c>
      <c r="B115" s="3286"/>
      <c r="C115" s="3286"/>
      <c r="D115" s="3286"/>
      <c r="E115" s="3286"/>
      <c r="F115" s="3286"/>
      <c r="G115" s="3286"/>
      <c r="H115" s="3286"/>
      <c r="I115" s="3287"/>
    </row>
    <row r="116" spans="1:27" ht="27" customHeight="1">
      <c r="A116" s="3238" t="s">
        <v>2066</v>
      </c>
      <c r="B116" s="3273" t="s">
        <v>3149</v>
      </c>
      <c r="C116" s="3273" t="s">
        <v>3150</v>
      </c>
      <c r="D116" s="3289" t="s">
        <v>2067</v>
      </c>
      <c r="E116" s="3290"/>
      <c r="F116" s="3281" t="s">
        <v>3151</v>
      </c>
      <c r="G116" s="3281"/>
      <c r="H116" s="3238" t="s">
        <v>2068</v>
      </c>
      <c r="I116" s="3238"/>
    </row>
    <row r="117" spans="1:27" ht="18.75" customHeight="1">
      <c r="A117" s="3238"/>
      <c r="B117" s="3274"/>
      <c r="C117" s="3274"/>
      <c r="D117" s="2322" t="s">
        <v>2069</v>
      </c>
      <c r="E117" s="2322" t="s">
        <v>2070</v>
      </c>
      <c r="F117" s="2322" t="s">
        <v>2069</v>
      </c>
      <c r="G117" s="2322" t="s">
        <v>2071</v>
      </c>
      <c r="H117" s="2322" t="s">
        <v>2069</v>
      </c>
      <c r="I117" s="2322" t="s">
        <v>2071</v>
      </c>
    </row>
    <row r="118" spans="1:27" ht="24.75" customHeight="1">
      <c r="A118" s="2558" t="str">
        <f>项目基本情况!S2</f>
        <v>北京市房地产</v>
      </c>
      <c r="B118" s="2322">
        <f>M18</f>
        <v>69.52</v>
      </c>
      <c r="C118" s="2322">
        <f>M19</f>
        <v>0</v>
      </c>
      <c r="D118" s="2322">
        <f ca="1">ROUND(IF(D32="总价",C34,E118*B118/10000),0)</f>
        <v>1959560</v>
      </c>
      <c r="E118" s="2322">
        <f ca="1">ROUND(IF(C33="自定义",IF(D32="楼面单价",C34,D118*10000/B118),I118-G118),0)</f>
        <v>281869965</v>
      </c>
      <c r="F118" s="2322">
        <f ca="1">ROUND(IF(D32="总价",C35,G118*B118/10000),0)</f>
        <v>0</v>
      </c>
      <c r="G118" s="2322">
        <f ca="1">ROUND(IF(D32="楼面单价",C35,F118*10000/B118),0)</f>
        <v>0</v>
      </c>
      <c r="H118" s="2322">
        <f ca="1">ROUND(IF(D32="总价",C32,I118*B118/10000),0)</f>
        <v>1959560</v>
      </c>
      <c r="I118" s="2322">
        <f ca="1">ROUND(IF(D32="楼面单价",C32,H118*10000/B118),0)</f>
        <v>281869965</v>
      </c>
    </row>
    <row r="119" spans="1:27" ht="18.75" customHeight="1">
      <c r="A119" s="3238" t="s">
        <v>2072</v>
      </c>
      <c r="B119" s="3238"/>
      <c r="C119" s="3238"/>
      <c r="D119" s="3278" t="str">
        <f ca="1">NUMBERSTRING(INT(D118*10000),2)&amp;"元整"</f>
        <v>壹佰玖拾伍亿玖仟伍佰陆拾万元整</v>
      </c>
      <c r="E119" s="3280"/>
      <c r="F119" s="3278" t="str">
        <f ca="1">NUMBERSTRING(INT(F118*10000),2)&amp;"元整"</f>
        <v>零元整</v>
      </c>
      <c r="G119" s="3280"/>
      <c r="H119" s="3278" t="str">
        <f ca="1">NUMBERSTRING(INT(H118*10000),2)&amp;"元整"</f>
        <v>壹佰玖拾伍亿玖仟伍佰陆拾万元整</v>
      </c>
      <c r="I119" s="3280"/>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1768"/>
      <c r="K120" s="1768" t="str">
        <f>IF(D120=0,"故，本次评估不存在"&amp;A120,"故，本次评估"&amp;A120&amp;"为人民币"&amp;D120&amp;"万元整。")</f>
        <v>故，本次评估不存在估价师知悉的法定优先受偿款</v>
      </c>
      <c r="L120" s="1768"/>
      <c r="M120" s="1768"/>
      <c r="N120" s="1768"/>
      <c r="O120" s="1768"/>
      <c r="P120" s="1768"/>
      <c r="Q120" s="1768"/>
      <c r="R120" s="1768"/>
      <c r="S120" s="1768"/>
    </row>
    <row r="121" spans="1:27" ht="18.75" customHeight="1">
      <c r="A121" s="3282" t="s">
        <v>2072</v>
      </c>
      <c r="B121" s="3283"/>
      <c r="C121" s="3284"/>
      <c r="D121" s="3278" t="str">
        <f>IF(D120=0,"零元整",NUMBERSTRING(INT(D120*10000),2)&amp;"元整")</f>
        <v>零元整</v>
      </c>
      <c r="E121" s="3279"/>
      <c r="F121" s="3279"/>
      <c r="G121" s="3279"/>
      <c r="H121" s="3279"/>
      <c r="I121" s="3280"/>
      <c r="AA121" s="692"/>
    </row>
    <row r="122" spans="1:27" ht="18.75" customHeight="1">
      <c r="A122" s="3269" t="str">
        <f>IF(项目基本情况!B9="房地产市场价值","",MID(E107,3,LEN(E107)-2))</f>
        <v>房地产抵押价值</v>
      </c>
      <c r="B122" s="3269"/>
      <c r="C122" s="3269"/>
      <c r="D122" s="3305">
        <f ca="1">H107</f>
        <v>1959560</v>
      </c>
      <c r="E122" s="3306"/>
      <c r="F122" s="3306"/>
      <c r="G122" s="3306"/>
      <c r="H122" s="3306"/>
      <c r="I122" s="3307"/>
      <c r="AA122" s="692"/>
    </row>
    <row r="123" spans="1:27" ht="18.75" customHeight="1">
      <c r="A123" s="3238" t="s">
        <v>2072</v>
      </c>
      <c r="B123" s="3238"/>
      <c r="C123" s="3238"/>
      <c r="D123" s="3278" t="str">
        <f ca="1">NUMBERSTRING(INT(D122*10000),2)&amp;"元整"</f>
        <v>壹佰玖拾伍亿玖仟伍佰陆拾万元整</v>
      </c>
      <c r="E123" s="3279"/>
      <c r="F123" s="3279"/>
      <c r="G123" s="3279"/>
      <c r="H123" s="3279"/>
      <c r="I123" s="3280"/>
      <c r="AA123" s="692"/>
    </row>
    <row r="124" spans="1:27" ht="18.75" customHeight="1">
      <c r="A124" s="3269" t="str">
        <f>IF(项目基本情况!B9="房地产市场价值","",MID(E109,3,LEN(E109)-2))</f>
        <v/>
      </c>
      <c r="B124" s="3269"/>
      <c r="C124" s="3269"/>
      <c r="D124" s="3305" t="str">
        <f>H109</f>
        <v>——</v>
      </c>
      <c r="E124" s="3306"/>
      <c r="F124" s="3306"/>
      <c r="G124" s="3306"/>
      <c r="H124" s="3306"/>
      <c r="I124" s="3307"/>
      <c r="AA124" s="692"/>
    </row>
    <row r="125" spans="1:27" ht="18.75" customHeight="1">
      <c r="A125" s="3238" t="s">
        <v>2072</v>
      </c>
      <c r="B125" s="3238"/>
      <c r="C125" s="3238"/>
      <c r="D125" s="3278" t="e">
        <f>NUMBERSTRING(INT(D124*10000),2)&amp;"元整"</f>
        <v>#VALUE!</v>
      </c>
      <c r="E125" s="3279"/>
      <c r="F125" s="3279"/>
      <c r="G125" s="3279"/>
      <c r="H125" s="3279"/>
      <c r="I125" s="3280"/>
      <c r="AA125" s="692"/>
    </row>
    <row r="126" spans="1:27" ht="18.75" customHeight="1">
      <c r="A126" s="3269" t="str">
        <f>IF(项目基本情况!B9="房地产市场价值","",MID(E111,3,LEN(E111)-2))</f>
        <v>抵押净值</v>
      </c>
      <c r="B126" s="3269"/>
      <c r="C126" s="3269"/>
      <c r="D126" s="3305">
        <f ca="1">H111</f>
        <v>770918</v>
      </c>
      <c r="E126" s="3306"/>
      <c r="F126" s="3306"/>
      <c r="G126" s="3306"/>
      <c r="H126" s="3306"/>
      <c r="I126" s="3307"/>
      <c r="AA126" s="692"/>
    </row>
    <row r="127" spans="1:27" ht="18.75" customHeight="1">
      <c r="A127" s="3238" t="s">
        <v>2072</v>
      </c>
      <c r="B127" s="3238"/>
      <c r="C127" s="3238"/>
      <c r="D127" s="3278" t="str">
        <f ca="1">NUMBERSTRING(INT(D126*10000),2)&amp;"元整"</f>
        <v>柒拾柒亿零玖佰壹拾捌万元整</v>
      </c>
      <c r="E127" s="3279"/>
      <c r="F127" s="3279"/>
      <c r="G127" s="3279"/>
      <c r="H127" s="3279"/>
      <c r="I127" s="3280"/>
      <c r="AA127" s="692"/>
    </row>
    <row r="128" spans="1:27" ht="21.75" customHeight="1">
      <c r="A128" s="3288" t="s">
        <v>2073</v>
      </c>
      <c r="B128" s="3288"/>
      <c r="C128" s="3288"/>
      <c r="D128" s="3288"/>
      <c r="E128" s="3288"/>
      <c r="F128" s="3288"/>
      <c r="G128" s="3288"/>
      <c r="H128" s="3288"/>
      <c r="I128" s="3288"/>
      <c r="AA128" s="692"/>
    </row>
    <row r="129" spans="1:35" ht="21.75" customHeight="1">
      <c r="A129" s="1835" t="s">
        <v>2074</v>
      </c>
      <c r="B129" s="1836"/>
      <c r="C129" s="1837" t="s">
        <v>2075</v>
      </c>
      <c r="D129" s="1838"/>
      <c r="E129" s="1838"/>
      <c r="F129" s="1838"/>
      <c r="G129" s="1838"/>
      <c r="H129" s="1839"/>
      <c r="I129" s="1840"/>
      <c r="AA129" s="692"/>
    </row>
    <row r="130" spans="1:35" ht="21.75" customHeight="1">
      <c r="A130" s="1841">
        <v>1</v>
      </c>
      <c r="B130" s="1842"/>
      <c r="C130" s="1842"/>
      <c r="D130" s="696"/>
      <c r="E130" s="696"/>
      <c r="F130" s="696"/>
      <c r="G130" s="696"/>
      <c r="H130" s="695"/>
      <c r="I130" s="1843"/>
      <c r="AA130" s="692"/>
    </row>
    <row r="131" spans="1:35" ht="21.75" customHeight="1">
      <c r="A131" s="1841">
        <v>2</v>
      </c>
      <c r="B131" s="1842"/>
      <c r="C131" s="1842"/>
      <c r="D131" s="696"/>
      <c r="E131" s="696"/>
      <c r="F131" s="696"/>
      <c r="G131" s="696"/>
      <c r="H131" s="695"/>
      <c r="I131" s="1843"/>
      <c r="AA131" s="692"/>
    </row>
    <row r="132" spans="1:35" ht="21.75" customHeight="1">
      <c r="A132" s="1841">
        <v>3</v>
      </c>
      <c r="B132" s="1842"/>
      <c r="C132" s="1842"/>
      <c r="D132" s="696"/>
      <c r="E132" s="696"/>
      <c r="F132" s="696"/>
      <c r="G132" s="696"/>
      <c r="H132" s="695"/>
      <c r="I132" s="1843"/>
      <c r="AA132" s="692"/>
    </row>
    <row r="133" spans="1:35" ht="21.75" customHeight="1">
      <c r="A133" s="1844"/>
      <c r="B133" s="1845"/>
      <c r="C133" s="1845"/>
      <c r="D133" s="1846"/>
      <c r="E133" s="1846"/>
      <c r="F133" s="1846"/>
      <c r="G133" s="1846"/>
      <c r="H133" s="1847"/>
      <c r="I133" s="1848"/>
    </row>
    <row r="134" spans="1:35" ht="21.75" customHeight="1">
      <c r="A134" s="1842"/>
      <c r="B134" s="1842"/>
      <c r="C134" s="1842"/>
      <c r="D134" s="696"/>
      <c r="E134" s="696"/>
      <c r="F134" s="696"/>
      <c r="G134" s="696"/>
      <c r="H134" s="695"/>
      <c r="I134" s="692"/>
    </row>
    <row r="135" spans="1:35" ht="21.75" customHeight="1">
      <c r="A135" s="692"/>
      <c r="B135" s="692"/>
      <c r="C135" s="692"/>
      <c r="D135" s="692"/>
      <c r="E135" s="692"/>
      <c r="F135" s="1849" t="s">
        <v>2076</v>
      </c>
      <c r="G135" s="1850"/>
      <c r="H135" s="1850"/>
      <c r="I135" s="1851" t="s">
        <v>2077</v>
      </c>
    </row>
    <row r="136" spans="1:35" ht="21.75" customHeight="1">
      <c r="A136" s="692"/>
      <c r="B136" s="1852" t="s">
        <v>2078</v>
      </c>
      <c r="C136" s="692"/>
      <c r="D136" s="692"/>
      <c r="E136" s="692"/>
      <c r="F136" s="692"/>
      <c r="G136" s="692"/>
      <c r="H136" s="692"/>
      <c r="I136" s="692"/>
    </row>
    <row r="137" spans="1:35" ht="21.75" customHeight="1">
      <c r="A137" s="692"/>
      <c r="B137" s="692"/>
      <c r="C137" s="692"/>
      <c r="D137" s="692"/>
      <c r="E137" s="692"/>
      <c r="F137" s="692"/>
      <c r="G137" s="692"/>
      <c r="H137" s="692"/>
      <c r="I137" s="692"/>
    </row>
    <row r="138" spans="1:35" ht="21.75" customHeight="1">
      <c r="A138" s="692"/>
      <c r="B138" s="1850"/>
      <c r="C138" s="1850"/>
      <c r="D138" s="1850"/>
      <c r="E138" s="1850"/>
      <c r="F138" s="1850"/>
      <c r="G138" s="1850"/>
      <c r="H138" s="1850"/>
      <c r="I138" s="1851" t="s">
        <v>2079</v>
      </c>
    </row>
    <row r="139" spans="1:35" ht="21.75" customHeight="1">
      <c r="A139" s="692"/>
      <c r="B139" s="1852" t="s">
        <v>2080</v>
      </c>
      <c r="C139" s="692"/>
      <c r="D139" s="692"/>
      <c r="E139" s="692"/>
      <c r="F139" s="692"/>
      <c r="G139" s="692"/>
      <c r="H139" s="692"/>
      <c r="I139" s="692"/>
    </row>
    <row r="140" spans="1:35" ht="21.75" customHeight="1">
      <c r="A140" s="692"/>
      <c r="B140" s="1852"/>
      <c r="C140" s="692"/>
      <c r="D140" s="692"/>
      <c r="E140" s="692"/>
      <c r="F140" s="692"/>
      <c r="G140" s="692"/>
      <c r="H140" s="692"/>
      <c r="I140" s="692"/>
    </row>
    <row r="141" spans="1:35" ht="21.75" customHeight="1">
      <c r="A141" s="692"/>
      <c r="B141" s="1850"/>
      <c r="C141" s="1850"/>
      <c r="D141" s="1850"/>
      <c r="E141" s="1850"/>
      <c r="F141" s="1850"/>
      <c r="G141" s="1850"/>
      <c r="H141" s="1850"/>
      <c r="I141" s="1851" t="s">
        <v>2079</v>
      </c>
    </row>
    <row r="142" spans="1:35" ht="21.75" customHeight="1">
      <c r="A142" s="692"/>
      <c r="B142" s="1852"/>
      <c r="C142" s="1853"/>
      <c r="D142" s="1854"/>
      <c r="E142" s="1854"/>
      <c r="F142" s="1759"/>
      <c r="G142" s="692"/>
      <c r="H142" s="692"/>
      <c r="I142" s="692"/>
    </row>
    <row r="143" spans="1:35" s="127" customFormat="1" ht="21.75" customHeight="1">
      <c r="A143" s="692"/>
      <c r="B143" s="1852"/>
      <c r="C143" s="1853"/>
      <c r="D143" s="1854"/>
      <c r="E143" s="1854"/>
      <c r="F143" s="1759"/>
      <c r="G143" s="692"/>
      <c r="H143" s="692"/>
      <c r="I143" s="692"/>
      <c r="J143" s="692"/>
      <c r="K143" s="692"/>
      <c r="L143" s="692"/>
      <c r="M143" s="692"/>
      <c r="N143" s="692"/>
      <c r="O143" s="692"/>
      <c r="P143" s="692"/>
      <c r="Q143" s="692"/>
      <c r="R143" s="692"/>
      <c r="S143" s="692"/>
      <c r="T143" s="692"/>
      <c r="U143" s="692"/>
      <c r="V143" s="692"/>
      <c r="W143" s="692"/>
      <c r="X143" s="692"/>
      <c r="Y143" s="692"/>
      <c r="Z143" s="692"/>
      <c r="AA143" s="692"/>
      <c r="AB143" s="692"/>
      <c r="AC143" s="692"/>
      <c r="AD143" s="692"/>
      <c r="AE143" s="692"/>
      <c r="AF143" s="692"/>
      <c r="AG143" s="692"/>
      <c r="AH143" s="692"/>
      <c r="AI143" s="692"/>
    </row>
    <row r="144" spans="1:35" s="127" customFormat="1" ht="21.75" customHeight="1">
      <c r="A144" s="692"/>
      <c r="B144" s="692"/>
      <c r="C144" s="692"/>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row>
    <row r="145" spans="1:35" s="127" customFormat="1" ht="21.75" customHeight="1">
      <c r="A145" s="692"/>
      <c r="B145" s="692"/>
      <c r="C145" s="692"/>
      <c r="D145" s="692"/>
      <c r="E145" s="692"/>
      <c r="F145" s="692"/>
      <c r="G145" s="692"/>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row>
    <row r="146" spans="1:35" s="692" customFormat="1" ht="21.75" customHeight="1"/>
    <row r="147" spans="1:35" s="692" customFormat="1" ht="21.75" customHeight="1"/>
    <row r="148" spans="1:35" s="692" customFormat="1" ht="21.75" customHeight="1"/>
    <row r="149" spans="1:35" s="692" customFormat="1" ht="21.75" customHeight="1"/>
    <row r="150" spans="1:35" s="692" customFormat="1" ht="21.75" customHeight="1"/>
    <row r="151" spans="1:35" s="692" customFormat="1" ht="21.75" customHeight="1"/>
    <row r="152" spans="1:35" s="692" customFormat="1" ht="21.75" customHeight="1"/>
    <row r="153" spans="1:35" s="692" customFormat="1" ht="21.75" customHeight="1"/>
    <row r="154" spans="1:35" s="692" customFormat="1" ht="21.75" customHeight="1"/>
    <row r="155" spans="1:35" s="692" customFormat="1" ht="21.75" customHeight="1"/>
    <row r="156" spans="1:35" s="692" customFormat="1" ht="21.75" customHeight="1"/>
    <row r="157" spans="1:35" s="692" customFormat="1" ht="21.75" customHeight="1"/>
    <row r="158" spans="1:35" s="692" customFormat="1" ht="21.75" customHeight="1"/>
    <row r="159" spans="1:35" s="692" customFormat="1" ht="21.75" customHeight="1"/>
    <row r="160" spans="1:35" s="692" customFormat="1" ht="21.75" customHeight="1"/>
    <row r="161" s="692" customFormat="1" ht="21.75" customHeight="1"/>
    <row r="162" s="692" customFormat="1" ht="21.75" customHeight="1"/>
    <row r="163" s="692" customFormat="1" ht="21.75" customHeight="1"/>
    <row r="164" s="692" customFormat="1" ht="21.75" customHeight="1"/>
    <row r="165" s="692" customFormat="1" ht="21.75" customHeight="1"/>
    <row r="166" s="692" customFormat="1" ht="21.75" customHeight="1"/>
    <row r="167" s="692" customFormat="1" ht="21.75" customHeight="1"/>
    <row r="168" s="692" customFormat="1" ht="21.75" customHeight="1"/>
    <row r="169" s="692" customFormat="1" ht="21.75" customHeight="1"/>
    <row r="170" s="692" customFormat="1" ht="21.75" customHeight="1"/>
    <row r="171" s="692" customFormat="1" ht="21.75" customHeight="1"/>
    <row r="172" s="692" customFormat="1" ht="21.75" customHeight="1"/>
    <row r="173" s="692" customFormat="1" ht="21.75" customHeight="1"/>
    <row r="174" s="692" customFormat="1" ht="21.75" customHeight="1"/>
    <row r="175" s="692" customFormat="1" ht="21.75" customHeight="1"/>
    <row r="176" s="692" customFormat="1" ht="21.75" customHeight="1"/>
    <row r="177" s="692" customFormat="1" ht="21.75" customHeight="1"/>
    <row r="178" s="692" customFormat="1" ht="21.75" customHeight="1"/>
    <row r="179" s="692" customFormat="1" ht="21.75" customHeight="1"/>
    <row r="180" s="692" customFormat="1" ht="21.75" customHeight="1"/>
    <row r="181" s="692" customFormat="1" ht="21.75" customHeight="1"/>
    <row r="182" s="692" customFormat="1" ht="21.75" customHeight="1"/>
    <row r="183" s="692" customFormat="1" ht="21.75" customHeight="1"/>
    <row r="184" s="692" customFormat="1" ht="21.75" customHeight="1"/>
    <row r="185" s="692" customFormat="1" ht="21.75" customHeight="1"/>
    <row r="186" s="692" customFormat="1" ht="21.75" customHeight="1"/>
    <row r="187" s="692" customFormat="1" ht="21.75" customHeight="1"/>
    <row r="188" s="692" customFormat="1" ht="21.75" customHeight="1"/>
    <row r="189" s="692" customFormat="1" ht="21.75" customHeight="1"/>
    <row r="190" s="692" customFormat="1" ht="21.75" customHeight="1"/>
    <row r="191" s="692" customFormat="1" ht="21.75" customHeight="1"/>
    <row r="192" s="692" customFormat="1" ht="21.75" customHeight="1"/>
    <row r="193" s="692" customFormat="1" ht="21.75" customHeight="1"/>
    <row r="194" s="692" customFormat="1" ht="21.75" customHeight="1"/>
    <row r="195" s="692" customFormat="1" ht="21.75" customHeight="1"/>
    <row r="196" s="692" customFormat="1" ht="21.75" customHeight="1"/>
    <row r="197" s="692" customFormat="1" ht="21.75" customHeight="1"/>
    <row r="198" s="692" customFormat="1" ht="21.75" customHeight="1"/>
    <row r="199" s="692" customFormat="1" ht="21.75" customHeight="1"/>
    <row r="200" s="692" customFormat="1" ht="21.75" customHeight="1"/>
    <row r="201" s="692" customFormat="1" ht="21.75" customHeight="1"/>
    <row r="202" s="692" customFormat="1" ht="21.75" customHeight="1"/>
    <row r="203" s="692" customFormat="1" ht="21.75" customHeight="1"/>
    <row r="204" s="692" customFormat="1" ht="21.75" customHeight="1"/>
    <row r="205" s="692" customFormat="1" ht="21.75" customHeight="1"/>
    <row r="206" s="692" customFormat="1" ht="21.75" customHeight="1"/>
    <row r="207" s="692" customFormat="1" ht="21.75" customHeight="1"/>
    <row r="208" s="692" customFormat="1" ht="21.75" customHeight="1"/>
    <row r="209" s="692" customFormat="1" ht="21.75" customHeight="1"/>
    <row r="210" s="692" customFormat="1" ht="21.75" customHeight="1"/>
    <row r="211" s="692" customFormat="1" ht="21.75" customHeight="1"/>
    <row r="212" s="692" customFormat="1" ht="21.75" customHeight="1"/>
    <row r="213" s="692" customFormat="1" ht="21.75" customHeight="1"/>
    <row r="214" s="692" customFormat="1" ht="21.75" customHeight="1"/>
    <row r="215" s="692" customFormat="1" ht="21.75" customHeight="1"/>
    <row r="216" s="692" customFormat="1" ht="21.75" customHeight="1"/>
    <row r="217" s="692" customFormat="1" ht="21.75" customHeight="1"/>
    <row r="218" s="692" customFormat="1" ht="21.75" customHeight="1"/>
    <row r="219" s="692" customFormat="1" ht="21.75" customHeight="1"/>
    <row r="220" s="692" customFormat="1" ht="21.75" customHeight="1"/>
    <row r="221" s="692" customFormat="1" ht="21.75" customHeight="1"/>
    <row r="222" s="692" customFormat="1" ht="21.75" customHeight="1"/>
    <row r="223" s="692" customFormat="1" ht="21.75" customHeight="1"/>
    <row r="224" s="692" customFormat="1" ht="21.75" customHeight="1"/>
    <row r="225" s="692" customFormat="1" ht="21.75" customHeight="1"/>
    <row r="226" s="692" customFormat="1" ht="21.75" customHeight="1"/>
    <row r="227" s="692" customFormat="1" ht="21.75" customHeight="1"/>
    <row r="228" s="692" customFormat="1" ht="21.75" customHeight="1"/>
    <row r="229" s="692" customFormat="1" ht="21.75" customHeight="1"/>
    <row r="230" s="692" customFormat="1" ht="21.75" customHeight="1"/>
    <row r="231" s="692" customFormat="1" ht="21.75" customHeight="1"/>
    <row r="232" s="692" customFormat="1" ht="21.75" customHeight="1"/>
    <row r="233" s="692" customFormat="1" ht="21.75" customHeight="1"/>
    <row r="234" s="692" customFormat="1" ht="21.75" customHeight="1"/>
    <row r="235" s="692" customFormat="1" ht="21.75" customHeight="1"/>
    <row r="236" s="692" customFormat="1" ht="21.75" customHeight="1"/>
    <row r="237" s="692" customFormat="1" ht="21.75" customHeight="1"/>
    <row r="238" s="692" customFormat="1" ht="21.75" customHeight="1"/>
    <row r="239" s="692" customFormat="1" ht="21.75" customHeight="1"/>
    <row r="240" s="692" customFormat="1" ht="21.75" customHeight="1"/>
    <row r="241" s="692" customFormat="1" ht="21.75" customHeight="1"/>
    <row r="242" s="692" customFormat="1" ht="21.75" customHeight="1"/>
    <row r="243" s="692" customFormat="1" ht="21.75" customHeight="1"/>
    <row r="244" s="692" customFormat="1" ht="21.75" customHeight="1"/>
    <row r="245" s="692" customFormat="1" ht="21.75" customHeight="1"/>
    <row r="246" s="692" customFormat="1" ht="21.75" customHeight="1"/>
    <row r="247" s="692" customFormat="1" ht="21.75" customHeight="1"/>
    <row r="248" s="692" customFormat="1" ht="21.75" customHeight="1"/>
    <row r="249" s="692" customFormat="1" ht="21.75" customHeight="1"/>
    <row r="250" s="692" customFormat="1" ht="21.75" customHeight="1"/>
    <row r="251" s="692" customFormat="1" ht="21.75" customHeight="1"/>
    <row r="252" s="692" customFormat="1" ht="21.75" customHeight="1"/>
    <row r="253" s="692" customFormat="1" ht="21.75" customHeight="1"/>
    <row r="254" s="692" customFormat="1" ht="21.75" customHeight="1"/>
    <row r="255" s="692" customFormat="1" ht="21.75" customHeight="1"/>
    <row r="256" s="692" customFormat="1" ht="21.75" customHeight="1"/>
    <row r="257" s="692" customFormat="1" ht="21.75" customHeight="1"/>
    <row r="258" s="692" customFormat="1" ht="21.75" customHeight="1"/>
    <row r="259" s="692" customFormat="1" ht="21.75" customHeight="1"/>
    <row r="260" s="692" customFormat="1" ht="21.75" customHeight="1"/>
    <row r="261" s="692" customFormat="1" ht="21.75" customHeight="1"/>
    <row r="262" s="692" customFormat="1" ht="21.75" customHeight="1"/>
    <row r="263" s="692" customFormat="1" ht="21.75" customHeight="1"/>
    <row r="264" s="692" customFormat="1" ht="21.75" customHeight="1"/>
    <row r="265" s="692" customFormat="1" ht="21.75" customHeight="1"/>
    <row r="266" s="692" customFormat="1" ht="21.75" customHeight="1"/>
    <row r="267" s="692" customFormat="1" ht="21.75" customHeight="1"/>
    <row r="268" s="692" customFormat="1" ht="21.75" customHeight="1"/>
    <row r="269" s="692" customFormat="1" ht="21.75" customHeight="1"/>
    <row r="270" s="692" customFormat="1" ht="21.75" customHeight="1"/>
    <row r="271" s="692" customFormat="1" ht="21.75" customHeight="1"/>
    <row r="272" s="692" customFormat="1" ht="21.75" customHeight="1"/>
    <row r="273" s="692" customFormat="1" ht="21.75" customHeight="1"/>
    <row r="274" s="692" customFormat="1" ht="21.75" customHeight="1"/>
    <row r="275" s="692" customFormat="1" ht="21.75" customHeight="1"/>
    <row r="276" s="692" customFormat="1" ht="21.75" customHeight="1"/>
    <row r="277" s="692" customFormat="1" ht="21.75" customHeight="1"/>
    <row r="278" s="692" customFormat="1" ht="21.75" customHeight="1"/>
    <row r="279" s="692" customFormat="1" ht="21.75" customHeight="1"/>
    <row r="280" s="692" customFormat="1" ht="21.75" customHeight="1"/>
    <row r="281" s="692" customFormat="1" ht="21.75" customHeight="1"/>
    <row r="282" s="692" customFormat="1" ht="21.75" customHeight="1"/>
    <row r="283" s="692" customFormat="1" ht="21.75" customHeight="1"/>
    <row r="284" s="692" customFormat="1" ht="21.75" customHeight="1"/>
    <row r="285" s="692" customFormat="1" ht="21.75" customHeight="1"/>
    <row r="286" s="692" customFormat="1" ht="21.75" customHeight="1"/>
    <row r="287" s="692" customFormat="1" ht="21.75" customHeight="1"/>
    <row r="288" s="692" customFormat="1" ht="21.75" customHeight="1"/>
    <row r="289" s="692" customFormat="1" ht="21.75" customHeight="1"/>
    <row r="290" s="692" customFormat="1" ht="21.75" customHeight="1"/>
    <row r="291" s="692" customFormat="1" ht="21.75" customHeight="1"/>
    <row r="292" s="692" customFormat="1" ht="21.75" customHeight="1"/>
    <row r="293" s="692" customFormat="1" ht="21.75" customHeight="1"/>
    <row r="294" s="692" customFormat="1" ht="21.75" customHeight="1"/>
    <row r="295" s="692" customFormat="1" ht="21.75" customHeight="1"/>
    <row r="296" s="692" customFormat="1" ht="21.75" customHeight="1"/>
    <row r="297" s="692" customFormat="1" ht="21.75" customHeight="1"/>
    <row r="298" s="692" customFormat="1" ht="21.75" customHeight="1"/>
    <row r="299" s="692" customFormat="1" ht="21.75" customHeight="1"/>
    <row r="300" s="692" customFormat="1" ht="21.75" customHeight="1"/>
    <row r="301" s="692" customFormat="1" ht="21.75" customHeight="1"/>
    <row r="302" s="692" customFormat="1" ht="21.75" customHeight="1"/>
    <row r="303" s="692" customFormat="1" ht="21.75" customHeight="1"/>
    <row r="304" s="692" customFormat="1" ht="21.75" customHeight="1"/>
    <row r="305" s="692" customFormat="1" ht="21.75" customHeight="1"/>
    <row r="306" s="692" customFormat="1" ht="21.75" customHeight="1"/>
    <row r="307" s="692" customFormat="1" ht="21.75" customHeight="1"/>
    <row r="308" s="692" customFormat="1" ht="21.75" customHeight="1"/>
    <row r="309" s="692" customFormat="1" ht="21.75" customHeight="1"/>
    <row r="310" s="692" customFormat="1" ht="21.75" customHeight="1"/>
    <row r="311" s="692" customFormat="1" ht="21.75" customHeight="1"/>
    <row r="312" s="692" customFormat="1" ht="21.75" customHeight="1"/>
    <row r="313" s="692" customFormat="1" ht="21.75" customHeight="1"/>
    <row r="314" s="692" customFormat="1" ht="21.75" customHeight="1"/>
    <row r="315" s="692" customFormat="1" ht="21.75" customHeight="1"/>
    <row r="316" s="692" customFormat="1" ht="21.75" customHeight="1"/>
    <row r="317" s="692" customFormat="1" ht="21.75" customHeight="1"/>
    <row r="318" s="692" customFormat="1" ht="21.75" customHeight="1"/>
    <row r="319" s="692" customFormat="1" ht="21.75" customHeight="1"/>
    <row r="320" s="692" customFormat="1" ht="21.75" customHeight="1"/>
    <row r="321" s="692" customFormat="1" ht="21.75" customHeight="1"/>
    <row r="322" s="692" customFormat="1" ht="21.75" customHeight="1"/>
    <row r="323" s="692" customFormat="1" ht="21.75" customHeight="1"/>
    <row r="324" s="692" customFormat="1" ht="21.75" customHeight="1"/>
    <row r="325" s="692" customFormat="1" ht="21.75" customHeight="1"/>
    <row r="326" s="692" customFormat="1" ht="21.75" customHeight="1"/>
    <row r="327" s="692" customFormat="1" ht="21.75" customHeight="1"/>
    <row r="328" s="692" customFormat="1" ht="21.75" customHeight="1"/>
    <row r="329" s="692" customFormat="1" ht="21.75" customHeight="1"/>
    <row r="330" s="692" customFormat="1" ht="21.75" customHeight="1"/>
    <row r="331" s="692" customFormat="1" ht="21.75" customHeight="1"/>
    <row r="332" s="692" customFormat="1" ht="21.75" customHeight="1"/>
    <row r="333" s="692" customFormat="1" ht="21.75" customHeight="1"/>
    <row r="334" s="692" customFormat="1" ht="21.75" customHeight="1"/>
    <row r="335" s="692" customFormat="1" ht="21.75" customHeight="1"/>
    <row r="336" s="692" customFormat="1" ht="21.75" customHeight="1"/>
    <row r="337" s="692" customFormat="1" ht="21.75" customHeight="1"/>
    <row r="338" s="692" customFormat="1" ht="21.75" customHeight="1"/>
    <row r="339" s="692" customFormat="1" ht="21.75" customHeight="1"/>
    <row r="340" s="692" customFormat="1" ht="21.75" customHeight="1"/>
    <row r="341" s="692" customFormat="1" ht="21.75" customHeight="1"/>
    <row r="342" s="692" customFormat="1" ht="21.75" customHeight="1"/>
    <row r="343" s="692" customFormat="1" ht="21.75" customHeight="1"/>
    <row r="344" s="692" customFormat="1" ht="21.75" customHeight="1"/>
    <row r="345" s="692" customFormat="1" ht="21.75" customHeight="1"/>
    <row r="346" s="692" customFormat="1" ht="21.75" customHeight="1"/>
    <row r="347" s="692" customFormat="1" ht="21.75" customHeight="1"/>
    <row r="348" s="692" customFormat="1" ht="21.75" customHeight="1"/>
    <row r="349" s="692" customFormat="1" ht="21.75" customHeight="1"/>
    <row r="350" s="692" customFormat="1" ht="21.75" customHeight="1"/>
    <row r="351" s="692" customFormat="1" ht="21.75" customHeight="1"/>
    <row r="352" s="692" customFormat="1" ht="21.75" customHeight="1"/>
    <row r="353" s="692" customFormat="1" ht="21.75" customHeight="1"/>
    <row r="354" s="692" customFormat="1" ht="21.75" customHeight="1"/>
    <row r="355" s="692" customFormat="1" ht="21.75" customHeight="1"/>
    <row r="356" s="692" customFormat="1" ht="21.75" customHeight="1"/>
    <row r="357" s="692" customFormat="1" ht="21.75" customHeight="1"/>
    <row r="358" s="692" customFormat="1" ht="21.75" customHeight="1"/>
    <row r="359" s="692" customFormat="1" ht="21.75" customHeight="1"/>
    <row r="360" s="692" customFormat="1" ht="21.75" customHeight="1"/>
    <row r="361" s="692" customFormat="1" ht="21.75" customHeight="1"/>
    <row r="362" s="692" customFormat="1" ht="21.75" customHeight="1"/>
    <row r="363" s="692" customFormat="1" ht="21.75" customHeight="1"/>
    <row r="364" s="692" customFormat="1" ht="21.75" customHeight="1"/>
    <row r="365" s="692" customFormat="1" ht="21.75" customHeight="1"/>
    <row r="366" s="692" customFormat="1" ht="21.75" customHeight="1"/>
    <row r="367" s="692" customFormat="1" ht="21.75" customHeight="1"/>
    <row r="368" s="692" customFormat="1" ht="21.75" customHeight="1"/>
    <row r="369" s="692" customFormat="1" ht="21.75" customHeight="1"/>
    <row r="370" s="692" customFormat="1" ht="21.75" customHeight="1"/>
    <row r="371" s="692" customFormat="1" ht="21.75" customHeight="1"/>
    <row r="372" s="692" customFormat="1" ht="21.75" customHeight="1"/>
    <row r="373" s="692" customFormat="1" ht="21.75" customHeight="1"/>
    <row r="374" s="692" customFormat="1" ht="21.75" customHeight="1"/>
    <row r="375" s="692" customFormat="1" ht="21.75" customHeight="1"/>
    <row r="376" s="692" customFormat="1" ht="21.75" customHeight="1"/>
    <row r="377" s="692" customFormat="1" ht="21.75" customHeight="1"/>
    <row r="378" s="692" customFormat="1" ht="21.75" customHeight="1"/>
    <row r="379" s="692" customFormat="1" ht="21.75" customHeight="1"/>
    <row r="380" s="692" customFormat="1" ht="21.75" customHeight="1"/>
    <row r="381" s="692" customFormat="1" ht="21.75" customHeight="1"/>
    <row r="382" s="692" customFormat="1" ht="21.75" customHeight="1"/>
    <row r="383" s="692" customFormat="1" ht="21.75" customHeight="1"/>
    <row r="384" s="692" customFormat="1" ht="21.75" customHeight="1"/>
    <row r="385" s="692" customFormat="1" ht="21.75" customHeight="1"/>
    <row r="386" s="692" customFormat="1" ht="21.75" customHeight="1"/>
    <row r="387" s="692" customFormat="1" ht="21.75" customHeight="1"/>
    <row r="388" s="692" customFormat="1" ht="21.75" customHeight="1"/>
    <row r="389" s="692" customFormat="1" ht="21.75" customHeight="1"/>
    <row r="390" s="692" customFormat="1" ht="21.75" customHeight="1"/>
    <row r="391" s="692" customFormat="1" ht="21.75" customHeight="1"/>
    <row r="392" s="692" customFormat="1" ht="21.75" customHeight="1"/>
    <row r="393" s="692" customFormat="1" ht="21.75" customHeight="1"/>
    <row r="394" s="692" customFormat="1" ht="21.75" customHeight="1"/>
    <row r="395" s="692" customFormat="1" ht="21.75" customHeight="1"/>
    <row r="396" s="692" customFormat="1" ht="21.75" customHeight="1"/>
    <row r="397" s="692" customFormat="1" ht="21.75" customHeight="1"/>
    <row r="398" s="692" customFormat="1" ht="21.75" customHeight="1"/>
    <row r="399" s="692" customFormat="1" ht="21.75" customHeight="1"/>
    <row r="400" s="692" customFormat="1" ht="21.75" customHeight="1"/>
    <row r="401" spans="10:26" s="692" customFormat="1" ht="21.75" customHeight="1"/>
    <row r="402" spans="10:26" s="692" customFormat="1" ht="21.75" customHeight="1"/>
    <row r="403" spans="10:26" s="692" customFormat="1" ht="21.75" customHeight="1"/>
    <row r="404" spans="10:26" s="692" customFormat="1" ht="21.75" customHeight="1"/>
    <row r="405" spans="10:26" s="692" customFormat="1" ht="21.75" customHeight="1"/>
    <row r="406" spans="10:26" s="692" customFormat="1" ht="21.75" customHeight="1"/>
    <row r="407" spans="10:26" s="692" customFormat="1" ht="21.75" customHeight="1"/>
    <row r="408" spans="10:26" s="692" customFormat="1" ht="21.75" customHeight="1"/>
    <row r="409" spans="10:26" s="1768" customFormat="1" ht="21.75" customHeight="1">
      <c r="J409" s="692"/>
      <c r="K409" s="692"/>
      <c r="L409" s="692"/>
      <c r="M409" s="692"/>
      <c r="N409" s="692"/>
      <c r="O409" s="692"/>
      <c r="P409" s="692"/>
      <c r="Q409" s="692"/>
      <c r="R409" s="692"/>
      <c r="S409" s="692"/>
      <c r="T409" s="692"/>
      <c r="U409" s="692"/>
      <c r="V409" s="692"/>
      <c r="W409" s="692"/>
      <c r="X409" s="692"/>
      <c r="Y409" s="692"/>
      <c r="Z409" s="692"/>
    </row>
    <row r="410" spans="10:26" s="1768" customFormat="1" ht="21.75" customHeight="1">
      <c r="J410" s="692"/>
      <c r="K410" s="692"/>
      <c r="L410" s="692"/>
      <c r="M410" s="692"/>
      <c r="N410" s="692"/>
      <c r="O410" s="692"/>
      <c r="P410" s="692"/>
      <c r="Q410" s="692"/>
      <c r="R410" s="692"/>
      <c r="S410" s="692"/>
      <c r="T410" s="692"/>
      <c r="U410" s="692"/>
      <c r="V410" s="692"/>
      <c r="W410" s="692"/>
      <c r="X410" s="692"/>
      <c r="Y410" s="692"/>
      <c r="Z410" s="692"/>
    </row>
    <row r="411" spans="10:26" s="1768" customFormat="1" ht="21.75" customHeight="1">
      <c r="J411" s="692"/>
      <c r="K411" s="692"/>
      <c r="L411" s="692"/>
      <c r="M411" s="692"/>
      <c r="N411" s="692"/>
      <c r="O411" s="692"/>
      <c r="P411" s="692"/>
      <c r="Q411" s="692"/>
      <c r="R411" s="692"/>
      <c r="S411" s="692"/>
      <c r="T411" s="692"/>
      <c r="U411" s="692"/>
      <c r="V411" s="692"/>
      <c r="W411" s="692"/>
      <c r="X411" s="692"/>
      <c r="Y411" s="692"/>
      <c r="Z411" s="692"/>
    </row>
    <row r="412" spans="10:26" s="1768" customFormat="1" ht="21.75" customHeight="1">
      <c r="J412" s="692"/>
      <c r="K412" s="692"/>
      <c r="L412" s="692"/>
      <c r="M412" s="692"/>
      <c r="N412" s="692"/>
      <c r="O412" s="692"/>
      <c r="P412" s="692"/>
      <c r="Q412" s="692"/>
      <c r="R412" s="692"/>
      <c r="S412" s="692"/>
      <c r="T412" s="692"/>
      <c r="U412" s="692"/>
      <c r="V412" s="692"/>
      <c r="W412" s="692"/>
      <c r="X412" s="692"/>
      <c r="Y412" s="692"/>
      <c r="Z412" s="692"/>
    </row>
    <row r="413" spans="10:26" s="1768" customFormat="1" ht="21.75" customHeight="1">
      <c r="J413" s="692"/>
      <c r="K413" s="692"/>
      <c r="L413" s="692"/>
      <c r="M413" s="692"/>
      <c r="N413" s="692"/>
      <c r="O413" s="692"/>
      <c r="P413" s="692"/>
      <c r="Q413" s="692"/>
      <c r="R413" s="692"/>
      <c r="S413" s="692"/>
      <c r="T413" s="692"/>
      <c r="U413" s="692"/>
      <c r="V413" s="692"/>
      <c r="W413" s="692"/>
      <c r="X413" s="692"/>
      <c r="Y413" s="692"/>
      <c r="Z413" s="692"/>
    </row>
    <row r="414" spans="10:26" s="1768" customFormat="1" ht="21.75" customHeight="1">
      <c r="J414" s="692"/>
      <c r="K414" s="692"/>
      <c r="L414" s="692"/>
      <c r="M414" s="692"/>
      <c r="N414" s="692"/>
      <c r="O414" s="692"/>
      <c r="P414" s="692"/>
      <c r="Q414" s="692"/>
      <c r="R414" s="692"/>
      <c r="S414" s="692"/>
      <c r="T414" s="692"/>
      <c r="U414" s="692"/>
      <c r="V414" s="692"/>
      <c r="W414" s="692"/>
      <c r="X414" s="692"/>
      <c r="Y414" s="692"/>
      <c r="Z414" s="692"/>
    </row>
    <row r="415" spans="10:26" s="1768" customFormat="1" ht="21.75" customHeight="1">
      <c r="J415" s="692"/>
      <c r="K415" s="692"/>
      <c r="L415" s="692"/>
      <c r="M415" s="692"/>
      <c r="N415" s="692"/>
      <c r="O415" s="692"/>
      <c r="P415" s="692"/>
      <c r="Q415" s="692"/>
      <c r="R415" s="692"/>
      <c r="S415" s="692"/>
      <c r="T415" s="692"/>
      <c r="U415" s="692"/>
      <c r="V415" s="692"/>
      <c r="W415" s="692"/>
      <c r="X415" s="692"/>
      <c r="Y415" s="692"/>
      <c r="Z415" s="692"/>
    </row>
    <row r="416" spans="10:26" s="1768" customFormat="1" ht="21.75" customHeight="1">
      <c r="J416" s="692"/>
      <c r="K416" s="692"/>
      <c r="L416" s="692"/>
      <c r="M416" s="692"/>
      <c r="N416" s="692"/>
      <c r="O416" s="692"/>
      <c r="P416" s="692"/>
      <c r="Q416" s="692"/>
      <c r="R416" s="692"/>
      <c r="S416" s="692"/>
      <c r="T416" s="692"/>
      <c r="U416" s="692"/>
      <c r="V416" s="692"/>
      <c r="W416" s="692"/>
      <c r="X416" s="692"/>
      <c r="Y416" s="692"/>
      <c r="Z416" s="692"/>
    </row>
    <row r="417" spans="10:26" s="1768" customFormat="1" ht="21.75" customHeight="1">
      <c r="J417" s="692"/>
      <c r="K417" s="692"/>
      <c r="L417" s="692"/>
      <c r="M417" s="692"/>
      <c r="N417" s="692"/>
      <c r="O417" s="692"/>
      <c r="P417" s="692"/>
      <c r="Q417" s="692"/>
      <c r="R417" s="692"/>
      <c r="S417" s="692"/>
      <c r="T417" s="692"/>
      <c r="U417" s="692"/>
      <c r="V417" s="692"/>
      <c r="W417" s="692"/>
      <c r="X417" s="692"/>
      <c r="Y417" s="692"/>
      <c r="Z417" s="692"/>
    </row>
    <row r="418" spans="10:26" s="1768" customFormat="1" ht="21.75" customHeight="1">
      <c r="J418" s="692"/>
      <c r="K418" s="692"/>
      <c r="L418" s="692"/>
      <c r="M418" s="692"/>
      <c r="N418" s="692"/>
      <c r="O418" s="692"/>
      <c r="P418" s="692"/>
      <c r="Q418" s="692"/>
      <c r="R418" s="692"/>
      <c r="S418" s="692"/>
      <c r="T418" s="692"/>
      <c r="U418" s="692"/>
      <c r="V418" s="692"/>
      <c r="W418" s="692"/>
      <c r="X418" s="692"/>
      <c r="Y418" s="692"/>
      <c r="Z418" s="692"/>
    </row>
    <row r="419" spans="10:26" s="1768" customFormat="1" ht="21.75" customHeight="1">
      <c r="J419" s="692"/>
      <c r="K419" s="692"/>
      <c r="L419" s="692"/>
      <c r="M419" s="692"/>
      <c r="N419" s="692"/>
      <c r="O419" s="692"/>
      <c r="P419" s="692"/>
      <c r="Q419" s="692"/>
      <c r="R419" s="692"/>
      <c r="S419" s="692"/>
      <c r="T419" s="692"/>
      <c r="U419" s="692"/>
      <c r="V419" s="692"/>
      <c r="W419" s="692"/>
      <c r="X419" s="692"/>
      <c r="Y419" s="692"/>
      <c r="Z419" s="692"/>
    </row>
    <row r="420" spans="10:26" s="1768" customFormat="1" ht="21.75" customHeight="1">
      <c r="J420" s="692"/>
      <c r="K420" s="692"/>
      <c r="L420" s="692"/>
      <c r="M420" s="692"/>
      <c r="N420" s="692"/>
      <c r="O420" s="692"/>
      <c r="P420" s="692"/>
      <c r="Q420" s="692"/>
      <c r="R420" s="692"/>
      <c r="S420" s="692"/>
      <c r="T420" s="692"/>
      <c r="U420" s="692"/>
      <c r="V420" s="692"/>
      <c r="W420" s="692"/>
      <c r="X420" s="692"/>
      <c r="Y420" s="692"/>
      <c r="Z420" s="692"/>
    </row>
    <row r="421" spans="10:26" s="1768" customFormat="1" ht="21.75" customHeight="1">
      <c r="J421" s="692"/>
      <c r="K421" s="692"/>
      <c r="L421" s="692"/>
      <c r="M421" s="692"/>
      <c r="N421" s="692"/>
      <c r="O421" s="692"/>
      <c r="P421" s="692"/>
      <c r="Q421" s="692"/>
      <c r="R421" s="692"/>
      <c r="S421" s="692"/>
      <c r="T421" s="692"/>
      <c r="U421" s="692"/>
      <c r="V421" s="692"/>
      <c r="W421" s="692"/>
      <c r="X421" s="692"/>
      <c r="Y421" s="692"/>
      <c r="Z421" s="692"/>
    </row>
    <row r="422" spans="10:26" s="1768" customFormat="1" ht="21.75" customHeight="1">
      <c r="J422" s="692"/>
      <c r="K422" s="692"/>
      <c r="L422" s="692"/>
      <c r="M422" s="692"/>
      <c r="N422" s="692"/>
      <c r="O422" s="692"/>
      <c r="P422" s="692"/>
      <c r="Q422" s="692"/>
      <c r="R422" s="692"/>
      <c r="S422" s="692"/>
      <c r="T422" s="692"/>
      <c r="U422" s="692"/>
      <c r="V422" s="692"/>
      <c r="W422" s="692"/>
      <c r="X422" s="692"/>
      <c r="Y422" s="692"/>
      <c r="Z422" s="692"/>
    </row>
    <row r="423" spans="10:26" s="1768" customFormat="1" ht="21.75" customHeight="1">
      <c r="J423" s="692"/>
      <c r="K423" s="692"/>
      <c r="L423" s="692"/>
      <c r="M423" s="692"/>
      <c r="N423" s="692"/>
      <c r="O423" s="692"/>
      <c r="P423" s="692"/>
      <c r="Q423" s="692"/>
      <c r="R423" s="692"/>
      <c r="S423" s="692"/>
      <c r="T423" s="692"/>
      <c r="U423" s="692"/>
      <c r="V423" s="692"/>
      <c r="W423" s="692"/>
      <c r="X423" s="692"/>
      <c r="Y423" s="692"/>
      <c r="Z423" s="692"/>
    </row>
    <row r="424" spans="10:26" s="1768" customFormat="1" ht="21.75" customHeight="1">
      <c r="J424" s="692"/>
      <c r="K424" s="692"/>
      <c r="L424" s="692"/>
      <c r="M424" s="692"/>
      <c r="N424" s="692"/>
      <c r="O424" s="692"/>
      <c r="P424" s="692"/>
      <c r="Q424" s="692"/>
      <c r="R424" s="692"/>
      <c r="S424" s="692"/>
      <c r="T424" s="692"/>
      <c r="U424" s="692"/>
      <c r="V424" s="692"/>
      <c r="W424" s="692"/>
      <c r="X424" s="692"/>
      <c r="Y424" s="692"/>
      <c r="Z424" s="692"/>
    </row>
    <row r="425" spans="10:26" s="1768" customFormat="1" ht="21.75" customHeight="1">
      <c r="J425" s="692"/>
      <c r="K425" s="692"/>
      <c r="L425" s="692"/>
      <c r="M425" s="692"/>
      <c r="N425" s="692"/>
      <c r="O425" s="692"/>
      <c r="P425" s="692"/>
      <c r="Q425" s="692"/>
      <c r="R425" s="692"/>
      <c r="S425" s="692"/>
      <c r="T425" s="692"/>
      <c r="U425" s="692"/>
      <c r="V425" s="692"/>
      <c r="W425" s="692"/>
      <c r="X425" s="692"/>
      <c r="Y425" s="692"/>
      <c r="Z425" s="692"/>
    </row>
    <row r="426" spans="10:26" s="1768" customFormat="1" ht="21.75" customHeight="1">
      <c r="J426" s="692"/>
      <c r="K426" s="692"/>
      <c r="L426" s="692"/>
      <c r="M426" s="692"/>
      <c r="N426" s="692"/>
      <c r="O426" s="692"/>
      <c r="P426" s="692"/>
      <c r="Q426" s="692"/>
      <c r="R426" s="692"/>
      <c r="S426" s="692"/>
      <c r="T426" s="692"/>
      <c r="U426" s="692"/>
      <c r="V426" s="692"/>
      <c r="W426" s="692"/>
      <c r="X426" s="692"/>
      <c r="Y426" s="692"/>
      <c r="Z426" s="692"/>
    </row>
    <row r="427" spans="10:26" s="1768" customFormat="1" ht="21.75" customHeight="1">
      <c r="J427" s="692"/>
      <c r="K427" s="692"/>
      <c r="L427" s="692"/>
      <c r="M427" s="692"/>
      <c r="N427" s="692"/>
      <c r="O427" s="692"/>
      <c r="P427" s="692"/>
      <c r="Q427" s="692"/>
      <c r="R427" s="692"/>
      <c r="S427" s="692"/>
      <c r="T427" s="692"/>
      <c r="U427" s="692"/>
      <c r="V427" s="692"/>
      <c r="W427" s="692"/>
      <c r="X427" s="692"/>
      <c r="Y427" s="692"/>
      <c r="Z427" s="692"/>
    </row>
    <row r="428" spans="10:26" s="1768" customFormat="1" ht="21.75" customHeight="1">
      <c r="J428" s="692"/>
      <c r="K428" s="692"/>
      <c r="L428" s="692"/>
      <c r="M428" s="692"/>
      <c r="N428" s="692"/>
      <c r="O428" s="692"/>
      <c r="P428" s="692"/>
      <c r="Q428" s="692"/>
      <c r="R428" s="692"/>
      <c r="S428" s="692"/>
      <c r="T428" s="692"/>
      <c r="U428" s="692"/>
      <c r="V428" s="692"/>
      <c r="W428" s="692"/>
      <c r="X428" s="692"/>
      <c r="Y428" s="692"/>
      <c r="Z428" s="692"/>
    </row>
    <row r="429" spans="10:26" s="1768" customFormat="1" ht="21.75" customHeight="1">
      <c r="J429" s="692"/>
      <c r="K429" s="692"/>
      <c r="L429" s="692"/>
      <c r="M429" s="692"/>
      <c r="N429" s="692"/>
      <c r="O429" s="692"/>
      <c r="P429" s="692"/>
      <c r="Q429" s="692"/>
      <c r="R429" s="692"/>
      <c r="S429" s="692"/>
      <c r="T429" s="692"/>
      <c r="U429" s="692"/>
      <c r="V429" s="692"/>
      <c r="W429" s="692"/>
      <c r="X429" s="692"/>
      <c r="Y429" s="692"/>
      <c r="Z429" s="692"/>
    </row>
    <row r="430" spans="10:26" s="1768" customFormat="1" ht="21.75" customHeight="1">
      <c r="J430" s="692"/>
      <c r="K430" s="692"/>
      <c r="L430" s="692"/>
      <c r="M430" s="692"/>
      <c r="N430" s="692"/>
      <c r="O430" s="692"/>
      <c r="P430" s="692"/>
      <c r="Q430" s="692"/>
      <c r="R430" s="692"/>
      <c r="S430" s="692"/>
      <c r="T430" s="692"/>
      <c r="U430" s="692"/>
      <c r="V430" s="692"/>
      <c r="W430" s="692"/>
      <c r="X430" s="692"/>
      <c r="Y430" s="692"/>
      <c r="Z430" s="692"/>
    </row>
    <row r="431" spans="10:26" s="1768" customFormat="1" ht="21.75" customHeight="1">
      <c r="J431" s="692"/>
      <c r="K431" s="692"/>
      <c r="L431" s="692"/>
      <c r="M431" s="692"/>
      <c r="N431" s="692"/>
      <c r="O431" s="692"/>
      <c r="P431" s="692"/>
      <c r="Q431" s="692"/>
      <c r="R431" s="692"/>
      <c r="S431" s="692"/>
      <c r="T431" s="692"/>
      <c r="U431" s="692"/>
      <c r="V431" s="692"/>
      <c r="W431" s="692"/>
      <c r="X431" s="692"/>
      <c r="Y431" s="692"/>
      <c r="Z431" s="692"/>
    </row>
    <row r="432" spans="10:26" s="1768" customFormat="1" ht="21.75" customHeight="1">
      <c r="J432" s="692"/>
      <c r="K432" s="692"/>
      <c r="L432" s="692"/>
      <c r="M432" s="692"/>
      <c r="N432" s="692"/>
      <c r="O432" s="692"/>
      <c r="P432" s="692"/>
      <c r="Q432" s="692"/>
      <c r="R432" s="692"/>
      <c r="S432" s="692"/>
      <c r="T432" s="692"/>
      <c r="U432" s="692"/>
      <c r="V432" s="692"/>
      <c r="W432" s="692"/>
      <c r="X432" s="692"/>
      <c r="Y432" s="692"/>
      <c r="Z432" s="692"/>
    </row>
    <row r="433" spans="10:26" s="1768" customFormat="1" ht="21.75" customHeight="1">
      <c r="J433" s="692"/>
      <c r="K433" s="692"/>
      <c r="L433" s="692"/>
      <c r="M433" s="692"/>
      <c r="N433" s="692"/>
      <c r="O433" s="692"/>
      <c r="P433" s="692"/>
      <c r="Q433" s="692"/>
      <c r="R433" s="692"/>
      <c r="S433" s="692"/>
      <c r="T433" s="692"/>
      <c r="U433" s="692"/>
      <c r="V433" s="692"/>
      <c r="W433" s="692"/>
      <c r="X433" s="692"/>
      <c r="Y433" s="692"/>
      <c r="Z433" s="692"/>
    </row>
    <row r="434" spans="10:26" s="1768" customFormat="1" ht="21.75" customHeight="1">
      <c r="J434" s="692"/>
      <c r="K434" s="692"/>
      <c r="L434" s="692"/>
      <c r="M434" s="692"/>
      <c r="N434" s="692"/>
      <c r="O434" s="692"/>
      <c r="P434" s="692"/>
      <c r="Q434" s="692"/>
      <c r="R434" s="692"/>
      <c r="S434" s="692"/>
      <c r="T434" s="692"/>
      <c r="U434" s="692"/>
      <c r="V434" s="692"/>
      <c r="W434" s="692"/>
      <c r="X434" s="692"/>
      <c r="Y434" s="692"/>
      <c r="Z434" s="692"/>
    </row>
    <row r="435" spans="10:26" s="1768" customFormat="1" ht="21.75" customHeight="1">
      <c r="J435" s="692"/>
      <c r="K435" s="692"/>
      <c r="L435" s="692"/>
      <c r="M435" s="692"/>
      <c r="N435" s="692"/>
      <c r="O435" s="692"/>
      <c r="P435" s="692"/>
      <c r="Q435" s="692"/>
      <c r="R435" s="692"/>
      <c r="S435" s="692"/>
      <c r="T435" s="692"/>
      <c r="U435" s="692"/>
      <c r="V435" s="692"/>
      <c r="W435" s="692"/>
      <c r="X435" s="692"/>
      <c r="Y435" s="692"/>
      <c r="Z435" s="692"/>
    </row>
    <row r="436" spans="10:26" s="1768" customFormat="1" ht="21.75" customHeight="1">
      <c r="J436" s="692"/>
      <c r="K436" s="692"/>
      <c r="L436" s="692"/>
      <c r="M436" s="692"/>
      <c r="N436" s="692"/>
      <c r="O436" s="692"/>
      <c r="P436" s="692"/>
      <c r="Q436" s="692"/>
      <c r="R436" s="692"/>
      <c r="S436" s="692"/>
      <c r="T436" s="692"/>
      <c r="U436" s="692"/>
      <c r="V436" s="692"/>
      <c r="W436" s="692"/>
      <c r="X436" s="692"/>
      <c r="Y436" s="692"/>
      <c r="Z436" s="692"/>
    </row>
    <row r="437" spans="10:26" s="1768" customFormat="1" ht="21.75" customHeight="1">
      <c r="J437" s="692"/>
      <c r="K437" s="692"/>
      <c r="L437" s="692"/>
      <c r="M437" s="692"/>
      <c r="N437" s="692"/>
      <c r="O437" s="692"/>
      <c r="P437" s="692"/>
      <c r="Q437" s="692"/>
      <c r="R437" s="692"/>
      <c r="S437" s="692"/>
      <c r="T437" s="692"/>
      <c r="U437" s="692"/>
      <c r="V437" s="692"/>
      <c r="W437" s="692"/>
      <c r="X437" s="692"/>
      <c r="Y437" s="692"/>
      <c r="Z437" s="692"/>
    </row>
    <row r="438" spans="10:26" s="1768" customFormat="1" ht="21.75" customHeight="1">
      <c r="J438" s="692"/>
      <c r="K438" s="692"/>
      <c r="L438" s="692"/>
      <c r="M438" s="692"/>
      <c r="N438" s="692"/>
      <c r="O438" s="692"/>
      <c r="P438" s="692"/>
      <c r="Q438" s="692"/>
      <c r="R438" s="692"/>
      <c r="S438" s="692"/>
      <c r="T438" s="692"/>
      <c r="U438" s="692"/>
      <c r="V438" s="692"/>
      <c r="W438" s="692"/>
      <c r="X438" s="692"/>
      <c r="Y438" s="692"/>
      <c r="Z438" s="692"/>
    </row>
    <row r="439" spans="10:26" s="1768" customFormat="1" ht="21.75" customHeight="1">
      <c r="J439" s="692"/>
      <c r="K439" s="692"/>
      <c r="L439" s="692"/>
      <c r="M439" s="692"/>
      <c r="N439" s="692"/>
      <c r="O439" s="692"/>
      <c r="P439" s="692"/>
      <c r="Q439" s="692"/>
      <c r="R439" s="692"/>
      <c r="S439" s="692"/>
      <c r="T439" s="692"/>
      <c r="U439" s="692"/>
      <c r="V439" s="692"/>
      <c r="W439" s="692"/>
      <c r="X439" s="692"/>
      <c r="Y439" s="692"/>
      <c r="Z439" s="692"/>
    </row>
    <row r="440" spans="10:26" s="1768" customFormat="1" ht="21.75" customHeight="1">
      <c r="J440" s="692"/>
      <c r="K440" s="692"/>
      <c r="L440" s="692"/>
      <c r="M440" s="692"/>
      <c r="N440" s="692"/>
      <c r="O440" s="692"/>
      <c r="P440" s="692"/>
      <c r="Q440" s="692"/>
      <c r="R440" s="692"/>
      <c r="S440" s="692"/>
      <c r="T440" s="692"/>
      <c r="U440" s="692"/>
      <c r="V440" s="692"/>
      <c r="W440" s="692"/>
      <c r="X440" s="692"/>
      <c r="Y440" s="692"/>
      <c r="Z440" s="692"/>
    </row>
    <row r="441" spans="10:26" s="1768" customFormat="1" ht="21.75" customHeight="1">
      <c r="J441" s="692"/>
      <c r="K441" s="692"/>
      <c r="L441" s="692"/>
      <c r="M441" s="692"/>
      <c r="N441" s="692"/>
      <c r="O441" s="692"/>
      <c r="P441" s="692"/>
      <c r="Q441" s="692"/>
      <c r="R441" s="692"/>
      <c r="S441" s="692"/>
      <c r="T441" s="692"/>
      <c r="U441" s="692"/>
      <c r="V441" s="692"/>
      <c r="W441" s="692"/>
      <c r="X441" s="692"/>
      <c r="Y441" s="692"/>
      <c r="Z441" s="692"/>
    </row>
    <row r="442" spans="10:26" s="1768" customFormat="1" ht="21.75" customHeight="1">
      <c r="J442" s="692"/>
      <c r="K442" s="692"/>
      <c r="L442" s="692"/>
      <c r="M442" s="692"/>
      <c r="N442" s="692"/>
      <c r="O442" s="692"/>
      <c r="P442" s="692"/>
      <c r="Q442" s="692"/>
      <c r="R442" s="692"/>
      <c r="S442" s="692"/>
      <c r="T442" s="692"/>
      <c r="U442" s="692"/>
      <c r="V442" s="692"/>
      <c r="W442" s="692"/>
      <c r="X442" s="692"/>
      <c r="Y442" s="692"/>
      <c r="Z442" s="692"/>
    </row>
    <row r="443" spans="10:26" s="1768" customFormat="1" ht="21.75" customHeight="1">
      <c r="J443" s="692"/>
      <c r="K443" s="692"/>
      <c r="L443" s="692"/>
      <c r="M443" s="692"/>
      <c r="N443" s="692"/>
      <c r="O443" s="692"/>
      <c r="P443" s="692"/>
      <c r="Q443" s="692"/>
      <c r="R443" s="692"/>
      <c r="S443" s="692"/>
      <c r="T443" s="692"/>
      <c r="U443" s="692"/>
      <c r="V443" s="692"/>
      <c r="W443" s="692"/>
      <c r="X443" s="692"/>
      <c r="Y443" s="692"/>
      <c r="Z443" s="692"/>
    </row>
    <row r="444" spans="10:26" s="1768" customFormat="1" ht="21.75" customHeight="1">
      <c r="J444" s="692"/>
      <c r="K444" s="692"/>
      <c r="L444" s="692"/>
      <c r="M444" s="692"/>
      <c r="N444" s="692"/>
      <c r="O444" s="692"/>
      <c r="P444" s="692"/>
      <c r="Q444" s="692"/>
      <c r="R444" s="692"/>
      <c r="S444" s="692"/>
      <c r="T444" s="692"/>
      <c r="U444" s="692"/>
      <c r="V444" s="692"/>
      <c r="W444" s="692"/>
      <c r="X444" s="692"/>
      <c r="Y444" s="692"/>
      <c r="Z444" s="692"/>
    </row>
    <row r="445" spans="10:26" s="1768" customFormat="1" ht="21.75" customHeight="1">
      <c r="J445" s="692"/>
      <c r="K445" s="692"/>
      <c r="L445" s="692"/>
      <c r="M445" s="692"/>
      <c r="N445" s="692"/>
      <c r="O445" s="692"/>
      <c r="P445" s="692"/>
      <c r="Q445" s="692"/>
      <c r="R445" s="692"/>
      <c r="S445" s="692"/>
      <c r="T445" s="692"/>
      <c r="U445" s="692"/>
      <c r="V445" s="692"/>
      <c r="W445" s="692"/>
      <c r="X445" s="692"/>
      <c r="Y445" s="692"/>
      <c r="Z445" s="692"/>
    </row>
    <row r="446" spans="10:26" s="1768" customFormat="1" ht="21.75" customHeight="1">
      <c r="J446" s="692"/>
      <c r="K446" s="692"/>
      <c r="L446" s="692"/>
      <c r="M446" s="692"/>
      <c r="N446" s="692"/>
      <c r="O446" s="692"/>
      <c r="P446" s="692"/>
      <c r="Q446" s="692"/>
      <c r="R446" s="692"/>
      <c r="S446" s="692"/>
      <c r="T446" s="692"/>
      <c r="U446" s="692"/>
      <c r="V446" s="692"/>
      <c r="W446" s="692"/>
      <c r="X446" s="692"/>
      <c r="Y446" s="692"/>
      <c r="Z446" s="692"/>
    </row>
    <row r="447" spans="10:26" s="1768" customFormat="1" ht="21.75" customHeight="1">
      <c r="J447" s="692"/>
      <c r="K447" s="692"/>
      <c r="L447" s="692"/>
      <c r="M447" s="692"/>
      <c r="N447" s="692"/>
      <c r="O447" s="692"/>
      <c r="P447" s="692"/>
      <c r="Q447" s="692"/>
      <c r="R447" s="692"/>
      <c r="S447" s="692"/>
      <c r="T447" s="692"/>
      <c r="U447" s="692"/>
      <c r="V447" s="692"/>
      <c r="W447" s="692"/>
      <c r="X447" s="692"/>
      <c r="Y447" s="692"/>
      <c r="Z447" s="692"/>
    </row>
    <row r="448" spans="10:26" s="1768" customFormat="1" ht="21.75" customHeight="1">
      <c r="J448" s="692"/>
      <c r="K448" s="692"/>
      <c r="L448" s="692"/>
      <c r="M448" s="692"/>
      <c r="N448" s="692"/>
      <c r="O448" s="692"/>
      <c r="P448" s="692"/>
      <c r="Q448" s="692"/>
      <c r="R448" s="692"/>
      <c r="S448" s="692"/>
      <c r="T448" s="692"/>
      <c r="U448" s="692"/>
      <c r="V448" s="692"/>
      <c r="W448" s="692"/>
      <c r="X448" s="692"/>
      <c r="Y448" s="692"/>
      <c r="Z448" s="692"/>
    </row>
    <row r="449" spans="10:26" s="1768" customFormat="1" ht="21.75" customHeight="1">
      <c r="J449" s="692"/>
      <c r="K449" s="692"/>
      <c r="L449" s="692"/>
      <c r="M449" s="692"/>
      <c r="N449" s="692"/>
      <c r="O449" s="692"/>
      <c r="P449" s="692"/>
      <c r="Q449" s="692"/>
      <c r="R449" s="692"/>
      <c r="S449" s="692"/>
      <c r="T449" s="692"/>
      <c r="U449" s="692"/>
      <c r="V449" s="692"/>
      <c r="W449" s="692"/>
      <c r="X449" s="692"/>
      <c r="Y449" s="692"/>
      <c r="Z449" s="692"/>
    </row>
    <row r="450" spans="10:26" s="1768" customFormat="1" ht="21.75" customHeight="1">
      <c r="J450" s="692"/>
      <c r="K450" s="692"/>
      <c r="L450" s="692"/>
      <c r="M450" s="692"/>
      <c r="N450" s="692"/>
      <c r="O450" s="692"/>
      <c r="P450" s="692"/>
      <c r="Q450" s="692"/>
      <c r="R450" s="692"/>
      <c r="S450" s="692"/>
      <c r="T450" s="692"/>
      <c r="U450" s="692"/>
      <c r="V450" s="692"/>
      <c r="W450" s="692"/>
      <c r="X450" s="692"/>
      <c r="Y450" s="692"/>
      <c r="Z450" s="692"/>
    </row>
    <row r="451" spans="10:26" s="1768" customFormat="1" ht="21.75" customHeight="1">
      <c r="J451" s="692"/>
      <c r="K451" s="692"/>
      <c r="L451" s="692"/>
      <c r="M451" s="692"/>
      <c r="N451" s="692"/>
      <c r="O451" s="692"/>
      <c r="P451" s="692"/>
      <c r="Q451" s="692"/>
      <c r="R451" s="692"/>
      <c r="S451" s="692"/>
      <c r="T451" s="692"/>
      <c r="U451" s="692"/>
      <c r="V451" s="692"/>
      <c r="W451" s="692"/>
      <c r="X451" s="692"/>
      <c r="Y451" s="692"/>
      <c r="Z451" s="692"/>
    </row>
    <row r="452" spans="10:26" s="1768" customFormat="1" ht="21.75" customHeight="1">
      <c r="J452" s="692"/>
      <c r="K452" s="692"/>
      <c r="L452" s="692"/>
      <c r="M452" s="692"/>
      <c r="N452" s="692"/>
      <c r="O452" s="692"/>
      <c r="P452" s="692"/>
      <c r="Q452" s="692"/>
      <c r="R452" s="692"/>
      <c r="S452" s="692"/>
      <c r="T452" s="692"/>
      <c r="U452" s="692"/>
      <c r="V452" s="692"/>
      <c r="W452" s="692"/>
      <c r="X452" s="692"/>
      <c r="Y452" s="692"/>
      <c r="Z452" s="692"/>
    </row>
    <row r="453" spans="10:26" s="1768" customFormat="1" ht="21.75" customHeight="1">
      <c r="J453" s="692"/>
      <c r="K453" s="692"/>
      <c r="L453" s="692"/>
      <c r="M453" s="692"/>
      <c r="N453" s="692"/>
      <c r="O453" s="692"/>
      <c r="P453" s="692"/>
      <c r="Q453" s="692"/>
      <c r="R453" s="692"/>
      <c r="S453" s="692"/>
      <c r="T453" s="692"/>
      <c r="U453" s="692"/>
      <c r="V453" s="692"/>
      <c r="W453" s="692"/>
      <c r="X453" s="692"/>
      <c r="Y453" s="692"/>
      <c r="Z453" s="692"/>
    </row>
    <row r="454" spans="10:26" s="1768" customFormat="1" ht="21.75" customHeight="1">
      <c r="J454" s="692"/>
      <c r="K454" s="692"/>
      <c r="L454" s="692"/>
      <c r="M454" s="692"/>
      <c r="N454" s="692"/>
      <c r="O454" s="692"/>
      <c r="P454" s="692"/>
      <c r="Q454" s="692"/>
      <c r="R454" s="692"/>
      <c r="S454" s="692"/>
      <c r="T454" s="692"/>
      <c r="U454" s="692"/>
      <c r="V454" s="692"/>
      <c r="W454" s="692"/>
      <c r="X454" s="692"/>
      <c r="Y454" s="692"/>
      <c r="Z454" s="692"/>
    </row>
    <row r="455" spans="10:26" s="1768" customFormat="1" ht="21.75" customHeight="1">
      <c r="J455" s="692"/>
      <c r="K455" s="692"/>
      <c r="L455" s="692"/>
      <c r="M455" s="692"/>
      <c r="N455" s="692"/>
      <c r="O455" s="692"/>
      <c r="P455" s="692"/>
      <c r="Q455" s="692"/>
      <c r="R455" s="692"/>
      <c r="S455" s="692"/>
      <c r="T455" s="692"/>
      <c r="U455" s="692"/>
      <c r="V455" s="692"/>
      <c r="W455" s="692"/>
      <c r="X455" s="692"/>
      <c r="Y455" s="692"/>
      <c r="Z455" s="692"/>
    </row>
    <row r="456" spans="10:26" s="1768" customFormat="1" ht="21.75" customHeight="1">
      <c r="J456" s="692"/>
      <c r="K456" s="692"/>
      <c r="L456" s="692"/>
      <c r="M456" s="692"/>
      <c r="N456" s="692"/>
      <c r="O456" s="692"/>
      <c r="P456" s="692"/>
      <c r="Q456" s="692"/>
      <c r="R456" s="692"/>
      <c r="S456" s="692"/>
      <c r="T456" s="692"/>
      <c r="U456" s="692"/>
      <c r="V456" s="692"/>
      <c r="W456" s="692"/>
      <c r="X456" s="692"/>
      <c r="Y456" s="692"/>
      <c r="Z456" s="692"/>
    </row>
    <row r="457" spans="10:26" s="1768" customFormat="1" ht="21.75" customHeight="1">
      <c r="J457" s="692"/>
      <c r="K457" s="692"/>
      <c r="L457" s="692"/>
      <c r="M457" s="692"/>
      <c r="N457" s="692"/>
      <c r="O457" s="692"/>
      <c r="P457" s="692"/>
      <c r="Q457" s="692"/>
      <c r="R457" s="692"/>
      <c r="S457" s="692"/>
      <c r="T457" s="692"/>
      <c r="U457" s="692"/>
      <c r="V457" s="692"/>
      <c r="W457" s="692"/>
      <c r="X457" s="692"/>
      <c r="Y457" s="692"/>
      <c r="Z457" s="692"/>
    </row>
    <row r="458" spans="10:26" s="1768" customFormat="1" ht="21.75" customHeight="1">
      <c r="J458" s="692"/>
      <c r="K458" s="692"/>
      <c r="L458" s="692"/>
      <c r="M458" s="692"/>
      <c r="N458" s="692"/>
      <c r="O458" s="692"/>
      <c r="P458" s="692"/>
      <c r="Q458" s="692"/>
      <c r="R458" s="692"/>
      <c r="S458" s="692"/>
      <c r="T458" s="692"/>
      <c r="U458" s="692"/>
      <c r="V458" s="692"/>
      <c r="W458" s="692"/>
      <c r="X458" s="692"/>
      <c r="Y458" s="692"/>
      <c r="Z458" s="692"/>
    </row>
    <row r="459" spans="10:26" s="1768" customFormat="1" ht="21.75" customHeight="1">
      <c r="J459" s="692"/>
      <c r="K459" s="692"/>
      <c r="L459" s="692"/>
      <c r="M459" s="692"/>
      <c r="N459" s="692"/>
      <c r="O459" s="692"/>
      <c r="P459" s="692"/>
      <c r="Q459" s="692"/>
      <c r="R459" s="692"/>
      <c r="S459" s="692"/>
      <c r="T459" s="692"/>
      <c r="U459" s="692"/>
      <c r="V459" s="692"/>
      <c r="W459" s="692"/>
      <c r="X459" s="692"/>
      <c r="Y459" s="692"/>
      <c r="Z459" s="692"/>
    </row>
    <row r="460" spans="10:26" s="1768" customFormat="1" ht="21.75" customHeight="1">
      <c r="J460" s="692"/>
      <c r="K460" s="692"/>
      <c r="L460" s="692"/>
      <c r="M460" s="692"/>
      <c r="N460" s="692"/>
      <c r="O460" s="692"/>
      <c r="P460" s="692"/>
      <c r="Q460" s="692"/>
      <c r="R460" s="692"/>
      <c r="S460" s="692"/>
      <c r="T460" s="692"/>
      <c r="U460" s="692"/>
      <c r="V460" s="692"/>
      <c r="W460" s="692"/>
      <c r="X460" s="692"/>
      <c r="Y460" s="692"/>
      <c r="Z460" s="692"/>
    </row>
    <row r="461" spans="10:26" s="1768" customFormat="1" ht="21.75" customHeight="1">
      <c r="J461" s="692"/>
      <c r="K461" s="692"/>
      <c r="L461" s="692"/>
      <c r="M461" s="692"/>
      <c r="N461" s="692"/>
      <c r="O461" s="692"/>
      <c r="P461" s="692"/>
      <c r="Q461" s="692"/>
      <c r="R461" s="692"/>
      <c r="S461" s="692"/>
      <c r="T461" s="692"/>
      <c r="U461" s="692"/>
      <c r="V461" s="692"/>
      <c r="W461" s="692"/>
      <c r="X461" s="692"/>
      <c r="Y461" s="692"/>
      <c r="Z461" s="692"/>
    </row>
    <row r="462" spans="10:26" s="1768" customFormat="1" ht="21.75" customHeight="1">
      <c r="J462" s="692"/>
      <c r="K462" s="692"/>
      <c r="L462" s="692"/>
      <c r="M462" s="692"/>
      <c r="N462" s="692"/>
      <c r="O462" s="692"/>
      <c r="P462" s="692"/>
      <c r="Q462" s="692"/>
      <c r="R462" s="692"/>
      <c r="S462" s="692"/>
      <c r="T462" s="692"/>
      <c r="U462" s="692"/>
      <c r="V462" s="692"/>
      <c r="W462" s="692"/>
      <c r="X462" s="692"/>
      <c r="Y462" s="692"/>
      <c r="Z462" s="692"/>
    </row>
    <row r="463" spans="10:26" s="1768" customFormat="1" ht="21.75" customHeight="1">
      <c r="J463" s="692"/>
      <c r="K463" s="692"/>
      <c r="L463" s="692"/>
      <c r="M463" s="692"/>
      <c r="N463" s="692"/>
      <c r="O463" s="692"/>
      <c r="P463" s="692"/>
      <c r="Q463" s="692"/>
      <c r="R463" s="692"/>
      <c r="S463" s="692"/>
      <c r="T463" s="692"/>
      <c r="U463" s="692"/>
      <c r="V463" s="692"/>
      <c r="W463" s="692"/>
      <c r="X463" s="692"/>
      <c r="Y463" s="692"/>
      <c r="Z463" s="692"/>
    </row>
    <row r="464" spans="10:26" s="1768" customFormat="1" ht="21.75" customHeight="1">
      <c r="J464" s="692"/>
      <c r="K464" s="692"/>
      <c r="L464" s="692"/>
      <c r="M464" s="692"/>
      <c r="N464" s="692"/>
      <c r="O464" s="692"/>
      <c r="P464" s="692"/>
      <c r="Q464" s="692"/>
      <c r="R464" s="692"/>
      <c r="S464" s="692"/>
      <c r="T464" s="692"/>
      <c r="U464" s="692"/>
      <c r="V464" s="692"/>
      <c r="W464" s="692"/>
      <c r="X464" s="692"/>
      <c r="Y464" s="692"/>
      <c r="Z464" s="692"/>
    </row>
    <row r="465" spans="10:26" s="1768" customFormat="1" ht="21.75" customHeight="1">
      <c r="J465" s="692"/>
      <c r="K465" s="692"/>
      <c r="L465" s="692"/>
      <c r="M465" s="692"/>
      <c r="N465" s="692"/>
      <c r="O465" s="692"/>
      <c r="P465" s="692"/>
      <c r="Q465" s="692"/>
      <c r="R465" s="692"/>
      <c r="S465" s="692"/>
      <c r="T465" s="692"/>
      <c r="U465" s="692"/>
      <c r="V465" s="692"/>
      <c r="W465" s="692"/>
      <c r="X465" s="692"/>
      <c r="Y465" s="692"/>
      <c r="Z465" s="692"/>
    </row>
    <row r="466" spans="10:26" s="1768" customFormat="1" ht="21.75" customHeight="1">
      <c r="J466" s="692"/>
      <c r="K466" s="692"/>
      <c r="L466" s="692"/>
      <c r="M466" s="692"/>
      <c r="N466" s="692"/>
      <c r="O466" s="692"/>
      <c r="P466" s="692"/>
      <c r="Q466" s="692"/>
      <c r="R466" s="692"/>
      <c r="S466" s="692"/>
      <c r="T466" s="692"/>
      <c r="U466" s="692"/>
      <c r="V466" s="692"/>
      <c r="W466" s="692"/>
      <c r="X466" s="692"/>
      <c r="Y466" s="692"/>
      <c r="Z466" s="692"/>
    </row>
    <row r="467" spans="10:26" s="1768" customFormat="1" ht="21.75" customHeight="1">
      <c r="J467" s="692"/>
      <c r="K467" s="692"/>
      <c r="L467" s="692"/>
      <c r="M467" s="692"/>
      <c r="N467" s="692"/>
      <c r="O467" s="692"/>
      <c r="P467" s="692"/>
      <c r="Q467" s="692"/>
      <c r="R467" s="692"/>
      <c r="S467" s="692"/>
      <c r="T467" s="692"/>
      <c r="U467" s="692"/>
      <c r="V467" s="692"/>
      <c r="W467" s="692"/>
      <c r="X467" s="692"/>
      <c r="Y467" s="692"/>
      <c r="Z467" s="692"/>
    </row>
    <row r="468" spans="10:26" s="1768" customFormat="1" ht="21.75" customHeight="1">
      <c r="J468" s="692"/>
      <c r="K468" s="692"/>
      <c r="L468" s="692"/>
      <c r="M468" s="692"/>
      <c r="N468" s="692"/>
      <c r="O468" s="692"/>
      <c r="P468" s="692"/>
      <c r="Q468" s="692"/>
      <c r="R468" s="692"/>
      <c r="S468" s="692"/>
      <c r="T468" s="692"/>
      <c r="U468" s="692"/>
      <c r="V468" s="692"/>
      <c r="W468" s="692"/>
      <c r="X468" s="692"/>
      <c r="Y468" s="692"/>
      <c r="Z468" s="692"/>
    </row>
    <row r="469" spans="10:26" s="1768" customFormat="1" ht="21.75" customHeight="1">
      <c r="J469" s="692"/>
      <c r="K469" s="692"/>
      <c r="L469" s="692"/>
      <c r="M469" s="692"/>
      <c r="N469" s="692"/>
      <c r="O469" s="692"/>
      <c r="P469" s="692"/>
      <c r="Q469" s="692"/>
      <c r="R469" s="692"/>
      <c r="S469" s="692"/>
      <c r="T469" s="692"/>
      <c r="U469" s="692"/>
      <c r="V469" s="692"/>
      <c r="W469" s="692"/>
      <c r="X469" s="692"/>
      <c r="Y469" s="692"/>
      <c r="Z469" s="692"/>
    </row>
    <row r="470" spans="10:26" s="1768" customFormat="1" ht="21.75" customHeight="1">
      <c r="J470" s="692"/>
      <c r="K470" s="692"/>
      <c r="L470" s="692"/>
      <c r="M470" s="692"/>
      <c r="N470" s="692"/>
      <c r="O470" s="692"/>
      <c r="P470" s="692"/>
      <c r="Q470" s="692"/>
      <c r="R470" s="692"/>
      <c r="S470" s="692"/>
      <c r="T470" s="692"/>
      <c r="U470" s="692"/>
      <c r="V470" s="692"/>
      <c r="W470" s="692"/>
      <c r="X470" s="692"/>
      <c r="Y470" s="692"/>
      <c r="Z470" s="692"/>
    </row>
    <row r="471" spans="10:26" s="1768" customFormat="1" ht="21.75" customHeight="1">
      <c r="J471" s="692"/>
      <c r="K471" s="692"/>
      <c r="L471" s="692"/>
      <c r="M471" s="692"/>
      <c r="N471" s="692"/>
      <c r="O471" s="692"/>
      <c r="P471" s="692"/>
      <c r="Q471" s="692"/>
      <c r="R471" s="692"/>
      <c r="S471" s="692"/>
      <c r="T471" s="692"/>
      <c r="U471" s="692"/>
      <c r="V471" s="692"/>
      <c r="W471" s="692"/>
      <c r="X471" s="692"/>
      <c r="Y471" s="692"/>
      <c r="Z471" s="692"/>
    </row>
    <row r="472" spans="10:26" s="1768" customFormat="1" ht="21.75" customHeight="1">
      <c r="J472" s="692"/>
      <c r="K472" s="692"/>
      <c r="L472" s="692"/>
      <c r="M472" s="692"/>
      <c r="N472" s="692"/>
      <c r="O472" s="692"/>
      <c r="P472" s="692"/>
      <c r="Q472" s="692"/>
      <c r="R472" s="692"/>
      <c r="S472" s="692"/>
      <c r="T472" s="692"/>
      <c r="U472" s="692"/>
      <c r="V472" s="692"/>
      <c r="W472" s="692"/>
      <c r="X472" s="692"/>
      <c r="Y472" s="692"/>
      <c r="Z472" s="692"/>
    </row>
    <row r="473" spans="10:26" s="1768" customFormat="1" ht="21.75" customHeight="1">
      <c r="J473" s="692"/>
      <c r="K473" s="692"/>
      <c r="L473" s="692"/>
      <c r="M473" s="692"/>
      <c r="N473" s="692"/>
      <c r="O473" s="692"/>
      <c r="P473" s="692"/>
      <c r="Q473" s="692"/>
      <c r="R473" s="692"/>
      <c r="S473" s="692"/>
      <c r="T473" s="692"/>
      <c r="U473" s="692"/>
      <c r="V473" s="692"/>
      <c r="W473" s="692"/>
      <c r="X473" s="692"/>
      <c r="Y473" s="692"/>
      <c r="Z473" s="692"/>
    </row>
    <row r="474" spans="10:26" s="1768" customFormat="1" ht="21.75" customHeight="1">
      <c r="J474" s="692"/>
      <c r="K474" s="692"/>
      <c r="L474" s="692"/>
      <c r="M474" s="692"/>
      <c r="N474" s="692"/>
      <c r="O474" s="692"/>
      <c r="P474" s="692"/>
      <c r="Q474" s="692"/>
      <c r="R474" s="692"/>
      <c r="S474" s="692"/>
      <c r="T474" s="692"/>
      <c r="U474" s="692"/>
      <c r="V474" s="692"/>
      <c r="W474" s="692"/>
      <c r="X474" s="692"/>
      <c r="Y474" s="692"/>
      <c r="Z474" s="692"/>
    </row>
    <row r="475" spans="10:26" s="1768" customFormat="1" ht="21.75" customHeight="1">
      <c r="J475" s="692"/>
      <c r="K475" s="692"/>
      <c r="L475" s="692"/>
      <c r="M475" s="692"/>
      <c r="N475" s="692"/>
      <c r="O475" s="692"/>
      <c r="P475" s="692"/>
      <c r="Q475" s="692"/>
      <c r="R475" s="692"/>
      <c r="S475" s="692"/>
      <c r="T475" s="692"/>
      <c r="U475" s="692"/>
      <c r="V475" s="692"/>
      <c r="W475" s="692"/>
      <c r="X475" s="692"/>
      <c r="Y475" s="692"/>
      <c r="Z475" s="692"/>
    </row>
    <row r="476" spans="10:26" s="1768" customFormat="1" ht="21.75" customHeight="1">
      <c r="J476" s="692"/>
      <c r="K476" s="692"/>
      <c r="L476" s="692"/>
      <c r="M476" s="692"/>
      <c r="N476" s="692"/>
      <c r="O476" s="692"/>
      <c r="P476" s="692"/>
      <c r="Q476" s="692"/>
      <c r="R476" s="692"/>
      <c r="S476" s="692"/>
      <c r="T476" s="692"/>
      <c r="U476" s="692"/>
      <c r="V476" s="692"/>
      <c r="W476" s="692"/>
      <c r="X476" s="692"/>
      <c r="Y476" s="692"/>
      <c r="Z476" s="692"/>
    </row>
    <row r="477" spans="10:26" s="1768" customFormat="1" ht="21.75" customHeight="1">
      <c r="J477" s="692"/>
      <c r="K477" s="692"/>
      <c r="L477" s="692"/>
      <c r="M477" s="692"/>
      <c r="N477" s="692"/>
      <c r="O477" s="692"/>
      <c r="P477" s="692"/>
      <c r="Q477" s="692"/>
      <c r="R477" s="692"/>
      <c r="S477" s="692"/>
      <c r="T477" s="692"/>
      <c r="U477" s="692"/>
      <c r="V477" s="692"/>
      <c r="W477" s="692"/>
      <c r="X477" s="692"/>
      <c r="Y477" s="692"/>
      <c r="Z477" s="692"/>
    </row>
    <row r="478" spans="10:26" s="1768" customFormat="1" ht="21.75" customHeight="1">
      <c r="J478" s="692"/>
      <c r="K478" s="692"/>
      <c r="L478" s="692"/>
      <c r="M478" s="692"/>
      <c r="N478" s="692"/>
      <c r="O478" s="692"/>
      <c r="P478" s="692"/>
      <c r="Q478" s="692"/>
      <c r="R478" s="692"/>
      <c r="S478" s="692"/>
      <c r="T478" s="692"/>
      <c r="U478" s="692"/>
      <c r="V478" s="692"/>
      <c r="W478" s="692"/>
      <c r="X478" s="692"/>
      <c r="Y478" s="692"/>
      <c r="Z478" s="692"/>
    </row>
    <row r="479" spans="10:26" s="1768" customFormat="1" ht="21.75" customHeight="1">
      <c r="J479" s="692"/>
      <c r="K479" s="692"/>
      <c r="L479" s="692"/>
      <c r="M479" s="692"/>
      <c r="N479" s="692"/>
      <c r="O479" s="692"/>
      <c r="P479" s="692"/>
      <c r="Q479" s="692"/>
      <c r="R479" s="692"/>
      <c r="S479" s="692"/>
      <c r="T479" s="692"/>
      <c r="U479" s="692"/>
      <c r="V479" s="692"/>
      <c r="W479" s="692"/>
      <c r="X479" s="692"/>
      <c r="Y479" s="692"/>
      <c r="Z479" s="692"/>
    </row>
    <row r="480" spans="10:26" s="1768" customFormat="1" ht="21.75" customHeight="1">
      <c r="J480" s="692"/>
      <c r="K480" s="692"/>
      <c r="L480" s="692"/>
      <c r="M480" s="692"/>
      <c r="N480" s="692"/>
      <c r="O480" s="692"/>
      <c r="P480" s="692"/>
      <c r="Q480" s="692"/>
      <c r="R480" s="692"/>
      <c r="S480" s="692"/>
      <c r="T480" s="692"/>
      <c r="U480" s="692"/>
      <c r="V480" s="692"/>
      <c r="W480" s="692"/>
      <c r="X480" s="692"/>
      <c r="Y480" s="692"/>
      <c r="Z480" s="692"/>
    </row>
    <row r="481" spans="10:26" s="1768" customFormat="1" ht="21.75" customHeight="1">
      <c r="J481" s="692"/>
      <c r="K481" s="692"/>
      <c r="L481" s="692"/>
      <c r="M481" s="692"/>
      <c r="N481" s="692"/>
      <c r="O481" s="692"/>
      <c r="P481" s="692"/>
      <c r="Q481" s="692"/>
      <c r="R481" s="692"/>
      <c r="S481" s="692"/>
      <c r="T481" s="692"/>
      <c r="U481" s="692"/>
      <c r="V481" s="692"/>
      <c r="W481" s="692"/>
      <c r="X481" s="692"/>
      <c r="Y481" s="692"/>
      <c r="Z481" s="692"/>
    </row>
    <row r="482" spans="10:26" s="1768" customFormat="1" ht="21.75" customHeight="1">
      <c r="J482" s="692"/>
      <c r="K482" s="692"/>
      <c r="L482" s="692"/>
      <c r="M482" s="692"/>
      <c r="N482" s="692"/>
      <c r="O482" s="692"/>
      <c r="P482" s="692"/>
      <c r="Q482" s="692"/>
      <c r="R482" s="692"/>
      <c r="S482" s="692"/>
      <c r="T482" s="692"/>
      <c r="U482" s="692"/>
      <c r="V482" s="692"/>
      <c r="W482" s="692"/>
      <c r="X482" s="692"/>
      <c r="Y482" s="692"/>
      <c r="Z482" s="692"/>
    </row>
    <row r="483" spans="10:26" s="1768" customFormat="1" ht="21.75" customHeight="1">
      <c r="J483" s="692"/>
      <c r="K483" s="692"/>
      <c r="L483" s="692"/>
      <c r="M483" s="692"/>
      <c r="N483" s="692"/>
      <c r="O483" s="692"/>
      <c r="P483" s="692"/>
      <c r="Q483" s="692"/>
      <c r="R483" s="692"/>
      <c r="S483" s="692"/>
      <c r="T483" s="692"/>
      <c r="U483" s="692"/>
      <c r="V483" s="692"/>
      <c r="W483" s="692"/>
      <c r="X483" s="692"/>
      <c r="Y483" s="692"/>
      <c r="Z483" s="692"/>
    </row>
    <row r="484" spans="10:26" s="1768" customFormat="1" ht="21.75" customHeight="1">
      <c r="J484" s="692"/>
      <c r="K484" s="692"/>
      <c r="L484" s="692"/>
      <c r="M484" s="692"/>
      <c r="N484" s="692"/>
      <c r="O484" s="692"/>
      <c r="P484" s="692"/>
      <c r="Q484" s="692"/>
      <c r="R484" s="692"/>
      <c r="S484" s="692"/>
      <c r="T484" s="692"/>
      <c r="U484" s="692"/>
      <c r="V484" s="692"/>
      <c r="W484" s="692"/>
      <c r="X484" s="692"/>
      <c r="Y484" s="692"/>
      <c r="Z484" s="692"/>
    </row>
    <row r="485" spans="10:26" s="1768" customFormat="1" ht="21.75" customHeight="1">
      <c r="J485" s="692"/>
      <c r="K485" s="692"/>
      <c r="L485" s="692"/>
      <c r="M485" s="692"/>
      <c r="N485" s="692"/>
      <c r="O485" s="692"/>
      <c r="P485" s="692"/>
      <c r="Q485" s="692"/>
      <c r="R485" s="692"/>
      <c r="S485" s="692"/>
      <c r="T485" s="692"/>
      <c r="U485" s="692"/>
      <c r="V485" s="692"/>
      <c r="W485" s="692"/>
      <c r="X485" s="692"/>
      <c r="Y485" s="692"/>
      <c r="Z485" s="692"/>
    </row>
    <row r="486" spans="10:26" s="1768" customFormat="1" ht="21.75" customHeight="1">
      <c r="J486" s="692"/>
      <c r="K486" s="692"/>
      <c r="L486" s="692"/>
      <c r="M486" s="692"/>
      <c r="N486" s="692"/>
      <c r="O486" s="692"/>
      <c r="P486" s="692"/>
      <c r="Q486" s="692"/>
      <c r="R486" s="692"/>
      <c r="S486" s="692"/>
      <c r="T486" s="692"/>
      <c r="U486" s="692"/>
      <c r="V486" s="692"/>
      <c r="W486" s="692"/>
      <c r="X486" s="692"/>
      <c r="Y486" s="692"/>
      <c r="Z486" s="692"/>
    </row>
    <row r="487" spans="10:26" s="1768" customFormat="1" ht="21.75" customHeight="1">
      <c r="J487" s="692"/>
      <c r="K487" s="692"/>
      <c r="L487" s="692"/>
      <c r="M487" s="692"/>
      <c r="N487" s="692"/>
      <c r="O487" s="692"/>
      <c r="P487" s="692"/>
      <c r="Q487" s="692"/>
      <c r="R487" s="692"/>
      <c r="S487" s="692"/>
      <c r="T487" s="692"/>
      <c r="U487" s="692"/>
      <c r="V487" s="692"/>
      <c r="W487" s="692"/>
      <c r="X487" s="692"/>
      <c r="Y487" s="692"/>
      <c r="Z487" s="692"/>
    </row>
    <row r="488" spans="10:26" s="1768" customFormat="1" ht="21.75" customHeight="1">
      <c r="J488" s="692"/>
      <c r="K488" s="692"/>
      <c r="L488" s="692"/>
      <c r="M488" s="692"/>
      <c r="N488" s="692"/>
      <c r="O488" s="692"/>
      <c r="P488" s="692"/>
      <c r="Q488" s="692"/>
      <c r="R488" s="692"/>
      <c r="S488" s="692"/>
      <c r="T488" s="692"/>
      <c r="U488" s="692"/>
      <c r="V488" s="692"/>
      <c r="W488" s="692"/>
      <c r="X488" s="692"/>
      <c r="Y488" s="692"/>
      <c r="Z488" s="692"/>
    </row>
    <row r="489" spans="10:26" s="1768" customFormat="1" ht="21.75" customHeight="1">
      <c r="J489" s="692"/>
      <c r="K489" s="692"/>
      <c r="L489" s="692"/>
      <c r="M489" s="692"/>
      <c r="N489" s="692"/>
      <c r="O489" s="692"/>
      <c r="P489" s="692"/>
      <c r="Q489" s="692"/>
      <c r="R489" s="692"/>
      <c r="S489" s="692"/>
      <c r="T489" s="692"/>
      <c r="U489" s="692"/>
      <c r="V489" s="692"/>
      <c r="W489" s="692"/>
      <c r="X489" s="692"/>
      <c r="Y489" s="692"/>
      <c r="Z489" s="692"/>
    </row>
    <row r="490" spans="10:26" s="1768" customFormat="1" ht="21.75" customHeight="1">
      <c r="J490" s="692"/>
      <c r="K490" s="692"/>
      <c r="L490" s="692"/>
      <c r="M490" s="692"/>
      <c r="N490" s="692"/>
      <c r="O490" s="692"/>
      <c r="P490" s="692"/>
      <c r="Q490" s="692"/>
      <c r="R490" s="692"/>
      <c r="S490" s="692"/>
      <c r="T490" s="692"/>
      <c r="U490" s="692"/>
      <c r="V490" s="692"/>
      <c r="W490" s="692"/>
      <c r="X490" s="692"/>
      <c r="Y490" s="692"/>
      <c r="Z490" s="692"/>
    </row>
    <row r="491" spans="10:26" s="1768" customFormat="1" ht="21.75" customHeight="1">
      <c r="J491" s="692"/>
      <c r="K491" s="692"/>
      <c r="L491" s="692"/>
      <c r="M491" s="692"/>
      <c r="N491" s="692"/>
      <c r="O491" s="692"/>
      <c r="P491" s="692"/>
      <c r="Q491" s="692"/>
      <c r="R491" s="692"/>
      <c r="S491" s="692"/>
      <c r="T491" s="692"/>
      <c r="U491" s="692"/>
      <c r="V491" s="692"/>
      <c r="W491" s="692"/>
      <c r="X491" s="692"/>
      <c r="Y491" s="692"/>
      <c r="Z491" s="692"/>
    </row>
    <row r="492" spans="10:26" s="1768" customFormat="1" ht="21.75" customHeight="1">
      <c r="J492" s="692"/>
      <c r="K492" s="692"/>
      <c r="L492" s="692"/>
      <c r="M492" s="692"/>
      <c r="N492" s="692"/>
      <c r="O492" s="692"/>
      <c r="P492" s="692"/>
      <c r="Q492" s="692"/>
      <c r="R492" s="692"/>
      <c r="S492" s="692"/>
      <c r="T492" s="692"/>
      <c r="U492" s="692"/>
      <c r="V492" s="692"/>
      <c r="W492" s="692"/>
      <c r="X492" s="692"/>
      <c r="Y492" s="692"/>
      <c r="Z492" s="692"/>
    </row>
    <row r="493" spans="10:26" s="1768" customFormat="1" ht="21.75" customHeight="1">
      <c r="J493" s="692"/>
      <c r="K493" s="692"/>
      <c r="L493" s="692"/>
      <c r="M493" s="692"/>
      <c r="N493" s="692"/>
      <c r="O493" s="692"/>
      <c r="P493" s="692"/>
      <c r="Q493" s="692"/>
      <c r="R493" s="692"/>
      <c r="S493" s="692"/>
      <c r="T493" s="692"/>
      <c r="U493" s="692"/>
      <c r="V493" s="692"/>
      <c r="W493" s="692"/>
      <c r="X493" s="692"/>
      <c r="Y493" s="692"/>
      <c r="Z493" s="692"/>
    </row>
    <row r="494" spans="10:26" s="1768" customFormat="1" ht="21.75" customHeight="1">
      <c r="J494" s="692"/>
      <c r="K494" s="692"/>
      <c r="L494" s="692"/>
      <c r="M494" s="692"/>
      <c r="N494" s="692"/>
      <c r="O494" s="692"/>
      <c r="P494" s="692"/>
      <c r="Q494" s="692"/>
      <c r="R494" s="692"/>
      <c r="S494" s="692"/>
      <c r="T494" s="692"/>
      <c r="U494" s="692"/>
      <c r="V494" s="692"/>
      <c r="W494" s="692"/>
      <c r="X494" s="692"/>
      <c r="Y494" s="692"/>
      <c r="Z494" s="692"/>
    </row>
    <row r="495" spans="10:26" s="1768" customFormat="1" ht="21.75" customHeight="1">
      <c r="J495" s="692"/>
      <c r="K495" s="692"/>
      <c r="L495" s="692"/>
      <c r="M495" s="692"/>
      <c r="N495" s="692"/>
      <c r="O495" s="692"/>
      <c r="P495" s="692"/>
      <c r="Q495" s="692"/>
      <c r="R495" s="692"/>
      <c r="S495" s="692"/>
      <c r="T495" s="692"/>
      <c r="U495" s="692"/>
      <c r="V495" s="692"/>
      <c r="W495" s="692"/>
      <c r="X495" s="692"/>
      <c r="Y495" s="692"/>
      <c r="Z495" s="692"/>
    </row>
    <row r="496" spans="10:26" s="1768" customFormat="1" ht="21.75" customHeight="1">
      <c r="J496" s="692"/>
      <c r="K496" s="692"/>
      <c r="L496" s="692"/>
      <c r="M496" s="692"/>
      <c r="N496" s="692"/>
      <c r="O496" s="692"/>
      <c r="P496" s="692"/>
      <c r="Q496" s="692"/>
      <c r="R496" s="692"/>
      <c r="S496" s="692"/>
      <c r="T496" s="692"/>
      <c r="U496" s="692"/>
      <c r="V496" s="692"/>
      <c r="W496" s="692"/>
      <c r="X496" s="692"/>
      <c r="Y496" s="692"/>
      <c r="Z496" s="692"/>
    </row>
    <row r="497" spans="10:26" s="1768" customFormat="1" ht="21.75" customHeight="1">
      <c r="J497" s="692"/>
      <c r="K497" s="692"/>
      <c r="L497" s="692"/>
      <c r="M497" s="692"/>
      <c r="N497" s="692"/>
      <c r="O497" s="692"/>
      <c r="P497" s="692"/>
      <c r="Q497" s="692"/>
      <c r="R497" s="692"/>
      <c r="S497" s="692"/>
      <c r="T497" s="692"/>
      <c r="U497" s="692"/>
      <c r="V497" s="692"/>
      <c r="W497" s="692"/>
      <c r="X497" s="692"/>
      <c r="Y497" s="692"/>
      <c r="Z497" s="692"/>
    </row>
    <row r="498" spans="10:26" s="1768" customFormat="1" ht="21.75" customHeight="1">
      <c r="J498" s="692"/>
      <c r="K498" s="692"/>
      <c r="L498" s="692"/>
      <c r="M498" s="692"/>
      <c r="N498" s="692"/>
      <c r="O498" s="692"/>
      <c r="P498" s="692"/>
      <c r="Q498" s="692"/>
      <c r="R498" s="692"/>
      <c r="S498" s="692"/>
      <c r="T498" s="692"/>
      <c r="U498" s="692"/>
      <c r="V498" s="692"/>
      <c r="W498" s="692"/>
      <c r="X498" s="692"/>
      <c r="Y498" s="692"/>
      <c r="Z498" s="692"/>
    </row>
    <row r="499" spans="10:26" s="1768" customFormat="1" ht="21.75" customHeight="1">
      <c r="J499" s="692"/>
      <c r="K499" s="692"/>
      <c r="L499" s="692"/>
      <c r="M499" s="692"/>
      <c r="N499" s="692"/>
      <c r="O499" s="692"/>
      <c r="P499" s="692"/>
      <c r="Q499" s="692"/>
      <c r="R499" s="692"/>
      <c r="S499" s="692"/>
      <c r="T499" s="692"/>
      <c r="U499" s="692"/>
      <c r="V499" s="692"/>
      <c r="W499" s="692"/>
      <c r="X499" s="692"/>
      <c r="Y499" s="692"/>
      <c r="Z499" s="692"/>
    </row>
    <row r="500" spans="10:26" s="1768" customFormat="1" ht="21.75" customHeight="1">
      <c r="J500" s="692"/>
      <c r="K500" s="692"/>
      <c r="L500" s="692"/>
      <c r="M500" s="692"/>
      <c r="N500" s="692"/>
      <c r="O500" s="692"/>
      <c r="P500" s="692"/>
      <c r="Q500" s="692"/>
      <c r="R500" s="692"/>
      <c r="S500" s="692"/>
      <c r="T500" s="692"/>
      <c r="U500" s="692"/>
      <c r="V500" s="692"/>
      <c r="W500" s="692"/>
      <c r="X500" s="692"/>
      <c r="Y500" s="692"/>
      <c r="Z500" s="692"/>
    </row>
    <row r="501" spans="10:26" s="1768" customFormat="1" ht="21.75" customHeight="1">
      <c r="J501" s="692"/>
      <c r="K501" s="692"/>
      <c r="L501" s="692"/>
      <c r="M501" s="692"/>
      <c r="N501" s="692"/>
      <c r="O501" s="692"/>
      <c r="P501" s="692"/>
      <c r="Q501" s="692"/>
      <c r="R501" s="692"/>
      <c r="S501" s="692"/>
      <c r="T501" s="692"/>
      <c r="U501" s="692"/>
      <c r="V501" s="692"/>
      <c r="W501" s="692"/>
      <c r="X501" s="692"/>
      <c r="Y501" s="692"/>
      <c r="Z501" s="692"/>
    </row>
    <row r="502" spans="10:26" s="1768" customFormat="1" ht="21.75" customHeight="1">
      <c r="J502" s="692"/>
      <c r="K502" s="692"/>
      <c r="L502" s="692"/>
      <c r="M502" s="692"/>
      <c r="N502" s="692"/>
      <c r="O502" s="692"/>
      <c r="P502" s="692"/>
      <c r="Q502" s="692"/>
      <c r="R502" s="692"/>
      <c r="S502" s="692"/>
      <c r="T502" s="692"/>
      <c r="U502" s="692"/>
      <c r="V502" s="692"/>
      <c r="W502" s="692"/>
      <c r="X502" s="692"/>
      <c r="Y502" s="692"/>
      <c r="Z502" s="692"/>
    </row>
    <row r="503" spans="10:26" s="1768" customFormat="1" ht="21.75" customHeight="1">
      <c r="J503" s="692"/>
      <c r="K503" s="692"/>
      <c r="L503" s="692"/>
      <c r="M503" s="692"/>
      <c r="N503" s="692"/>
      <c r="O503" s="692"/>
      <c r="P503" s="692"/>
      <c r="Q503" s="692"/>
      <c r="R503" s="692"/>
      <c r="S503" s="692"/>
      <c r="T503" s="692"/>
      <c r="U503" s="692"/>
      <c r="V503" s="692"/>
      <c r="W503" s="692"/>
      <c r="X503" s="692"/>
      <c r="Y503" s="692"/>
      <c r="Z503" s="692"/>
    </row>
    <row r="504" spans="10:26" s="1768" customFormat="1" ht="21.75" customHeight="1">
      <c r="J504" s="692"/>
      <c r="K504" s="692"/>
      <c r="L504" s="692"/>
      <c r="M504" s="692"/>
      <c r="N504" s="692"/>
      <c r="O504" s="692"/>
      <c r="P504" s="692"/>
      <c r="Q504" s="692"/>
      <c r="R504" s="692"/>
      <c r="S504" s="692"/>
      <c r="T504" s="692"/>
      <c r="U504" s="692"/>
      <c r="V504" s="692"/>
      <c r="W504" s="692"/>
      <c r="X504" s="692"/>
      <c r="Y504" s="692"/>
      <c r="Z504" s="692"/>
    </row>
    <row r="505" spans="10:26" s="1768" customFormat="1" ht="21.75" customHeight="1">
      <c r="J505" s="692"/>
      <c r="K505" s="692"/>
      <c r="L505" s="692"/>
      <c r="M505" s="692"/>
      <c r="N505" s="692"/>
      <c r="O505" s="692"/>
      <c r="P505" s="692"/>
      <c r="Q505" s="692"/>
      <c r="R505" s="692"/>
      <c r="S505" s="692"/>
      <c r="T505" s="692"/>
      <c r="U505" s="692"/>
      <c r="V505" s="692"/>
      <c r="W505" s="692"/>
      <c r="X505" s="692"/>
      <c r="Y505" s="692"/>
      <c r="Z505" s="692"/>
    </row>
    <row r="506" spans="10:26" s="1768" customFormat="1" ht="21.75" customHeight="1">
      <c r="J506" s="692"/>
      <c r="K506" s="692"/>
      <c r="L506" s="692"/>
      <c r="M506" s="692"/>
      <c r="N506" s="692"/>
      <c r="O506" s="692"/>
      <c r="P506" s="692"/>
      <c r="Q506" s="692"/>
      <c r="R506" s="692"/>
      <c r="S506" s="692"/>
      <c r="T506" s="692"/>
      <c r="U506" s="692"/>
      <c r="V506" s="692"/>
      <c r="W506" s="692"/>
      <c r="X506" s="692"/>
      <c r="Y506" s="692"/>
      <c r="Z506" s="692"/>
    </row>
    <row r="507" spans="10:26" s="1768" customFormat="1" ht="21.75" customHeight="1">
      <c r="J507" s="692"/>
      <c r="K507" s="692"/>
      <c r="L507" s="692"/>
      <c r="M507" s="692"/>
      <c r="N507" s="692"/>
      <c r="O507" s="692"/>
      <c r="P507" s="692"/>
      <c r="Q507" s="692"/>
      <c r="R507" s="692"/>
      <c r="S507" s="692"/>
      <c r="T507" s="692"/>
      <c r="U507" s="692"/>
      <c r="V507" s="692"/>
      <c r="W507" s="692"/>
      <c r="X507" s="692"/>
      <c r="Y507" s="692"/>
      <c r="Z507" s="692"/>
    </row>
    <row r="508" spans="10:26" s="1768" customFormat="1" ht="21.75" customHeight="1">
      <c r="J508" s="692"/>
      <c r="K508" s="692"/>
      <c r="L508" s="692"/>
      <c r="M508" s="692"/>
      <c r="N508" s="692"/>
      <c r="O508" s="692"/>
      <c r="P508" s="692"/>
      <c r="Q508" s="692"/>
      <c r="R508" s="692"/>
      <c r="S508" s="692"/>
      <c r="T508" s="692"/>
      <c r="U508" s="692"/>
      <c r="V508" s="692"/>
      <c r="W508" s="692"/>
      <c r="X508" s="692"/>
      <c r="Y508" s="692"/>
      <c r="Z508" s="692"/>
    </row>
    <row r="509" spans="10:26" s="1768" customFormat="1" ht="21.75" customHeight="1">
      <c r="J509" s="692"/>
      <c r="K509" s="692"/>
      <c r="L509" s="692"/>
      <c r="M509" s="692"/>
      <c r="N509" s="692"/>
      <c r="O509" s="692"/>
      <c r="P509" s="692"/>
      <c r="Q509" s="692"/>
      <c r="R509" s="692"/>
      <c r="S509" s="692"/>
      <c r="T509" s="692"/>
      <c r="U509" s="692"/>
      <c r="V509" s="692"/>
      <c r="W509" s="692"/>
      <c r="X509" s="692"/>
      <c r="Y509" s="692"/>
      <c r="Z509" s="692"/>
    </row>
    <row r="510" spans="10:26" s="1768" customFormat="1" ht="21.75" customHeight="1">
      <c r="J510" s="692"/>
      <c r="K510" s="692"/>
      <c r="L510" s="692"/>
      <c r="M510" s="692"/>
      <c r="N510" s="692"/>
      <c r="O510" s="692"/>
      <c r="P510" s="692"/>
      <c r="Q510" s="692"/>
      <c r="R510" s="692"/>
      <c r="S510" s="692"/>
      <c r="T510" s="692"/>
      <c r="U510" s="692"/>
      <c r="V510" s="692"/>
      <c r="W510" s="692"/>
      <c r="X510" s="692"/>
      <c r="Y510" s="692"/>
      <c r="Z510" s="692"/>
    </row>
    <row r="511" spans="10:26" s="1768" customFormat="1" ht="21.75" customHeight="1">
      <c r="J511" s="692"/>
      <c r="K511" s="692"/>
      <c r="L511" s="692"/>
      <c r="M511" s="692"/>
      <c r="N511" s="692"/>
      <c r="O511" s="692"/>
      <c r="P511" s="692"/>
      <c r="Q511" s="692"/>
      <c r="R511" s="692"/>
      <c r="S511" s="692"/>
      <c r="T511" s="692"/>
      <c r="U511" s="692"/>
      <c r="V511" s="692"/>
      <c r="W511" s="692"/>
      <c r="X511" s="692"/>
      <c r="Y511" s="692"/>
      <c r="Z511" s="692"/>
    </row>
    <row r="512" spans="10:26" s="1768" customFormat="1" ht="21.75" customHeight="1">
      <c r="J512" s="692"/>
      <c r="K512" s="692"/>
      <c r="L512" s="692"/>
      <c r="M512" s="692"/>
      <c r="N512" s="692"/>
      <c r="O512" s="692"/>
      <c r="P512" s="692"/>
      <c r="Q512" s="692"/>
      <c r="R512" s="692"/>
      <c r="S512" s="692"/>
      <c r="T512" s="692"/>
      <c r="U512" s="692"/>
      <c r="V512" s="692"/>
      <c r="W512" s="692"/>
      <c r="X512" s="692"/>
      <c r="Y512" s="692"/>
      <c r="Z512" s="69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18"/>
  <sheetViews>
    <sheetView view="pageBreakPreview" zoomScale="90" zoomScaleNormal="80" zoomScaleSheetLayoutView="90" workbookViewId="0">
      <selection activeCell="E30" sqref="E30"/>
    </sheetView>
  </sheetViews>
  <sheetFormatPr defaultColWidth="12" defaultRowHeight="12.75"/>
  <cols>
    <col min="1" max="1" width="9.75" style="2046" customWidth="1"/>
    <col min="2" max="2" width="19.25" style="2143" customWidth="1"/>
    <col min="3" max="4" width="12" style="1987"/>
    <col min="5" max="5" width="14.625" style="1987" customWidth="1"/>
    <col min="6" max="8" width="12" style="1987"/>
    <col min="9" max="9" width="12.25" style="1987" bestFit="1" customWidth="1"/>
    <col min="10" max="10" width="12" style="1987"/>
    <col min="11" max="11" width="8.125" style="2041" customWidth="1"/>
    <col min="12" max="12" width="12" style="1987"/>
    <col min="13" max="13" width="8.5" style="1987" customWidth="1"/>
    <col min="14" max="14" width="9.75" style="1987" customWidth="1"/>
    <col min="15" max="25" width="12" style="1987"/>
    <col min="26" max="26" width="9.375" style="2046" customWidth="1"/>
    <col min="27" max="32" width="9.375" style="1184" customWidth="1"/>
    <col min="33" max="36" width="9.375" style="2046" customWidth="1"/>
    <col min="37" max="38" width="9.375" style="1987" customWidth="1"/>
    <col min="39" max="16384" width="12" style="1987"/>
  </cols>
  <sheetData>
    <row r="1" spans="1:36" ht="28.5">
      <c r="A1" s="194" t="s">
        <v>2557</v>
      </c>
      <c r="B1" s="195"/>
      <c r="C1" s="199" t="s">
        <v>2558</v>
      </c>
      <c r="D1" s="339">
        <f>SUM(D29:D30,D33:D39)</f>
        <v>139.04</v>
      </c>
      <c r="E1" s="1984"/>
      <c r="F1" s="1984"/>
      <c r="G1" s="1984"/>
      <c r="H1" s="1984"/>
      <c r="I1" s="1984"/>
      <c r="J1" s="1984"/>
      <c r="K1" s="1182"/>
      <c r="L1" s="1985" t="s">
        <v>2559</v>
      </c>
      <c r="M1" s="934">
        <f>SUMPRODUCT((区片价!B5:B9=I2)*(区片价!C3:F3=E2)*(区片价!C5:F9))</f>
        <v>0</v>
      </c>
      <c r="N1" s="937">
        <f>SUMPRODUCT((因素修正幅度!B5:B9=I2)*(因素修正幅度!C3:F3=E2)*(因素修正幅度!C5:F9))</f>
        <v>0</v>
      </c>
      <c r="O1" s="1986"/>
      <c r="P1" s="1986"/>
      <c r="Q1" s="1182"/>
      <c r="R1" s="1256" t="s">
        <v>2560</v>
      </c>
      <c r="S1" s="1256" t="s">
        <v>2561</v>
      </c>
      <c r="T1" s="1256" t="s">
        <v>2562</v>
      </c>
      <c r="U1" s="1256" t="s">
        <v>2563</v>
      </c>
      <c r="V1" s="1256" t="s">
        <v>2564</v>
      </c>
      <c r="W1" s="1260"/>
      <c r="X1" s="1260"/>
      <c r="Y1" s="1260"/>
      <c r="Z1" s="1260"/>
      <c r="AA1" s="1260"/>
      <c r="AB1" s="1260"/>
      <c r="AC1" s="1261"/>
      <c r="AD1" s="1262"/>
      <c r="AE1" s="1262"/>
      <c r="AF1" s="1262"/>
      <c r="AG1" s="1262"/>
      <c r="AH1" s="1262"/>
      <c r="AI1" s="1262"/>
      <c r="AJ1" s="1263"/>
    </row>
    <row r="2" spans="1:36" ht="15.75">
      <c r="A2" s="199" t="s">
        <v>2565</v>
      </c>
      <c r="B2" s="202">
        <f>C26</f>
        <v>759784</v>
      </c>
      <c r="C2" s="1988" t="s">
        <v>2566</v>
      </c>
      <c r="D2" s="167" t="s">
        <v>2567</v>
      </c>
      <c r="E2" s="1989" t="s">
        <v>3310</v>
      </c>
      <c r="F2" s="167" t="s">
        <v>2568</v>
      </c>
      <c r="G2" s="168" t="str">
        <f>IF(E2="商业",项目基本情况!B37,IF(E2="办公",项目基本情况!C37,IF(E2="住宅",项目基本情况!D37,项目基本情况!E37)))</f>
        <v>六级</v>
      </c>
      <c r="H2" s="167" t="s">
        <v>2569</v>
      </c>
      <c r="I2" s="168" t="str">
        <f>IF(E2="商业",项目基本情况!B38,IF(E2="办公",项目基本情况!C38,IF(E2="住宅",项目基本情况!D38,项目基本情况!E38)))</f>
        <v>Ⅵ-昌2</v>
      </c>
      <c r="J2" s="1984"/>
      <c r="K2" s="1182"/>
      <c r="L2" s="1990" t="s">
        <v>2570</v>
      </c>
      <c r="M2" s="935">
        <f>SUMPRODUCT((区片价!B10:B28=I2)*(区片价!C3:F3=E2)*(区片价!C10:F28))</f>
        <v>0</v>
      </c>
      <c r="N2" s="937">
        <f>SUMPRODUCT((因素修正幅度!B10:B28=I2)*(因素修正幅度!C3:F3=E2)*(因素修正幅度!C10:F28))</f>
        <v>0</v>
      </c>
      <c r="O2" s="1182"/>
      <c r="P2" s="1182"/>
      <c r="Q2" s="1182"/>
      <c r="R2" s="1256">
        <v>1</v>
      </c>
      <c r="S2" s="1256">
        <f>ROUND(IF(G3&gt;1,IF(R2&lt;7,SUMPRODUCT((B93:B98=R2)*(C92:N92=G2)*(C93:N98)),SUMIF(C92:N92,G2,C100:N100)),IF(R2&lt;7,SUMPRODUCT((B102:B107=R2)*(C92:N92=G2)*(C102:N107)),SUMIF(C92:N92,G2,C109:N109))),4)</f>
        <v>1.8629</v>
      </c>
      <c r="T2" s="1256">
        <f>ROUND($C$5*$C$18*$C$19*$C$20*S2*$C$24,0)</f>
        <v>20359</v>
      </c>
      <c r="U2" s="1257">
        <f>'面积指标 (2)'!D2</f>
        <v>2741.34</v>
      </c>
      <c r="V2" s="1256">
        <f>ROUND(T2*U2/10000,0)</f>
        <v>5581</v>
      </c>
      <c r="W2" s="1260"/>
      <c r="X2" s="1260"/>
      <c r="Y2" s="1260"/>
      <c r="Z2" s="1260"/>
      <c r="AA2" s="1260"/>
      <c r="AB2" s="1260"/>
      <c r="AC2" s="1261"/>
      <c r="AD2" s="1262"/>
      <c r="AE2" s="1262"/>
      <c r="AF2" s="1262"/>
      <c r="AG2" s="1262"/>
      <c r="AH2" s="1262"/>
      <c r="AI2" s="1262"/>
      <c r="AJ2" s="1263"/>
    </row>
    <row r="3" spans="1:36" ht="25.5">
      <c r="A3" s="201" t="s">
        <v>2571</v>
      </c>
      <c r="B3" s="202">
        <f>ROUND(B2*10000/D1,0)</f>
        <v>54644994</v>
      </c>
      <c r="C3" s="1988" t="s">
        <v>2572</v>
      </c>
      <c r="D3" s="167" t="s">
        <v>2573</v>
      </c>
      <c r="E3" s="1991" t="s">
        <v>3676</v>
      </c>
      <c r="F3" s="1992" t="s">
        <v>3200</v>
      </c>
      <c r="G3" s="806">
        <f>IF(F3="宗地容积率",'数据-汇总表'!I4,IF(F3="估价对象容积率",'数据-汇总表'!I6,'数据-汇总表'!I7))</f>
        <v>2.5</v>
      </c>
      <c r="H3" s="167" t="s">
        <v>2574</v>
      </c>
      <c r="I3" s="828"/>
      <c r="J3" s="1984" t="s">
        <v>2575</v>
      </c>
      <c r="K3" s="1182"/>
      <c r="L3" s="1990" t="s">
        <v>2576</v>
      </c>
      <c r="M3" s="935">
        <f>SUMPRODUCT((区片价!B29:B48=I2)*(区片价!C3:F3=E2)*(区片价!C29:F48))</f>
        <v>0</v>
      </c>
      <c r="N3" s="937">
        <f>SUMPRODUCT((因素修正幅度!B29:B48=I2)*(因素修正幅度!C3:F3=E2)*(因素修正幅度!C29:F48))</f>
        <v>0</v>
      </c>
      <c r="O3" s="1182"/>
      <c r="P3" s="1182"/>
      <c r="Q3" s="1182"/>
      <c r="R3" s="1256">
        <v>2</v>
      </c>
      <c r="S3" s="1256">
        <f>ROUND(IF(G3&gt;1,IF(R3&lt;7,SUMPRODUCT((B93:B98=R3)*(C92:N92=G2)*(C93:N98)),SUMIF(C92:N92,G2,C100:N100)),IF(R3&lt;7,SUMPRODUCT((B102:B107=R3)*(C92:N92=G2)*(C102:N107)),SUMIF(C92:N92,G2,C109:N109))),4)</f>
        <v>1.3371999999999999</v>
      </c>
      <c r="T3" s="1256">
        <f t="shared" ref="T3:T16" si="0">ROUND($C$5*$C$18*$C$19*$C$20*S3*$C$24,0)</f>
        <v>14614</v>
      </c>
      <c r="U3" s="1257">
        <f>'面积指标 (2)'!D3</f>
        <v>3534.98</v>
      </c>
      <c r="V3" s="1256">
        <f t="shared" ref="V3:V16" si="1">ROUND(T3*U3/10000,0)</f>
        <v>5166</v>
      </c>
      <c r="W3" s="1260"/>
      <c r="X3" s="1260"/>
      <c r="Y3" s="1260"/>
      <c r="Z3" s="1260"/>
      <c r="AA3" s="1260"/>
      <c r="AB3" s="1260"/>
      <c r="AC3" s="1261"/>
      <c r="AD3" s="1262"/>
      <c r="AE3" s="1262"/>
      <c r="AF3" s="1262"/>
      <c r="AG3" s="1262"/>
      <c r="AH3" s="1262"/>
      <c r="AI3" s="1262"/>
      <c r="AJ3" s="1263"/>
    </row>
    <row r="4" spans="1:36" ht="15.75">
      <c r="A4" s="3324"/>
      <c r="B4" s="3325"/>
      <c r="C4" s="3325"/>
      <c r="D4" s="3326"/>
      <c r="E4" s="3326"/>
      <c r="F4" s="3326"/>
      <c r="G4" s="3326"/>
      <c r="H4" s="3326"/>
      <c r="I4" s="3326"/>
      <c r="J4" s="3327"/>
      <c r="K4" s="1182"/>
      <c r="L4" s="1990" t="s">
        <v>2577</v>
      </c>
      <c r="M4" s="935">
        <f>SUMPRODUCT((区片价!B49:B75=I2)*(区片价!C3:F3=E2)*(区片价!C49:F75))</f>
        <v>0</v>
      </c>
      <c r="N4" s="937">
        <f>SUMPRODUCT((因素修正幅度!B49:B75=I2)*(因素修正幅度!C3:F3=E2)*(因素修正幅度!C49:F75))</f>
        <v>0</v>
      </c>
      <c r="O4" s="1182"/>
      <c r="P4" s="1182"/>
      <c r="Q4" s="1182"/>
      <c r="R4" s="1256">
        <v>3</v>
      </c>
      <c r="S4" s="1256">
        <f>ROUND(IF(G3&gt;1,IF(R4&lt;7,SUMPRODUCT((B93:B98=R4)*(C92:N92=G2)*(C93:N98)),SUMIF(C92:N92,G2,C100:N100)),IF(R4&lt;7,SUMPRODUCT((B102:B107=R4)*(C92:N92=G2)*(C102:N107)),SUMIF(C92:N92,G2,C109:N109))),4)</f>
        <v>1.0788</v>
      </c>
      <c r="T4" s="1256">
        <f t="shared" si="0"/>
        <v>11790</v>
      </c>
      <c r="U4" s="1257">
        <f>'面积指标 (2)'!D4</f>
        <v>3631.02</v>
      </c>
      <c r="V4" s="1256">
        <f t="shared" si="1"/>
        <v>4281</v>
      </c>
      <c r="W4" s="1260"/>
      <c r="X4" s="1260"/>
      <c r="Y4" s="1260"/>
      <c r="Z4" s="1260"/>
      <c r="AA4" s="1260"/>
      <c r="AB4" s="1260"/>
      <c r="AC4" s="1261"/>
      <c r="AD4" s="1262"/>
      <c r="AE4" s="1262"/>
      <c r="AF4" s="1262"/>
      <c r="AG4" s="1262"/>
      <c r="AH4" s="1262"/>
      <c r="AI4" s="1262"/>
      <c r="AJ4" s="1263"/>
    </row>
    <row r="5" spans="1:36" s="2002" customFormat="1" ht="15.75" thickBot="1">
      <c r="A5" s="1993" t="s">
        <v>807</v>
      </c>
      <c r="B5" s="1994" t="s">
        <v>2578</v>
      </c>
      <c r="C5" s="807">
        <f>ROUND(IF(E2="商业",C6*C7+C16,(IF(E2="住宅",C6*C12+C16,C6+C16))),0)</f>
        <v>11066</v>
      </c>
      <c r="D5" s="1396">
        <f>ROUND(C6+C16,0)</f>
        <v>10060</v>
      </c>
      <c r="E5" s="1396"/>
      <c r="F5" s="1995"/>
      <c r="G5" s="1996"/>
      <c r="H5" s="1996"/>
      <c r="I5" s="1996"/>
      <c r="J5" s="1997"/>
      <c r="K5" s="1998"/>
      <c r="L5" s="1990" t="s">
        <v>2579</v>
      </c>
      <c r="M5" s="935">
        <f>SUMPRODUCT((区片价!B76:B109=I2)*(区片价!C3:F3=E2)*(区片价!C76:F109))</f>
        <v>0</v>
      </c>
      <c r="N5" s="937">
        <f>SUMPRODUCT((因素修正幅度!B76:B109=I2)*(因素修正幅度!C3:F3=E2)*(因素修正幅度!C76:F109))</f>
        <v>0</v>
      </c>
      <c r="O5" s="1182"/>
      <c r="P5" s="1182"/>
      <c r="Q5" s="1182"/>
      <c r="R5" s="1256">
        <v>4</v>
      </c>
      <c r="S5" s="1256">
        <f>ROUND(IF(G3&gt;1,IF(R5&lt;7,SUMPRODUCT((B93:B98=R5)*(C92:N92=G2)*(C93:N98)),SUMIF(C92:N92,G2,C100:N100)),IF(R5&lt;7,SUMPRODUCT((B102:B107=R5)*(C92:N92=G2)*(C102:N107)),SUMIF(C92:N92,G2,C109:N109))),4)</f>
        <v>0.86560000000000004</v>
      </c>
      <c r="T5" s="1256">
        <f t="shared" si="0"/>
        <v>9460</v>
      </c>
      <c r="U5" s="1257">
        <f>'面积指标 (2)'!D5</f>
        <v>3642.43</v>
      </c>
      <c r="V5" s="1256">
        <f t="shared" si="1"/>
        <v>3446</v>
      </c>
      <c r="W5" s="1260"/>
      <c r="X5" s="1260"/>
      <c r="Y5" s="1260"/>
      <c r="Z5" s="1260"/>
      <c r="AA5" s="1260"/>
      <c r="AB5" s="1260"/>
      <c r="AC5" s="1999"/>
      <c r="AD5" s="2000"/>
      <c r="AE5" s="2000"/>
      <c r="AF5" s="2000"/>
      <c r="AG5" s="2000"/>
      <c r="AH5" s="2000"/>
      <c r="AI5" s="2000"/>
      <c r="AJ5" s="2001"/>
    </row>
    <row r="6" spans="1:36" ht="15.75" thickBot="1">
      <c r="A6" s="2003" t="s">
        <v>2580</v>
      </c>
      <c r="B6" s="2004" t="s">
        <v>2581</v>
      </c>
      <c r="C6" s="808">
        <f>SUMIF(L1:L12,G2,M1:M12)</f>
        <v>10060</v>
      </c>
      <c r="D6" s="2005" t="s">
        <v>2582</v>
      </c>
      <c r="E6" s="2006"/>
      <c r="F6" s="2006"/>
      <c r="G6" s="2007"/>
      <c r="H6" s="2007"/>
      <c r="I6" s="2007"/>
      <c r="J6" s="2008"/>
      <c r="K6" s="1436"/>
      <c r="L6" s="1990" t="s">
        <v>2583</v>
      </c>
      <c r="M6" s="935">
        <f>SUMPRODUCT((区片价!B110:B157=I2)*(区片价!C3:F3=E2)*(区片价!C110:F157))</f>
        <v>10060</v>
      </c>
      <c r="N6" s="937">
        <f>SUMPRODUCT((因素修正幅度!B110:B157=I2)*(因素修正幅度!C3:F3=E2)*(因素修正幅度!C110:F157))</f>
        <v>0.11700000000000001</v>
      </c>
      <c r="O6" s="1182"/>
      <c r="P6" s="1182"/>
      <c r="Q6" s="1182"/>
      <c r="R6" s="1256">
        <v>5</v>
      </c>
      <c r="S6" s="1256">
        <f>ROUND(IF(G3&gt;1,IF(R6&lt;7,SUMPRODUCT((B93:B98=R6)*(C92:N92=G2)*(C93:N98)),SUMIF(C92:N92,G2,C100:N100)),IF(R6&lt;7,SUMPRODUCT((B102:B107=R6)*(C92:N92=G2)*(C102:N107)),SUMIF(C92:N92,G2,C109:N109))),4)</f>
        <v>0.73709999999999998</v>
      </c>
      <c r="T6" s="1256">
        <f t="shared" si="0"/>
        <v>8056</v>
      </c>
      <c r="U6" s="1257"/>
      <c r="V6" s="1256">
        <f t="shared" si="1"/>
        <v>0</v>
      </c>
      <c r="W6" s="1260"/>
      <c r="X6" s="1260"/>
      <c r="Y6" s="1260"/>
      <c r="Z6" s="1260"/>
      <c r="AA6" s="1260"/>
      <c r="AB6" s="1260"/>
      <c r="AC6" s="1999"/>
      <c r="AD6" s="2000"/>
      <c r="AE6" s="2000"/>
      <c r="AF6" s="2000"/>
      <c r="AG6" s="2000"/>
      <c r="AH6" s="2000"/>
      <c r="AI6" s="2000"/>
      <c r="AJ6" s="2001"/>
    </row>
    <row r="7" spans="1:36" ht="24">
      <c r="A7" s="3328" t="str">
        <f>IF(E2="商业",IF(C8="不临58条商业街","",2),"")</f>
        <v/>
      </c>
      <c r="B7" s="2009" t="s">
        <v>2584</v>
      </c>
      <c r="C7" s="809">
        <f>IF(C8="不临58条商业街",1,ROUND(1+(1.6*E8+1.2*E9+0.8*E10+0.4*E11)*C9,4))</f>
        <v>1</v>
      </c>
      <c r="D7" s="2010" t="s">
        <v>2585</v>
      </c>
      <c r="E7" s="829"/>
      <c r="F7" s="2011"/>
      <c r="G7" s="2012"/>
      <c r="H7" s="2012"/>
      <c r="I7" s="2012"/>
      <c r="J7" s="2013"/>
      <c r="K7" s="1436"/>
      <c r="L7" s="1990" t="s">
        <v>2586</v>
      </c>
      <c r="M7" s="935">
        <f>SUMPRODUCT((区片价!B158:B205=I2)*(区片价!C3:F3=E2)*(区片价!C158:F205))</f>
        <v>0</v>
      </c>
      <c r="N7" s="937">
        <f>SUMPRODUCT((因素修正幅度!B158:B205=I2)*(因素修正幅度!C3:F3=E2)*(因素修正幅度!C158:F205))</f>
        <v>0</v>
      </c>
      <c r="O7" s="1182"/>
      <c r="P7" s="1182"/>
      <c r="Q7" s="1182"/>
      <c r="R7" s="1256">
        <v>6</v>
      </c>
      <c r="S7" s="1256">
        <f>ROUND(IF(G3&gt;1,IF(R7&lt;7,SUMPRODUCT((B93:B98=R7)*(C92:N92=G2)*(C93:N98)),SUMIF(C92:N92,G2,C100:N100)),IF(R7&lt;7,SUMPRODUCT((B102:B107=R7)*(C92:N92=G2)*(C102:N107)),SUMIF(C92:N92,G2,C109:N109))),4)</f>
        <v>0.6482</v>
      </c>
      <c r="T7" s="1256">
        <f t="shared" si="0"/>
        <v>7084</v>
      </c>
      <c r="U7" s="1257"/>
      <c r="V7" s="1256">
        <f t="shared" si="1"/>
        <v>0</v>
      </c>
      <c r="W7" s="1411" t="s">
        <v>2587</v>
      </c>
      <c r="X7" s="1258" t="str">
        <f>G2</f>
        <v>六级</v>
      </c>
      <c r="Y7" s="1258" t="s">
        <v>2588</v>
      </c>
      <c r="Z7" s="1259">
        <f>G3</f>
        <v>2.5</v>
      </c>
      <c r="AA7" s="1260"/>
      <c r="AB7" s="1260"/>
      <c r="AC7" s="1261"/>
      <c r="AD7" s="1262"/>
      <c r="AE7" s="1262"/>
      <c r="AF7" s="1262"/>
      <c r="AG7" s="1262"/>
      <c r="AH7" s="1262"/>
      <c r="AI7" s="1262"/>
      <c r="AJ7" s="1263"/>
    </row>
    <row r="8" spans="1:36" ht="25.5">
      <c r="A8" s="3329"/>
      <c r="B8" s="167" t="s">
        <v>2589</v>
      </c>
      <c r="C8" s="1989" t="s">
        <v>3201</v>
      </c>
      <c r="D8" s="810" t="s">
        <v>139</v>
      </c>
      <c r="E8" s="811" t="e">
        <f>ROUND(C11/E7,4)</f>
        <v>#DIV/0!</v>
      </c>
      <c r="F8" s="2014" t="s">
        <v>2590</v>
      </c>
      <c r="G8" s="2015"/>
      <c r="H8" s="2015"/>
      <c r="I8" s="2015"/>
      <c r="J8" s="2016"/>
      <c r="K8" s="1182"/>
      <c r="L8" s="1990" t="s">
        <v>2591</v>
      </c>
      <c r="M8" s="935">
        <f>SUMPRODUCT((区片价!B206:B244=I2)*(区片价!C3:F3=E2)*(区片价!C206:F244))</f>
        <v>0</v>
      </c>
      <c r="N8" s="937">
        <f>SUMPRODUCT((因素修正幅度!B206:B244=I2)*(因素修正幅度!C3:F3=E2)*(因素修正幅度!C206:F244))</f>
        <v>0</v>
      </c>
      <c r="O8" s="1182"/>
      <c r="P8" s="1182"/>
      <c r="Q8" s="1182"/>
      <c r="R8" s="1256">
        <v>7</v>
      </c>
      <c r="S8" s="1257"/>
      <c r="T8" s="1256">
        <f t="shared" si="0"/>
        <v>0</v>
      </c>
      <c r="U8" s="1257"/>
      <c r="V8" s="1256">
        <f t="shared" si="1"/>
        <v>0</v>
      </c>
      <c r="W8" s="3321" t="s">
        <v>2592</v>
      </c>
      <c r="X8" s="3322"/>
      <c r="Y8" s="1264" t="s">
        <v>2593</v>
      </c>
      <c r="Z8" s="1264" t="s">
        <v>2594</v>
      </c>
      <c r="AA8" s="1264" t="s">
        <v>2595</v>
      </c>
      <c r="AB8" s="1264" t="s">
        <v>2596</v>
      </c>
      <c r="AC8" s="1264" t="s">
        <v>2597</v>
      </c>
      <c r="AD8" s="1264" t="s">
        <v>2598</v>
      </c>
      <c r="AE8" s="1264" t="s">
        <v>2599</v>
      </c>
      <c r="AF8" s="1264" t="s">
        <v>2600</v>
      </c>
      <c r="AG8" s="1264" t="s">
        <v>2601</v>
      </c>
      <c r="AH8" s="1264" t="s">
        <v>2602</v>
      </c>
      <c r="AI8" s="1264" t="s">
        <v>2603</v>
      </c>
      <c r="AJ8" s="1264" t="s">
        <v>2604</v>
      </c>
    </row>
    <row r="9" spans="1:36" ht="15">
      <c r="A9" s="3329"/>
      <c r="B9" s="167" t="s">
        <v>2605</v>
      </c>
      <c r="C9" s="812">
        <f>SUMIF(修正!C59:C119,C8,修正!E59:E119)</f>
        <v>0</v>
      </c>
      <c r="D9" s="168" t="s">
        <v>140</v>
      </c>
      <c r="E9" s="168" t="e">
        <f>ROUND(C11/E7,4)</f>
        <v>#DIV/0!</v>
      </c>
      <c r="F9" s="2014" t="s">
        <v>2606</v>
      </c>
      <c r="G9" s="2015"/>
      <c r="H9" s="2015"/>
      <c r="I9" s="2015"/>
      <c r="J9" s="2016"/>
      <c r="K9" s="1182"/>
      <c r="L9" s="1990" t="s">
        <v>2607</v>
      </c>
      <c r="M9" s="935">
        <f>SUMPRODUCT((区片价!B245:B289=I2)*(区片价!C3:F3=E2)*(区片价!C245:F289))</f>
        <v>0</v>
      </c>
      <c r="N9" s="937">
        <f>SUMPRODUCT((因素修正幅度!B245:B289=I2)*(因素修正幅度!C3:F3=E2)*(因素修正幅度!C245:F289))</f>
        <v>0</v>
      </c>
      <c r="O9" s="1182"/>
      <c r="P9" s="1182"/>
      <c r="Q9" s="1182"/>
      <c r="R9" s="1256">
        <v>8</v>
      </c>
      <c r="S9" s="1257"/>
      <c r="T9" s="1256">
        <f t="shared" si="0"/>
        <v>0</v>
      </c>
      <c r="U9" s="1257"/>
      <c r="V9" s="1256">
        <f t="shared" si="1"/>
        <v>0</v>
      </c>
      <c r="W9" s="3323" t="s">
        <v>2608</v>
      </c>
      <c r="X9" s="1265" t="s">
        <v>2609</v>
      </c>
      <c r="Y9" s="1381"/>
      <c r="Z9" s="1266">
        <f>$Y$9</f>
        <v>0</v>
      </c>
      <c r="AA9" s="1266">
        <f t="shared" ref="AA9:AJ9" si="2">$Y$9</f>
        <v>0</v>
      </c>
      <c r="AB9" s="1266">
        <f t="shared" si="2"/>
        <v>0</v>
      </c>
      <c r="AC9" s="1266">
        <f t="shared" si="2"/>
        <v>0</v>
      </c>
      <c r="AD9" s="1266">
        <f t="shared" si="2"/>
        <v>0</v>
      </c>
      <c r="AE9" s="1266">
        <f t="shared" si="2"/>
        <v>0</v>
      </c>
      <c r="AF9" s="1266">
        <f t="shared" si="2"/>
        <v>0</v>
      </c>
      <c r="AG9" s="1266">
        <f t="shared" si="2"/>
        <v>0</v>
      </c>
      <c r="AH9" s="1266">
        <f t="shared" si="2"/>
        <v>0</v>
      </c>
      <c r="AI9" s="1266">
        <f t="shared" si="2"/>
        <v>0</v>
      </c>
      <c r="AJ9" s="1266">
        <f t="shared" si="2"/>
        <v>0</v>
      </c>
    </row>
    <row r="10" spans="1:36" ht="15">
      <c r="A10" s="3329"/>
      <c r="B10" s="167" t="s">
        <v>2610</v>
      </c>
      <c r="C10" s="168">
        <f>SUMIF(修正!C59:C119,C8,修正!F59:F119)</f>
        <v>0</v>
      </c>
      <c r="D10" s="168" t="s">
        <v>141</v>
      </c>
      <c r="E10" s="168" t="e">
        <f>ROUND(C11/E7,4)</f>
        <v>#DIV/0!</v>
      </c>
      <c r="F10" s="2014" t="s">
        <v>2611</v>
      </c>
      <c r="G10" s="2015"/>
      <c r="H10" s="2015"/>
      <c r="I10" s="2015"/>
      <c r="J10" s="2016"/>
      <c r="K10" s="1182"/>
      <c r="L10" s="1990" t="s">
        <v>2612</v>
      </c>
      <c r="M10" s="935">
        <f>SUMPRODUCT((区片价!B290:B316=I2)*(区片价!C3:F3=E2)*(区片价!C290:F316))</f>
        <v>0</v>
      </c>
      <c r="N10" s="937">
        <f>SUMPRODUCT((因素修正幅度!B290:B316=I2)*(因素修正幅度!C3:F3=E2)*(因素修正幅度!C290:F316))</f>
        <v>0</v>
      </c>
      <c r="O10" s="1182"/>
      <c r="P10" s="1182"/>
      <c r="Q10" s="1182"/>
      <c r="R10" s="1256">
        <v>9</v>
      </c>
      <c r="S10" s="1257"/>
      <c r="T10" s="1256">
        <f t="shared" si="0"/>
        <v>0</v>
      </c>
      <c r="U10" s="1257"/>
      <c r="V10" s="1256">
        <f t="shared" si="1"/>
        <v>0</v>
      </c>
      <c r="W10" s="3323"/>
      <c r="X10" s="1265">
        <v>7</v>
      </c>
      <c r="Y10" s="1267">
        <f>(-0.163*(Y9^2)-0.59*Y9+7617)*(10^(-4))</f>
        <v>0.76170000000000004</v>
      </c>
      <c r="Z10" s="1267">
        <f>(-0.163*(Z9^2)-0.59*Z9+7617)*(10^(-4))</f>
        <v>0.76170000000000004</v>
      </c>
      <c r="AA10" s="1267">
        <f>(-0.161*(AA9^2)-7.509*AA9+6533)*(10^(-4))</f>
        <v>0.65329999999999999</v>
      </c>
      <c r="AB10" s="1267">
        <f>(-0.161*(AB9^2)-7.509*AB9+6533)*(10^(-4))</f>
        <v>0.65329999999999999</v>
      </c>
      <c r="AC10" s="1267">
        <f>(-0.161*(AC9^2)-7.509*AC9+6533)*(10^(-4))</f>
        <v>0.65329999999999999</v>
      </c>
      <c r="AD10" s="1267">
        <f>(-0.161*(AD9^2)-7.509*AD9+6533)*(10^(-4))</f>
        <v>0.65329999999999999</v>
      </c>
      <c r="AE10" s="1267">
        <f>(-0.161*(AE9^2)-7.509*AE9+6533)*(10^(-4))</f>
        <v>0.65329999999999999</v>
      </c>
      <c r="AF10" s="1267">
        <f>(-0.214*(AF9^2)-21.991*AF9+4665)*(10^(-4))</f>
        <v>0.46650000000000003</v>
      </c>
      <c r="AG10" s="1267">
        <f>(-0.214*(AG9^2)-21.991*AG9+4665)*(10^(-4))</f>
        <v>0.46650000000000003</v>
      </c>
      <c r="AH10" s="1267">
        <f>(-0.214*(AH9^2)-21.991*AH9+4665)*(10^(-4))</f>
        <v>0.46650000000000003</v>
      </c>
      <c r="AI10" s="1267">
        <f>(-0.214*(AI9^2)-21.991*AI9+4665)*(10^(-4))</f>
        <v>0.46650000000000003</v>
      </c>
      <c r="AJ10" s="1267">
        <f>(-0.214*(AJ9^2)-21.991*AJ9+4665)*(10^(-4))</f>
        <v>0.46650000000000003</v>
      </c>
    </row>
    <row r="11" spans="1:36" ht="15.75" thickBot="1">
      <c r="A11" s="3329"/>
      <c r="B11" s="2017" t="s">
        <v>2613</v>
      </c>
      <c r="C11" s="813">
        <f>C10/4</f>
        <v>0</v>
      </c>
      <c r="D11" s="813" t="s">
        <v>142</v>
      </c>
      <c r="E11" s="813" t="e">
        <f>ROUND(C11/E7,4)</f>
        <v>#DIV/0!</v>
      </c>
      <c r="F11" s="2018" t="s">
        <v>2614</v>
      </c>
      <c r="G11" s="2019"/>
      <c r="H11" s="2019"/>
      <c r="I11" s="2019"/>
      <c r="J11" s="2020"/>
      <c r="K11" s="1182"/>
      <c r="L11" s="1990" t="s">
        <v>2615</v>
      </c>
      <c r="M11" s="935">
        <f>SUMPRODUCT((区片价!B317:B337=I2)*(区片价!C3:F3=E2)*(区片价!C317:F337))</f>
        <v>0</v>
      </c>
      <c r="N11" s="937">
        <f>SUMPRODUCT((因素修正幅度!B317:B337=I2)*(因素修正幅度!C3:F3=E2)*(因素修正幅度!C317:F337))</f>
        <v>0</v>
      </c>
      <c r="O11" s="1182"/>
      <c r="P11" s="1182"/>
      <c r="Q11" s="1182"/>
      <c r="R11" s="1256">
        <v>10</v>
      </c>
      <c r="S11" s="1257"/>
      <c r="T11" s="1256">
        <f t="shared" si="0"/>
        <v>0</v>
      </c>
      <c r="U11" s="1257"/>
      <c r="V11" s="1256">
        <f t="shared" si="1"/>
        <v>0</v>
      </c>
      <c r="W11" s="3323" t="s">
        <v>2616</v>
      </c>
      <c r="X11" s="1268" t="s">
        <v>2617</v>
      </c>
      <c r="Y11" s="1268">
        <f>$G$3</f>
        <v>2.5</v>
      </c>
      <c r="Z11" s="1268">
        <f t="shared" ref="Z11:AJ11" si="3">$G$3</f>
        <v>2.5</v>
      </c>
      <c r="AA11" s="1268">
        <f t="shared" si="3"/>
        <v>2.5</v>
      </c>
      <c r="AB11" s="1268">
        <f t="shared" si="3"/>
        <v>2.5</v>
      </c>
      <c r="AC11" s="1268">
        <f t="shared" si="3"/>
        <v>2.5</v>
      </c>
      <c r="AD11" s="1268">
        <f t="shared" si="3"/>
        <v>2.5</v>
      </c>
      <c r="AE11" s="1268">
        <f t="shared" si="3"/>
        <v>2.5</v>
      </c>
      <c r="AF11" s="1268">
        <f t="shared" si="3"/>
        <v>2.5</v>
      </c>
      <c r="AG11" s="1268">
        <f t="shared" si="3"/>
        <v>2.5</v>
      </c>
      <c r="AH11" s="1268">
        <f t="shared" si="3"/>
        <v>2.5</v>
      </c>
      <c r="AI11" s="1268">
        <f t="shared" si="3"/>
        <v>2.5</v>
      </c>
      <c r="AJ11" s="1268">
        <f t="shared" si="3"/>
        <v>2.5</v>
      </c>
    </row>
    <row r="12" spans="1:36" ht="25.5" thickBot="1">
      <c r="A12" s="3328" t="s">
        <v>2618</v>
      </c>
      <c r="B12" s="2021" t="s">
        <v>2619</v>
      </c>
      <c r="C12" s="809">
        <f>ROUND(C15*D15*E15*F15*G15*H15*I15*J15,4)</f>
        <v>1.1000000000000001</v>
      </c>
      <c r="D12" s="2022" t="s">
        <v>2620</v>
      </c>
      <c r="E12" s="2023"/>
      <c r="F12" s="2023"/>
      <c r="G12" s="2024"/>
      <c r="H12" s="2024"/>
      <c r="I12" s="2024"/>
      <c r="J12" s="2025"/>
      <c r="K12" s="1182"/>
      <c r="L12" s="1938" t="s">
        <v>2621</v>
      </c>
      <c r="M12" s="936">
        <f>SUMPRODUCT((区片价!B338:B344=I2)*(区片价!C3:F3=E2)*(区片价!C338:F344))</f>
        <v>0</v>
      </c>
      <c r="N12" s="937">
        <f>SUMPRODUCT((因素修正幅度!B338:B344=I2)*(因素修正幅度!C3:F3=E2)*(因素修正幅度!C338:F344))</f>
        <v>0</v>
      </c>
      <c r="O12" s="1182"/>
      <c r="P12" s="1182"/>
      <c r="Q12" s="1182"/>
      <c r="R12" s="1256">
        <v>11</v>
      </c>
      <c r="S12" s="1257"/>
      <c r="T12" s="1256">
        <f t="shared" si="0"/>
        <v>0</v>
      </c>
      <c r="U12" s="1257"/>
      <c r="V12" s="1256">
        <f t="shared" si="1"/>
        <v>0</v>
      </c>
      <c r="W12" s="3323"/>
      <c r="X12" s="1269" t="s">
        <v>2622</v>
      </c>
      <c r="Y12" s="1266">
        <f t="shared" ref="Y12:AJ12" si="4">Y9</f>
        <v>0</v>
      </c>
      <c r="Z12" s="1266">
        <f t="shared" si="4"/>
        <v>0</v>
      </c>
      <c r="AA12" s="1266">
        <f t="shared" si="4"/>
        <v>0</v>
      </c>
      <c r="AB12" s="1266">
        <f t="shared" si="4"/>
        <v>0</v>
      </c>
      <c r="AC12" s="1266">
        <f t="shared" si="4"/>
        <v>0</v>
      </c>
      <c r="AD12" s="1266">
        <f t="shared" si="4"/>
        <v>0</v>
      </c>
      <c r="AE12" s="1266">
        <f t="shared" si="4"/>
        <v>0</v>
      </c>
      <c r="AF12" s="1266">
        <f t="shared" si="4"/>
        <v>0</v>
      </c>
      <c r="AG12" s="1266">
        <f t="shared" si="4"/>
        <v>0</v>
      </c>
      <c r="AH12" s="1266">
        <f t="shared" si="4"/>
        <v>0</v>
      </c>
      <c r="AI12" s="1266">
        <f t="shared" si="4"/>
        <v>0</v>
      </c>
      <c r="AJ12" s="1266">
        <f t="shared" si="4"/>
        <v>0</v>
      </c>
    </row>
    <row r="13" spans="1:36" ht="24">
      <c r="A13" s="3330"/>
      <c r="B13" s="2026" t="s">
        <v>2623</v>
      </c>
      <c r="C13" s="2027" t="s">
        <v>2624</v>
      </c>
      <c r="D13" s="1405" t="s">
        <v>2625</v>
      </c>
      <c r="E13" s="1405" t="s">
        <v>2626</v>
      </c>
      <c r="F13" s="30" t="s">
        <v>2627</v>
      </c>
      <c r="G13" s="2028" t="s">
        <v>2628</v>
      </c>
      <c r="H13" s="2028" t="s">
        <v>2628</v>
      </c>
      <c r="I13" s="2028" t="s">
        <v>2628</v>
      </c>
      <c r="J13" s="2029" t="s">
        <v>2628</v>
      </c>
      <c r="K13" s="1182"/>
      <c r="L13" s="1182"/>
      <c r="M13" s="1182"/>
      <c r="N13" s="1182"/>
      <c r="O13" s="1182"/>
      <c r="P13" s="1182"/>
      <c r="Q13" s="1182"/>
      <c r="R13" s="1256">
        <v>12</v>
      </c>
      <c r="S13" s="1257"/>
      <c r="T13" s="1256">
        <f t="shared" si="0"/>
        <v>0</v>
      </c>
      <c r="U13" s="1257"/>
      <c r="V13" s="1256">
        <f t="shared" si="1"/>
        <v>0</v>
      </c>
      <c r="W13" s="3323"/>
      <c r="X13" s="1269"/>
      <c r="Y13" s="1267">
        <f>(-0.163*(Y12^2)-0.59*Y12+7617)*(10^(-4))/Y11</f>
        <v>0.30468000000000001</v>
      </c>
      <c r="Z13" s="1267">
        <f t="shared" ref="Z13:AJ13" si="5">(-0.163*(Z12^2)-0.59*Z12+7617)*(10^(-4))/Z11</f>
        <v>0.30468000000000001</v>
      </c>
      <c r="AA13" s="1267">
        <f t="shared" si="5"/>
        <v>0.30468000000000001</v>
      </c>
      <c r="AB13" s="1267">
        <f t="shared" si="5"/>
        <v>0.30468000000000001</v>
      </c>
      <c r="AC13" s="1267">
        <f t="shared" si="5"/>
        <v>0.30468000000000001</v>
      </c>
      <c r="AD13" s="1267">
        <f t="shared" si="5"/>
        <v>0.30468000000000001</v>
      </c>
      <c r="AE13" s="1267">
        <f t="shared" si="5"/>
        <v>0.30468000000000001</v>
      </c>
      <c r="AF13" s="1267">
        <f t="shared" si="5"/>
        <v>0.30468000000000001</v>
      </c>
      <c r="AG13" s="1267">
        <f t="shared" si="5"/>
        <v>0.30468000000000001</v>
      </c>
      <c r="AH13" s="1267">
        <f t="shared" si="5"/>
        <v>0.30468000000000001</v>
      </c>
      <c r="AI13" s="1267">
        <f t="shared" si="5"/>
        <v>0.30468000000000001</v>
      </c>
      <c r="AJ13" s="1267">
        <f t="shared" si="5"/>
        <v>0.30468000000000001</v>
      </c>
    </row>
    <row r="14" spans="1:36" ht="15">
      <c r="A14" s="3330"/>
      <c r="B14" s="2030"/>
      <c r="C14" s="2031" t="s">
        <v>3121</v>
      </c>
      <c r="D14" s="2032" t="s">
        <v>3121</v>
      </c>
      <c r="E14" s="2032" t="s">
        <v>3121</v>
      </c>
      <c r="F14" s="2033" t="s">
        <v>3682</v>
      </c>
      <c r="G14" s="2034" t="s">
        <v>2629</v>
      </c>
      <c r="H14" s="1984"/>
      <c r="I14" s="2035"/>
      <c r="J14" s="2036"/>
      <c r="K14" s="1182"/>
      <c r="L14" s="1182"/>
      <c r="M14" s="1182"/>
      <c r="N14" s="1182"/>
      <c r="O14" s="1182"/>
      <c r="P14" s="1182"/>
      <c r="Q14" s="1182"/>
      <c r="R14" s="1256">
        <v>13</v>
      </c>
      <c r="S14" s="1257"/>
      <c r="T14" s="1256">
        <f t="shared" si="0"/>
        <v>0</v>
      </c>
      <c r="U14" s="1257"/>
      <c r="V14" s="1256">
        <f t="shared" si="1"/>
        <v>0</v>
      </c>
      <c r="W14" s="1260"/>
      <c r="X14" s="1260"/>
      <c r="Y14" s="1260"/>
      <c r="Z14" s="1260"/>
      <c r="AA14" s="1260"/>
      <c r="AB14" s="1260"/>
      <c r="AC14" s="1261"/>
      <c r="AD14" s="2731"/>
      <c r="AE14" s="2731"/>
      <c r="AF14" s="2731"/>
      <c r="AG14" s="2731"/>
      <c r="AH14" s="2731"/>
      <c r="AI14" s="2731"/>
      <c r="AJ14" s="2732"/>
    </row>
    <row r="15" spans="1:36" ht="15.75" thickBot="1">
      <c r="A15" s="3331"/>
      <c r="B15" s="2037" t="s">
        <v>2630</v>
      </c>
      <c r="C15" s="185">
        <f>IF(C14="有",1.1,1)</f>
        <v>1</v>
      </c>
      <c r="D15" s="185">
        <f>IF(D14="有",1.1,1)</f>
        <v>1</v>
      </c>
      <c r="E15" s="185">
        <f>IF(E14="有",1.1,1)</f>
        <v>1</v>
      </c>
      <c r="F15" s="185">
        <f>IF(F14="500米范围内",1.2,IF(F14="500-1000米",1.1,1))</f>
        <v>1.1000000000000001</v>
      </c>
      <c r="G15" s="830">
        <v>1</v>
      </c>
      <c r="H15" s="830">
        <v>1</v>
      </c>
      <c r="I15" s="830">
        <v>1</v>
      </c>
      <c r="J15" s="831">
        <v>1</v>
      </c>
      <c r="K15" s="1182"/>
      <c r="L15" s="1986"/>
      <c r="M15" s="1986"/>
      <c r="N15" s="1986"/>
      <c r="O15" s="1986"/>
      <c r="P15" s="1986"/>
      <c r="Q15" s="1182"/>
      <c r="R15" s="1256">
        <v>14</v>
      </c>
      <c r="S15" s="1257"/>
      <c r="T15" s="1256">
        <f t="shared" si="0"/>
        <v>0</v>
      </c>
      <c r="U15" s="1257"/>
      <c r="V15" s="1256">
        <f t="shared" si="1"/>
        <v>0</v>
      </c>
      <c r="W15" s="1260"/>
      <c r="X15" s="1260"/>
      <c r="Y15" s="1260"/>
      <c r="Z15" s="1260"/>
      <c r="AA15" s="1260"/>
      <c r="AB15" s="1260"/>
      <c r="AC15" s="1261"/>
      <c r="AD15" s="2731"/>
      <c r="AE15" s="2731"/>
      <c r="AF15" s="2731"/>
      <c r="AG15" s="2731"/>
      <c r="AH15" s="2731"/>
      <c r="AI15" s="2731"/>
      <c r="AJ15" s="2732"/>
    </row>
    <row r="16" spans="1:36" ht="24.6" customHeight="1">
      <c r="A16" s="3328" t="s">
        <v>2635</v>
      </c>
      <c r="B16" s="2009" t="s">
        <v>2636</v>
      </c>
      <c r="C16" s="2159">
        <f>ROUND(IF(F17="与级别开发程度一致",0,(G17-E17)/C17),0)</f>
        <v>0</v>
      </c>
      <c r="D16" s="3344" t="s">
        <v>2640</v>
      </c>
      <c r="E16" s="3345"/>
      <c r="F16" s="3344" t="s">
        <v>2637</v>
      </c>
      <c r="G16" s="3345"/>
      <c r="H16" s="2038" t="s">
        <v>3202</v>
      </c>
      <c r="I16" s="2038" t="s">
        <v>3203</v>
      </c>
      <c r="J16" s="2163" t="s">
        <v>3204</v>
      </c>
      <c r="K16" s="2038" t="s">
        <v>3205</v>
      </c>
      <c r="L16" s="2038" t="s">
        <v>3206</v>
      </c>
      <c r="M16" s="2038" t="s">
        <v>3207</v>
      </c>
      <c r="N16" s="2038" t="s">
        <v>3213</v>
      </c>
      <c r="O16" s="2039" t="s">
        <v>3214</v>
      </c>
      <c r="P16" s="1986"/>
      <c r="Q16" s="1182"/>
      <c r="R16" s="1256">
        <v>15</v>
      </c>
      <c r="S16" s="1257"/>
      <c r="T16" s="1256">
        <f t="shared" si="0"/>
        <v>0</v>
      </c>
      <c r="U16" s="1257"/>
      <c r="V16" s="1256">
        <f t="shared" si="1"/>
        <v>0</v>
      </c>
      <c r="W16" s="1260"/>
      <c r="X16" s="1260"/>
      <c r="Y16" s="1260"/>
      <c r="Z16" s="1260"/>
      <c r="AA16" s="1260"/>
      <c r="AB16" s="1260"/>
      <c r="AC16" s="1261"/>
      <c r="AD16" s="2731"/>
      <c r="AE16" s="2731"/>
      <c r="AF16" s="2731"/>
      <c r="AG16" s="2731"/>
      <c r="AH16" s="2731"/>
      <c r="AI16" s="2731"/>
      <c r="AJ16" s="2732"/>
    </row>
    <row r="17" spans="1:37" ht="26.25" thickBot="1">
      <c r="A17" s="3332"/>
      <c r="B17" s="2170" t="s">
        <v>2639</v>
      </c>
      <c r="C17" s="2171">
        <f>SUMPRODUCT((修正!A2:A5=E2)*(修正!B1:M1=G2)*(修正!B2:M5))</f>
        <v>2.5</v>
      </c>
      <c r="D17" s="185" t="str">
        <f>IF(OR(G2="八级",G2="九级",G2="十级",G2="十一级",G2="十二级"),"五通一平","七通一平")</f>
        <v>七通一平</v>
      </c>
      <c r="E17" s="2160">
        <f>SUMPRODUCT((修正!B1:M1=G2)*(修正!B15:M15))</f>
        <v>300</v>
      </c>
      <c r="F17" s="2161" t="s">
        <v>3289</v>
      </c>
      <c r="G17" s="2162">
        <f>SUM(H17:O17)</f>
        <v>300</v>
      </c>
      <c r="H17" s="2171">
        <f>SUMPRODUCT((七通一平=H16)*(修正!B1:M1=G2)*(修正!B6:M14))</f>
        <v>65</v>
      </c>
      <c r="I17" s="2171">
        <f>SUMPRODUCT((七通一平=I16)*(修正!B1:M1=G2)*(修正!B6:M14))</f>
        <v>55</v>
      </c>
      <c r="J17" s="2172">
        <f>SUMPRODUCT((七通一平=J16)*(修正!B1:M1=G2)*(修正!B6:M14))</f>
        <v>15</v>
      </c>
      <c r="K17" s="2171">
        <f>SUMPRODUCT((七通一平=K16)*(修正!B1:M1=G2)*(修正!B6:M14))</f>
        <v>25</v>
      </c>
      <c r="L17" s="2171">
        <f>SUMPRODUCT((七通一平=L16)*(修正!B1:M1=G2)*(修正!B6:M14))</f>
        <v>35</v>
      </c>
      <c r="M17" s="2171">
        <f>SUMPRODUCT((七通一平=M16)*(修正!B1:M1=G2)*(修正!B6:M14))</f>
        <v>15</v>
      </c>
      <c r="N17" s="2171">
        <f>SUMPRODUCT((七通一平=N16)*(修正!B1:M1=G2)*(修正!B6:M14))</f>
        <v>50</v>
      </c>
      <c r="O17" s="2173">
        <f>SUMPRODUCT((七通一平=O16)*(修正!B1:M1=G2)*(修正!B6:M14))</f>
        <v>40</v>
      </c>
      <c r="P17" s="1986"/>
      <c r="Q17" s="1182"/>
      <c r="R17" s="1182"/>
      <c r="S17" s="1182"/>
      <c r="T17" s="1182"/>
      <c r="U17" s="1182"/>
      <c r="V17" s="1182"/>
      <c r="W17" s="1182"/>
      <c r="X17" s="1182"/>
      <c r="Y17" s="1182"/>
      <c r="Z17" s="1183"/>
      <c r="AA17" s="1183"/>
      <c r="AB17" s="1183"/>
      <c r="AC17" s="1183"/>
      <c r="AD17" s="1183"/>
      <c r="AE17" s="1182"/>
      <c r="AF17" s="1182"/>
      <c r="AG17" s="1986"/>
      <c r="AH17" s="1986"/>
      <c r="AI17" s="1986"/>
      <c r="AJ17" s="1986"/>
    </row>
    <row r="18" spans="1:37" s="2002" customFormat="1" ht="15.75" thickBot="1">
      <c r="A18" s="2164" t="s">
        <v>808</v>
      </c>
      <c r="B18" s="2165" t="s">
        <v>2642</v>
      </c>
      <c r="C18" s="2166">
        <f>SUMIF(修正!C18:C39,E3,修正!E18:E39)</f>
        <v>1</v>
      </c>
      <c r="D18" s="2167"/>
      <c r="E18" s="2168"/>
      <c r="F18" s="2168"/>
      <c r="G18" s="2168"/>
      <c r="H18" s="2168"/>
      <c r="I18" s="2168"/>
      <c r="J18" s="2169"/>
      <c r="K18" s="1188"/>
      <c r="L18" s="2730"/>
      <c r="M18" s="2730"/>
      <c r="N18" s="2730"/>
      <c r="O18" s="1186"/>
      <c r="P18" s="1186"/>
      <c r="Q18" s="1187"/>
      <c r="R18" s="1187"/>
      <c r="S18" s="1187"/>
      <c r="T18" s="1183"/>
      <c r="U18" s="1183"/>
      <c r="V18" s="1183"/>
      <c r="W18" s="1182"/>
      <c r="X18" s="1182"/>
      <c r="Y18" s="1182"/>
      <c r="Z18" s="1188"/>
      <c r="AA18" s="1188"/>
      <c r="AB18" s="1188"/>
      <c r="AC18" s="1188"/>
      <c r="AD18" s="1188"/>
      <c r="AE18" s="1183"/>
      <c r="AF18" s="1183"/>
      <c r="AG18" s="2131"/>
      <c r="AH18" s="2131"/>
      <c r="AI18" s="2131"/>
      <c r="AJ18" s="2730"/>
    </row>
    <row r="19" spans="1:37" s="2002" customFormat="1" ht="29.25" thickBot="1">
      <c r="A19" s="2042" t="s">
        <v>809</v>
      </c>
      <c r="B19" s="2043" t="s">
        <v>2643</v>
      </c>
      <c r="C19" s="814">
        <f>ROUND(IF(H19="按公示增长率计算",SUMPRODUCT((地价!A3:A36=YEAR(G19)&amp;"-"&amp;ROUNDUP(MONTH(G19)/3,0))*(地价!X2:AB2=E2)*(地价!X3:AB36)),IF(H19="地价指数",M20/M19,(1+I19)^O19)),4)</f>
        <v>1</v>
      </c>
      <c r="D19" s="2047" t="s">
        <v>2644</v>
      </c>
      <c r="E19" s="815">
        <v>41640</v>
      </c>
      <c r="F19" s="2047" t="s">
        <v>2645</v>
      </c>
      <c r="G19" s="816">
        <f>'数据-取费表'!B2</f>
        <v>41685</v>
      </c>
      <c r="H19" s="2048" t="s">
        <v>3208</v>
      </c>
      <c r="I19" s="817" t="str">
        <f>IF(H19="季度增幅（自定义）",SUMIF(N21:N24,E2,O21:O24),"")</f>
        <v/>
      </c>
      <c r="J19" s="2045"/>
      <c r="K19" s="1188"/>
      <c r="L19" s="2049" t="s">
        <v>2646</v>
      </c>
      <c r="M19" s="1372">
        <f>ROUND(SUMIF(地价!B2:F2,E2,地价!B36:F36),0)</f>
        <v>423</v>
      </c>
      <c r="N19" s="2050" t="s">
        <v>2647</v>
      </c>
      <c r="O19" s="818">
        <f>ROUNDDOWN(DATEDIF(E19,G19,"M")/3,0)</f>
        <v>0</v>
      </c>
      <c r="P19" s="1183"/>
      <c r="Q19" s="1187"/>
      <c r="R19" s="1187"/>
      <c r="S19" s="1187"/>
      <c r="T19" s="1183"/>
      <c r="U19" s="1183"/>
      <c r="V19" s="1183"/>
      <c r="W19" s="1182"/>
      <c r="X19" s="1182"/>
      <c r="Y19" s="1182"/>
      <c r="Z19" s="1188"/>
      <c r="AA19" s="1188"/>
      <c r="AB19" s="1188"/>
      <c r="AC19" s="1188"/>
      <c r="AD19" s="1188"/>
      <c r="AE19" s="1188"/>
      <c r="AF19" s="1187"/>
      <c r="AG19" s="2733"/>
      <c r="AH19" s="2131"/>
      <c r="AI19" s="569"/>
      <c r="AJ19" s="569"/>
      <c r="AK19" s="2051"/>
    </row>
    <row r="20" spans="1:37" s="2002" customFormat="1" ht="27.75" thickBot="1">
      <c r="A20" s="2052" t="s">
        <v>810</v>
      </c>
      <c r="B20" s="2053" t="s">
        <v>2648</v>
      </c>
      <c r="C20" s="819">
        <f>ROUND(POWER(1+G20,J20-I20)*(POWER(1+G20,I20)-1)/(POWER(1+G20,J20)-1),4)</f>
        <v>0.93700000000000006</v>
      </c>
      <c r="D20" s="795" t="s">
        <v>2649</v>
      </c>
      <c r="E20" s="1379">
        <f>存贷款利率!E18/100</f>
        <v>4.3499999999999997E-2</v>
      </c>
      <c r="F20" s="795" t="s">
        <v>2641</v>
      </c>
      <c r="G20" s="823">
        <f>SUMIF(M26:P26,E2,M28:P28)</f>
        <v>0.05</v>
      </c>
      <c r="H20" s="795" t="s">
        <v>2650</v>
      </c>
      <c r="I20" s="824">
        <f>项目基本情况!F16</f>
        <v>48.5</v>
      </c>
      <c r="J20" s="825">
        <f>IF(E2="住宅",70,IF(E2="商业",40,50))</f>
        <v>70</v>
      </c>
      <c r="K20" s="1188"/>
      <c r="L20" s="2054" t="s">
        <v>2651</v>
      </c>
      <c r="M20" s="1373">
        <f>ROUND(SUMPRODUCT((地价!A4:A36=YEAR(G19)&amp;"-"&amp;ROUNDUP(MONTH(G19)/3,0))*(地价!B2:F2=E2)*(地价!B4:F36)),0)</f>
        <v>423</v>
      </c>
      <c r="N20" s="2055" t="s">
        <v>2652</v>
      </c>
      <c r="O20" s="2056" t="s">
        <v>2653</v>
      </c>
      <c r="P20" s="2057" t="s">
        <v>2654</v>
      </c>
      <c r="Q20" s="2730"/>
      <c r="R20" s="1187"/>
      <c r="S20" s="1187"/>
      <c r="T20" s="1183"/>
      <c r="U20" s="1183"/>
      <c r="V20" s="1183"/>
      <c r="W20" s="1182"/>
      <c r="X20" s="1182"/>
      <c r="Y20" s="1182"/>
      <c r="Z20" s="1188"/>
      <c r="AA20" s="1188"/>
      <c r="AB20" s="1188"/>
      <c r="AC20" s="1188"/>
      <c r="AD20" s="1188"/>
      <c r="AE20" s="1188"/>
      <c r="AF20" s="1188"/>
      <c r="AG20" s="2730"/>
      <c r="AH20" s="2730"/>
      <c r="AI20" s="2730"/>
      <c r="AJ20" s="2730"/>
    </row>
    <row r="21" spans="1:37" s="2002" customFormat="1" ht="15">
      <c r="A21" s="2058" t="s">
        <v>811</v>
      </c>
      <c r="B21" s="2059" t="s">
        <v>3480</v>
      </c>
      <c r="C21" s="469">
        <f>IF(B21="容积率修正",IF(G3&lt;=10,D22,J22),C23)</f>
        <v>1</v>
      </c>
      <c r="D21" s="2060"/>
      <c r="E21" s="2060"/>
      <c r="F21" s="2060"/>
      <c r="G21" s="2060"/>
      <c r="H21" s="2060"/>
      <c r="I21" s="2060"/>
      <c r="J21" s="2061"/>
      <c r="K21" s="1188"/>
      <c r="L21" s="2730"/>
      <c r="M21" s="2730"/>
      <c r="N21" s="2062" t="s">
        <v>2655</v>
      </c>
      <c r="O21" s="1220"/>
      <c r="P21" s="1221">
        <f>SUMPRODUCT((地价!A3:A36=YEAR(G19)&amp;"-"&amp;ROUNDUP(MONTH(G19)/3,0))*(地价!AD2:AH2=N21)*(地价!AD3:AH36))</f>
        <v>2.3399999999999997E-2</v>
      </c>
      <c r="Q21" s="2730"/>
      <c r="R21" s="1187"/>
      <c r="S21" s="1187"/>
      <c r="T21" s="1183"/>
      <c r="U21" s="1183"/>
      <c r="V21" s="1183"/>
      <c r="W21" s="1182"/>
      <c r="X21" s="1182"/>
      <c r="Y21" s="1182"/>
      <c r="Z21" s="1188"/>
      <c r="AA21" s="1188"/>
      <c r="AB21" s="1188"/>
      <c r="AC21" s="1188"/>
      <c r="AD21" s="1188"/>
      <c r="AE21" s="1188"/>
      <c r="AF21" s="1188"/>
      <c r="AG21" s="2730"/>
      <c r="AH21" s="2730"/>
      <c r="AI21" s="2730"/>
      <c r="AJ21" s="2730"/>
    </row>
    <row r="22" spans="1:37" s="2002" customFormat="1" ht="14.25">
      <c r="A22" s="1948" t="s">
        <v>2656</v>
      </c>
      <c r="B22" s="2063" t="s">
        <v>2657</v>
      </c>
      <c r="C22" s="1407" t="s">
        <v>2658</v>
      </c>
      <c r="D22" s="1407">
        <f>IF(E22=G22,F22,IF(G3&lt;=10,ROUND(F22+(H22-F22)*(G3-E22)/(G22-E22),4),"——"))</f>
        <v>1</v>
      </c>
      <c r="E22" s="806">
        <f>ROUNDDOWN(G3,1)</f>
        <v>2.5</v>
      </c>
      <c r="F22" s="14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06">
        <f>ROUNDUP(G3,1)</f>
        <v>2.5</v>
      </c>
      <c r="H22" s="14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07" t="s">
        <v>155</v>
      </c>
      <c r="J22" s="382" t="str">
        <f>IF(G3&gt;10,D113,"——")</f>
        <v>——</v>
      </c>
      <c r="K22" s="1188"/>
      <c r="L22" s="2730"/>
      <c r="M22" s="2730"/>
      <c r="N22" s="2062" t="s">
        <v>2659</v>
      </c>
      <c r="O22" s="1220"/>
      <c r="P22" s="1221">
        <f>SUMPRODUCT((地价!A3:A36=YEAR(G19)&amp;"-"&amp;ROUNDUP(MONTH(G19)/3,0))*(地价!AD2:AH2=N22)*(地价!AD3:AH36))</f>
        <v>2.3399999999999997E-2</v>
      </c>
      <c r="Q22" s="2730"/>
      <c r="R22" s="1187"/>
      <c r="S22" s="1187"/>
      <c r="T22" s="1183"/>
      <c r="U22" s="1183"/>
      <c r="V22" s="1183"/>
      <c r="W22" s="1182"/>
      <c r="X22" s="1182"/>
      <c r="Y22" s="1182"/>
      <c r="Z22" s="1188"/>
      <c r="AA22" s="1188"/>
      <c r="AB22" s="1188"/>
      <c r="AC22" s="1188"/>
      <c r="AD22" s="1188"/>
      <c r="AE22" s="1188"/>
      <c r="AF22" s="1188"/>
      <c r="AG22" s="2730"/>
      <c r="AH22" s="2730"/>
      <c r="AI22" s="2730"/>
      <c r="AJ22" s="2730"/>
    </row>
    <row r="23" spans="1:37" ht="27.75" thickBot="1">
      <c r="A23" s="1948" t="s">
        <v>2660</v>
      </c>
      <c r="B23" s="2064" t="s">
        <v>2661</v>
      </c>
      <c r="C23" s="893">
        <f>ROUND(IF(G3&gt;1,IF(I3&lt;7,SUMPRODUCT((B93:B98=I3)*(C92:N92=G2)*(C93:N98)),SUMIF(C92:N92,G2,C100:N100)),IF(I3&lt;7,SUMPRODUCT((B102:B107=I3)*(C92:N92=G2)*(C102:N107)),SUMIF(C92:N92,G2,C109:N109))),4)</f>
        <v>0</v>
      </c>
      <c r="D23" s="1984"/>
      <c r="E23" s="1984"/>
      <c r="F23" s="2065"/>
      <c r="G23" s="2066"/>
      <c r="H23" s="2067"/>
      <c r="I23" s="2068"/>
      <c r="J23" s="2069"/>
      <c r="K23" s="1182"/>
      <c r="L23" s="1986"/>
      <c r="M23" s="1986"/>
      <c r="N23" s="2062" t="s">
        <v>2662</v>
      </c>
      <c r="O23" s="1220"/>
      <c r="P23" s="1221">
        <f>SUMPRODUCT((地价!A3:A36=YEAR(G19)&amp;"-"&amp;ROUNDUP(MONTH(G19)/3,0))*(地价!AD2:AH2=N23)*(地价!AD3:AH36))</f>
        <v>3.2799999999999996E-2</v>
      </c>
      <c r="Q23" s="1986"/>
      <c r="R23" s="1187"/>
      <c r="S23" s="1187"/>
      <c r="T23" s="1183"/>
      <c r="U23" s="1183"/>
      <c r="V23" s="1183"/>
      <c r="W23" s="1182"/>
      <c r="X23" s="1182"/>
      <c r="Y23" s="1182"/>
      <c r="Z23" s="1188"/>
      <c r="AA23" s="1188"/>
      <c r="AB23" s="1188"/>
      <c r="AC23" s="1188"/>
      <c r="AD23" s="1188"/>
      <c r="AE23" s="1183"/>
      <c r="AF23" s="1183"/>
      <c r="AG23" s="2131"/>
      <c r="AH23" s="2131"/>
      <c r="AI23" s="2131"/>
      <c r="AJ23" s="2131"/>
      <c r="AK23" s="2046"/>
    </row>
    <row r="24" spans="1:37" s="2002" customFormat="1" ht="15.75" thickBot="1">
      <c r="A24" s="2052" t="s">
        <v>812</v>
      </c>
      <c r="B24" s="2043" t="s">
        <v>2663</v>
      </c>
      <c r="C24" s="814">
        <f>SUMIF(A45:A88,E2,B45:B88)</f>
        <v>1.054</v>
      </c>
      <c r="D24" s="2044"/>
      <c r="E24" s="2070"/>
      <c r="F24" s="2070"/>
      <c r="G24" s="2070"/>
      <c r="H24" s="2070"/>
      <c r="I24" s="2070"/>
      <c r="J24" s="2071"/>
      <c r="K24" s="1188"/>
      <c r="L24" s="2730"/>
      <c r="M24" s="2730"/>
      <c r="N24" s="2072" t="s">
        <v>2664</v>
      </c>
      <c r="O24" s="1222"/>
      <c r="P24" s="1223">
        <f>SUMPRODUCT((地价!A3:A36=YEAR(G19)&amp;"-"&amp;ROUNDUP(MONTH(G19)/3,0))*(地价!AD2:AH2=N24)*(地价!AD3:AH36))</f>
        <v>1.3600000000000001E-2</v>
      </c>
      <c r="Q24" s="2730"/>
      <c r="R24" s="1187"/>
      <c r="S24" s="1187"/>
      <c r="T24" s="1183"/>
      <c r="U24" s="1183"/>
      <c r="V24" s="1183"/>
      <c r="W24" s="1182"/>
      <c r="X24" s="1182"/>
      <c r="Y24" s="1182"/>
      <c r="Z24" s="1188"/>
      <c r="AA24" s="1188"/>
      <c r="AB24" s="1188"/>
      <c r="AC24" s="1188"/>
      <c r="AD24" s="1188"/>
      <c r="AE24" s="1188"/>
      <c r="AF24" s="1188"/>
      <c r="AG24" s="2730"/>
      <c r="AH24" s="2730"/>
      <c r="AI24" s="2730"/>
      <c r="AJ24" s="2730"/>
    </row>
    <row r="25" spans="1:37" ht="15.75" thickBot="1">
      <c r="A25" s="2052" t="s">
        <v>813</v>
      </c>
      <c r="B25" s="2073" t="s">
        <v>2665</v>
      </c>
      <c r="C25" s="820"/>
      <c r="D25" s="2012"/>
      <c r="E25" s="2012"/>
      <c r="F25" s="2074"/>
      <c r="G25" s="2012"/>
      <c r="H25" s="2012"/>
      <c r="I25" s="2012"/>
      <c r="J25" s="2013"/>
      <c r="K25" s="1182"/>
      <c r="L25" s="1986"/>
      <c r="M25" s="1986"/>
      <c r="N25" s="2725" t="s">
        <v>2666</v>
      </c>
      <c r="O25" s="2726"/>
      <c r="P25" s="2727">
        <f>SUMPRODUCT((地价!A3:A36=YEAR(G19)&amp;"-"&amp;ROUNDUP(MONTH(G19)/3,0))*(地价!AD2:AH2=N25)*(地价!AD3:AH36))</f>
        <v>2.9700000000000001E-2</v>
      </c>
      <c r="Q25" s="1986"/>
      <c r="R25" s="1187"/>
      <c r="S25" s="1187"/>
      <c r="T25" s="1183"/>
      <c r="U25" s="1183"/>
      <c r="V25" s="1183"/>
      <c r="W25" s="1182"/>
      <c r="X25" s="1182"/>
      <c r="Y25" s="1182"/>
      <c r="Z25" s="1188"/>
      <c r="AA25" s="1188"/>
      <c r="AB25" s="1188"/>
      <c r="AC25" s="1188"/>
      <c r="AD25" s="1188"/>
      <c r="AE25" s="1183"/>
      <c r="AF25" s="1183"/>
      <c r="AG25" s="2131"/>
      <c r="AH25" s="2131"/>
      <c r="AI25" s="2131"/>
      <c r="AJ25" s="2131"/>
    </row>
    <row r="26" spans="1:37" ht="15">
      <c r="A26" s="2075"/>
      <c r="B26" s="2063" t="s">
        <v>2667</v>
      </c>
      <c r="C26" s="172">
        <f>E29+SUM(E33:E39)</f>
        <v>759784</v>
      </c>
      <c r="D26" s="2076"/>
      <c r="E26" s="1984"/>
      <c r="F26" s="2077"/>
      <c r="G26" s="1984"/>
      <c r="H26" s="1984"/>
      <c r="I26" s="1984"/>
      <c r="J26" s="2078"/>
      <c r="K26" s="1182"/>
      <c r="L26" s="2728" t="s">
        <v>2567</v>
      </c>
      <c r="M26" s="2010" t="s">
        <v>2631</v>
      </c>
      <c r="N26" s="2010" t="s">
        <v>2632</v>
      </c>
      <c r="O26" s="2010" t="s">
        <v>2633</v>
      </c>
      <c r="P26" s="2729" t="s">
        <v>2634</v>
      </c>
      <c r="Q26" s="1986"/>
      <c r="R26" s="1187"/>
      <c r="S26" s="1187"/>
      <c r="T26" s="1183"/>
      <c r="U26" s="1183"/>
      <c r="V26" s="1183"/>
      <c r="W26" s="1182"/>
      <c r="X26" s="1182"/>
      <c r="Y26" s="1182"/>
      <c r="Z26" s="1188"/>
      <c r="AA26" s="1188"/>
      <c r="AB26" s="1188"/>
      <c r="AC26" s="1188"/>
      <c r="AD26" s="1188"/>
      <c r="AE26" s="1183"/>
      <c r="AF26" s="1183"/>
      <c r="AG26" s="2131"/>
      <c r="AH26" s="2131"/>
      <c r="AI26" s="2131"/>
      <c r="AJ26" s="2131"/>
    </row>
    <row r="27" spans="1:37" ht="15.75" thickBot="1">
      <c r="A27" s="2075"/>
      <c r="B27" s="2079" t="s">
        <v>2668</v>
      </c>
      <c r="C27" s="821">
        <f>E30+SUM(I33:I39)</f>
        <v>19</v>
      </c>
      <c r="D27" s="2080"/>
      <c r="E27" s="2081"/>
      <c r="F27" s="2082"/>
      <c r="G27" s="2081"/>
      <c r="H27" s="2081"/>
      <c r="I27" s="2081"/>
      <c r="J27" s="2083"/>
      <c r="K27" s="1182"/>
      <c r="L27" s="799" t="s">
        <v>2638</v>
      </c>
      <c r="M27" s="812">
        <v>0.25</v>
      </c>
      <c r="N27" s="812">
        <v>0.2</v>
      </c>
      <c r="O27" s="812">
        <v>0.15</v>
      </c>
      <c r="P27" s="1181">
        <v>0.1</v>
      </c>
      <c r="Q27" s="1187"/>
      <c r="R27" s="1187"/>
      <c r="S27" s="1187"/>
      <c r="T27" s="1183"/>
      <c r="U27" s="1183"/>
      <c r="V27" s="1183"/>
      <c r="W27" s="1182"/>
      <c r="X27" s="1182"/>
      <c r="Y27" s="1182"/>
      <c r="Z27" s="1188"/>
      <c r="AA27" s="1188"/>
      <c r="AB27" s="1188"/>
      <c r="AC27" s="1188"/>
      <c r="AD27" s="1188"/>
      <c r="AE27" s="1183"/>
      <c r="AF27" s="1183"/>
      <c r="AG27" s="2131"/>
      <c r="AH27" s="2131"/>
      <c r="AI27" s="2131"/>
      <c r="AJ27" s="2131"/>
    </row>
    <row r="28" spans="1:37" ht="15.75" thickBot="1">
      <c r="A28" s="2084"/>
      <c r="B28" s="2085" t="s">
        <v>2669</v>
      </c>
      <c r="C28" s="2086" t="s">
        <v>2670</v>
      </c>
      <c r="D28" s="2086" t="s">
        <v>2671</v>
      </c>
      <c r="E28" s="2087" t="s">
        <v>2672</v>
      </c>
      <c r="F28" s="2088"/>
      <c r="G28" s="2024"/>
      <c r="H28" s="2024"/>
      <c r="I28" s="2024"/>
      <c r="J28" s="2025"/>
      <c r="K28" s="1182"/>
      <c r="L28" s="2040" t="s">
        <v>2641</v>
      </c>
      <c r="M28" s="175">
        <f>ROUND($E$20*(1+M27),3)</f>
        <v>5.3999999999999999E-2</v>
      </c>
      <c r="N28" s="175">
        <f>ROUND($E$20*(1+N27),3)</f>
        <v>5.1999999999999998E-2</v>
      </c>
      <c r="O28" s="175">
        <f>ROUND($E$20*(1+O27),3)</f>
        <v>0.05</v>
      </c>
      <c r="P28" s="1185">
        <f>ROUND($E$20*(1+P27),3)</f>
        <v>4.8000000000000001E-2</v>
      </c>
      <c r="Q28" s="1187"/>
      <c r="R28" s="1187"/>
      <c r="S28" s="1187"/>
      <c r="T28" s="1183"/>
      <c r="U28" s="1183"/>
      <c r="V28" s="1183"/>
      <c r="W28" s="1182"/>
      <c r="X28" s="1182"/>
      <c r="Y28" s="1182"/>
      <c r="Z28" s="1188"/>
      <c r="AA28" s="1188"/>
      <c r="AB28" s="1188"/>
      <c r="AC28" s="1188"/>
      <c r="AD28" s="1188"/>
      <c r="AE28" s="1183"/>
      <c r="AF28" s="1183"/>
      <c r="AG28" s="2131"/>
      <c r="AH28" s="2131"/>
      <c r="AI28" s="2131"/>
      <c r="AJ28" s="2131"/>
    </row>
    <row r="29" spans="1:37" ht="22.5" customHeight="1">
      <c r="A29" s="2089"/>
      <c r="B29" s="2090" t="s">
        <v>2673</v>
      </c>
      <c r="C29" s="172">
        <f>ROUND(C5*C18*C19*C20*C21*C24,0)</f>
        <v>10929</v>
      </c>
      <c r="D29" s="2091">
        <f>'数据-基础表'!I13</f>
        <v>69.52</v>
      </c>
      <c r="E29" s="826">
        <f>ROUND(C29*D29,0)</f>
        <v>759784</v>
      </c>
      <c r="F29" s="2092" t="s">
        <v>2674</v>
      </c>
      <c r="G29" s="2093"/>
      <c r="H29" s="2093"/>
      <c r="I29" s="2093"/>
      <c r="J29" s="2094"/>
      <c r="K29" s="1182"/>
      <c r="L29" s="1182"/>
      <c r="M29" s="1182"/>
      <c r="N29" s="1182"/>
      <c r="O29" s="1186"/>
      <c r="P29" s="1186"/>
      <c r="Q29" s="1187"/>
      <c r="R29" s="1187"/>
      <c r="S29" s="1187"/>
      <c r="T29" s="1183"/>
      <c r="U29" s="1183"/>
      <c r="V29" s="1183"/>
      <c r="W29" s="1182"/>
      <c r="X29" s="1182"/>
      <c r="Y29" s="1182"/>
      <c r="Z29" s="1188"/>
      <c r="AA29" s="1188"/>
      <c r="AB29" s="1188"/>
      <c r="AC29" s="1188"/>
      <c r="AD29" s="1188"/>
      <c r="AE29" s="1182"/>
      <c r="AF29" s="1182"/>
      <c r="AG29" s="1986"/>
      <c r="AH29" s="1986"/>
      <c r="AI29" s="1986"/>
      <c r="AJ29" s="1986"/>
    </row>
    <row r="30" spans="1:37" ht="25.5" thickBot="1">
      <c r="A30" s="2095"/>
      <c r="B30" s="2096" t="s">
        <v>2675</v>
      </c>
      <c r="C30" s="185">
        <f>ROUND(IF(E2="工业",C29*M39,C29*M38),0)</f>
        <v>2732</v>
      </c>
      <c r="D30" s="2097">
        <f>D29</f>
        <v>69.52</v>
      </c>
      <c r="E30" s="826">
        <f>ROUND(C30*D30/10000,0)</f>
        <v>19</v>
      </c>
      <c r="F30" s="2098" t="s">
        <v>2676</v>
      </c>
      <c r="G30" s="2099"/>
      <c r="H30" s="2099"/>
      <c r="I30" s="2099"/>
      <c r="J30" s="2100"/>
      <c r="K30" s="1182"/>
      <c r="L30" s="1182"/>
      <c r="M30" s="1182"/>
      <c r="N30" s="1182"/>
      <c r="O30" s="1186"/>
      <c r="P30" s="1186"/>
      <c r="Q30" s="1187"/>
      <c r="R30" s="1187"/>
      <c r="S30" s="1187"/>
      <c r="T30" s="1183"/>
      <c r="U30" s="1183"/>
      <c r="V30" s="1183"/>
      <c r="W30" s="1182"/>
      <c r="X30" s="1182"/>
      <c r="Y30" s="1182"/>
      <c r="Z30" s="1188"/>
      <c r="AA30" s="1188"/>
      <c r="AB30" s="1188"/>
      <c r="AC30" s="1188"/>
      <c r="AD30" s="1188"/>
      <c r="AE30" s="1182"/>
      <c r="AF30" s="1182"/>
      <c r="AG30" s="1986"/>
      <c r="AH30" s="1986"/>
      <c r="AI30" s="1986"/>
      <c r="AJ30" s="1986"/>
    </row>
    <row r="31" spans="1:37" ht="14.25">
      <c r="A31" s="2101"/>
      <c r="B31" s="2102" t="s">
        <v>2677</v>
      </c>
      <c r="C31" s="2103" t="s">
        <v>2678</v>
      </c>
      <c r="D31" s="2024"/>
      <c r="E31" s="2103"/>
      <c r="F31" s="2103"/>
      <c r="G31" s="2022" t="s">
        <v>2679</v>
      </c>
      <c r="H31" s="2024"/>
      <c r="I31" s="2104"/>
      <c r="J31" s="2025"/>
      <c r="K31" s="1182"/>
      <c r="L31" s="1182"/>
      <c r="M31" s="1182"/>
      <c r="N31" s="1182"/>
      <c r="O31" s="1186"/>
      <c r="P31" s="1186"/>
      <c r="Q31" s="1187"/>
      <c r="R31" s="1187"/>
      <c r="S31" s="1187"/>
      <c r="T31" s="1183"/>
      <c r="U31" s="1183"/>
      <c r="V31" s="1183"/>
      <c r="W31" s="1182"/>
      <c r="X31" s="1182"/>
      <c r="Y31" s="1182"/>
      <c r="Z31" s="1188"/>
      <c r="AA31" s="1188"/>
      <c r="AB31" s="1188"/>
      <c r="AC31" s="1188"/>
      <c r="AD31" s="1188"/>
      <c r="AE31" s="1182"/>
      <c r="AF31" s="1182"/>
      <c r="AG31" s="1986"/>
      <c r="AH31" s="1986"/>
      <c r="AI31" s="1986"/>
      <c r="AJ31" s="1986"/>
    </row>
    <row r="32" spans="1:37" ht="24">
      <c r="A32" s="2089"/>
      <c r="B32" s="2105"/>
      <c r="C32" s="444" t="s">
        <v>2670</v>
      </c>
      <c r="D32" s="441" t="s">
        <v>2671</v>
      </c>
      <c r="E32" s="441" t="s">
        <v>2672</v>
      </c>
      <c r="F32" s="339" t="s">
        <v>2680</v>
      </c>
      <c r="G32" s="2106" t="s">
        <v>2670</v>
      </c>
      <c r="H32" s="2106" t="s">
        <v>2671</v>
      </c>
      <c r="I32" s="2106" t="s">
        <v>2672</v>
      </c>
      <c r="J32" s="241"/>
      <c r="K32" s="1182"/>
      <c r="L32" s="1182"/>
      <c r="M32" s="1182"/>
      <c r="N32" s="1182"/>
      <c r="O32" s="1186"/>
      <c r="P32" s="1186"/>
      <c r="Q32" s="1187"/>
      <c r="R32" s="1187"/>
      <c r="S32" s="1187"/>
      <c r="T32" s="1183"/>
      <c r="U32" s="1183"/>
      <c r="V32" s="1183"/>
      <c r="W32" s="1182"/>
      <c r="X32" s="1182"/>
      <c r="Y32" s="1182"/>
      <c r="Z32" s="1188"/>
      <c r="AA32" s="1188"/>
      <c r="AB32" s="1188"/>
      <c r="AC32" s="1188"/>
      <c r="AD32" s="1188"/>
      <c r="AE32" s="1182"/>
      <c r="AF32" s="1182"/>
      <c r="AG32" s="1986"/>
      <c r="AH32" s="1986"/>
      <c r="AI32" s="1986"/>
      <c r="AJ32" s="1986"/>
    </row>
    <row r="33" spans="1:37" ht="36" customHeight="1">
      <c r="A33" s="3341"/>
      <c r="B33" s="2107" t="s">
        <v>2681</v>
      </c>
      <c r="C33" s="172">
        <f>ROUND(D5*C19*C20*C24*F33,0)</f>
        <v>6955</v>
      </c>
      <c r="D33" s="2091"/>
      <c r="E33" s="168">
        <f>ROUND(C33*D33/10000,0)</f>
        <v>0</v>
      </c>
      <c r="F33" s="168">
        <f>SUMIF(修正!A45:A56,G2,修正!B45:B56)</f>
        <v>0.7</v>
      </c>
      <c r="G33" s="168">
        <f t="shared" ref="G33" si="6">ROUND(IF(E2="工业",C33*$M$39,C33*$M$38),0)</f>
        <v>1739</v>
      </c>
      <c r="H33" s="168">
        <f>D33</f>
        <v>0</v>
      </c>
      <c r="I33" s="168">
        <f>ROUND(G33*H33/10000,0)</f>
        <v>0</v>
      </c>
      <c r="J33" s="3346" t="s">
        <v>2979</v>
      </c>
      <c r="K33" s="1182"/>
      <c r="L33" s="1182"/>
      <c r="M33" s="1182"/>
      <c r="N33" s="1182"/>
      <c r="O33" s="1186"/>
      <c r="P33" s="1186"/>
      <c r="Q33" s="1187"/>
      <c r="R33" s="1187"/>
      <c r="S33" s="1187"/>
      <c r="T33" s="1183"/>
      <c r="U33" s="1183"/>
      <c r="V33" s="1183"/>
      <c r="W33" s="1182"/>
      <c r="X33" s="1182"/>
      <c r="Y33" s="1182"/>
      <c r="Z33" s="1188"/>
      <c r="AA33" s="1188"/>
      <c r="AB33" s="1188"/>
      <c r="AC33" s="1188"/>
      <c r="AD33" s="1188"/>
      <c r="AE33" s="1183"/>
      <c r="AF33" s="1183"/>
      <c r="AG33" s="2131"/>
      <c r="AH33" s="2131"/>
      <c r="AI33" s="2131"/>
      <c r="AJ33" s="2131"/>
    </row>
    <row r="34" spans="1:37" ht="14.25">
      <c r="A34" s="3342"/>
      <c r="B34" s="2027" t="s">
        <v>2682</v>
      </c>
      <c r="C34" s="172">
        <f>ROUND(D5*C19*C20*C24*F34,0)</f>
        <v>3974</v>
      </c>
      <c r="D34" s="2091"/>
      <c r="E34" s="168">
        <f t="shared" ref="E34:E39" si="7">ROUND(C34*D34/10000,0)</f>
        <v>0</v>
      </c>
      <c r="F34" s="168">
        <f>SUMIF(修正!A45:A56,G2,修正!C45:C56)</f>
        <v>0.4</v>
      </c>
      <c r="G34" s="168">
        <f>ROUND(IF(E2="工业",C34*$M$39,C34*$M$38),0)</f>
        <v>994</v>
      </c>
      <c r="H34" s="168">
        <f t="shared" ref="H34:H39" si="8">D34</f>
        <v>0</v>
      </c>
      <c r="I34" s="168">
        <f t="shared" ref="I34:I39" si="9">ROUND(G34*H34/10000,0)</f>
        <v>0</v>
      </c>
      <c r="J34" s="3342"/>
      <c r="K34" s="1182"/>
      <c r="L34" s="1182"/>
      <c r="M34" s="1182"/>
      <c r="N34" s="1182"/>
      <c r="O34" s="1186"/>
      <c r="P34" s="1186"/>
      <c r="Q34" s="1187"/>
      <c r="R34" s="1187"/>
      <c r="S34" s="1187"/>
      <c r="T34" s="1183"/>
      <c r="U34" s="1183"/>
      <c r="V34" s="1183"/>
      <c r="W34" s="1182"/>
      <c r="X34" s="1182"/>
      <c r="Y34" s="1182"/>
      <c r="Z34" s="1188"/>
      <c r="AA34" s="1188"/>
      <c r="AB34" s="1188"/>
      <c r="AC34" s="1188"/>
      <c r="AD34" s="1188"/>
      <c r="AE34" s="1183"/>
      <c r="AF34" s="1183"/>
      <c r="AG34" s="2131"/>
      <c r="AH34" s="2131"/>
      <c r="AI34" s="2131"/>
      <c r="AJ34" s="2131"/>
    </row>
    <row r="35" spans="1:37">
      <c r="A35" s="3342"/>
      <c r="B35" s="2027" t="s">
        <v>2683</v>
      </c>
      <c r="C35" s="172">
        <f>ROUND(D5*C19*C20*C24*F35,0)</f>
        <v>2782</v>
      </c>
      <c r="D35" s="2091"/>
      <c r="E35" s="168">
        <f t="shared" si="7"/>
        <v>0</v>
      </c>
      <c r="F35" s="168">
        <f>SUMIF(修正!A45:A56,G2,修正!D45:D56)</f>
        <v>0.28000000000000003</v>
      </c>
      <c r="G35" s="168">
        <f>ROUND(IF(E2="工业",C35*$M$39,C35*$M$38),0)</f>
        <v>696</v>
      </c>
      <c r="H35" s="168">
        <f t="shared" si="8"/>
        <v>0</v>
      </c>
      <c r="I35" s="168">
        <f t="shared" si="9"/>
        <v>0</v>
      </c>
      <c r="J35" s="3342"/>
      <c r="K35" s="1182"/>
      <c r="L35" s="1182"/>
      <c r="M35" s="1182"/>
      <c r="N35" s="1182"/>
      <c r="O35" s="1182"/>
      <c r="P35" s="1182"/>
      <c r="Q35" s="1182"/>
      <c r="R35" s="1182"/>
      <c r="S35" s="1182"/>
      <c r="T35" s="1182"/>
      <c r="U35" s="1182"/>
      <c r="V35" s="1182"/>
      <c r="W35" s="1182"/>
      <c r="X35" s="1182"/>
      <c r="Y35" s="1182"/>
      <c r="Z35" s="1183"/>
      <c r="AA35" s="1183"/>
      <c r="AB35" s="1183"/>
      <c r="AC35" s="1183"/>
      <c r="AD35" s="1183"/>
      <c r="AE35" s="1183"/>
      <c r="AF35" s="1183"/>
      <c r="AG35" s="2131"/>
      <c r="AH35" s="2131"/>
      <c r="AI35" s="2131"/>
      <c r="AJ35" s="2131"/>
    </row>
    <row r="36" spans="1:37" ht="13.5" thickBot="1">
      <c r="A36" s="3343"/>
      <c r="B36" s="2027" t="s">
        <v>2684</v>
      </c>
      <c r="C36" s="172">
        <f>ROUND(D5*C19*C20*C24*F36,0)</f>
        <v>2484</v>
      </c>
      <c r="D36" s="2091"/>
      <c r="E36" s="168">
        <f t="shared" si="7"/>
        <v>0</v>
      </c>
      <c r="F36" s="168">
        <f>SUMIF(修正!A45:A56,G2,修正!E45:E56)</f>
        <v>0.25</v>
      </c>
      <c r="G36" s="168">
        <f>ROUND(IF(E2="工业",C36*$M$39,C36*$M$38),0)</f>
        <v>621</v>
      </c>
      <c r="H36" s="168">
        <f t="shared" si="8"/>
        <v>0</v>
      </c>
      <c r="I36" s="168">
        <f t="shared" si="9"/>
        <v>0</v>
      </c>
      <c r="J36" s="3343"/>
      <c r="K36" s="1182"/>
      <c r="L36" s="1986"/>
      <c r="M36" s="1986"/>
      <c r="N36" s="1182"/>
      <c r="O36" s="1182"/>
      <c r="P36" s="1182"/>
      <c r="Q36" s="1182"/>
      <c r="R36" s="1182"/>
      <c r="S36" s="1182"/>
      <c r="T36" s="1182"/>
      <c r="U36" s="1182"/>
      <c r="V36" s="1182"/>
      <c r="W36" s="1182"/>
      <c r="X36" s="1182"/>
      <c r="Y36" s="1182"/>
      <c r="Z36" s="1183"/>
      <c r="AA36" s="1183"/>
      <c r="AB36" s="1183"/>
      <c r="AC36" s="1183"/>
      <c r="AD36" s="1183"/>
      <c r="AE36" s="1183"/>
      <c r="AF36" s="1183"/>
      <c r="AG36" s="2131"/>
      <c r="AH36" s="2131"/>
      <c r="AI36" s="2131"/>
      <c r="AJ36" s="2131"/>
    </row>
    <row r="37" spans="1:37">
      <c r="A37" s="2108"/>
      <c r="B37" s="2027" t="s">
        <v>2685</v>
      </c>
      <c r="C37" s="168">
        <f>ROUND(D5*C19*C20*C24*F37,0)</f>
        <v>2484</v>
      </c>
      <c r="D37" s="2091"/>
      <c r="E37" s="168">
        <f t="shared" si="7"/>
        <v>0</v>
      </c>
      <c r="F37" s="172">
        <f>SUMIF(修正!A45:A56,G2,修正!F45:F56)</f>
        <v>0.25</v>
      </c>
      <c r="G37" s="168">
        <f>ROUND(IF(E2="工业",C37*$M$39,C37*$M$38),0)</f>
        <v>621</v>
      </c>
      <c r="H37" s="168">
        <f t="shared" si="8"/>
        <v>0</v>
      </c>
      <c r="I37" s="168">
        <f t="shared" si="9"/>
        <v>0</v>
      </c>
      <c r="J37" s="1062"/>
      <c r="K37" s="1182"/>
      <c r="L37" s="2109" t="s">
        <v>2686</v>
      </c>
      <c r="M37" s="2110"/>
      <c r="N37" s="1182"/>
      <c r="O37" s="1182"/>
      <c r="P37" s="1182"/>
      <c r="Q37" s="1182"/>
      <c r="R37" s="1182"/>
      <c r="S37" s="1182"/>
      <c r="T37" s="1182"/>
      <c r="U37" s="1182"/>
      <c r="V37" s="1182"/>
      <c r="W37" s="1182"/>
      <c r="X37" s="1182"/>
      <c r="Y37" s="1182"/>
      <c r="Z37" s="1183"/>
      <c r="AA37" s="1183"/>
      <c r="AB37" s="1183"/>
      <c r="AC37" s="1183"/>
      <c r="AD37" s="1183"/>
      <c r="AE37" s="1183"/>
      <c r="AF37" s="1183"/>
      <c r="AG37" s="2131"/>
      <c r="AH37" s="2131"/>
      <c r="AI37" s="2131"/>
      <c r="AJ37" s="2131"/>
    </row>
    <row r="38" spans="1:37">
      <c r="A38" s="2108"/>
      <c r="B38" s="2027" t="s">
        <v>2687</v>
      </c>
      <c r="C38" s="168">
        <f>ROUND(D5*C19*C41*C24*F38,0)</f>
        <v>0</v>
      </c>
      <c r="D38" s="2091"/>
      <c r="E38" s="168">
        <f t="shared" si="7"/>
        <v>0</v>
      </c>
      <c r="F38" s="172">
        <f>SUMIF(修正!A45:A56,G2,修正!G45:G56)</f>
        <v>0.25</v>
      </c>
      <c r="G38" s="168">
        <f>ROUND(IF(E2="工业",C38*$M$39,C38*$M$38),0)</f>
        <v>0</v>
      </c>
      <c r="H38" s="168">
        <f t="shared" si="8"/>
        <v>0</v>
      </c>
      <c r="I38" s="168">
        <f t="shared" si="9"/>
        <v>0</v>
      </c>
      <c r="J38" s="1062"/>
      <c r="K38" s="1182"/>
      <c r="L38" s="1472" t="s">
        <v>2688</v>
      </c>
      <c r="M38" s="2111">
        <v>0.25</v>
      </c>
      <c r="N38" s="1182"/>
      <c r="O38" s="1182"/>
      <c r="P38" s="1182"/>
      <c r="Q38" s="1182"/>
      <c r="R38" s="1182"/>
      <c r="S38" s="1182"/>
      <c r="T38" s="1182"/>
      <c r="U38" s="1182"/>
      <c r="V38" s="1182"/>
      <c r="W38" s="1182"/>
      <c r="X38" s="1182"/>
      <c r="Y38" s="1182"/>
      <c r="Z38" s="1183"/>
      <c r="AA38" s="1183"/>
      <c r="AB38" s="1183"/>
      <c r="AC38" s="1183"/>
      <c r="AD38" s="1183"/>
    </row>
    <row r="39" spans="1:37" ht="13.5" thickBot="1">
      <c r="A39" s="2095"/>
      <c r="B39" s="2112" t="s">
        <v>2689</v>
      </c>
      <c r="C39" s="185">
        <f>ROUND(D5*C19*C41*C24*F39,0)</f>
        <v>0</v>
      </c>
      <c r="D39" s="2097"/>
      <c r="E39" s="185">
        <f t="shared" si="7"/>
        <v>0</v>
      </c>
      <c r="F39" s="822">
        <f>SUMIF(修正!A45:A56,G2,修正!H45:H56)</f>
        <v>0.2</v>
      </c>
      <c r="G39" s="185">
        <f>ROUND(IF(E2="工业",C39*$M$39,C39*$M$38),0)</f>
        <v>0</v>
      </c>
      <c r="H39" s="185">
        <f t="shared" si="8"/>
        <v>0</v>
      </c>
      <c r="I39" s="185">
        <f t="shared" si="9"/>
        <v>0</v>
      </c>
      <c r="J39" s="2113"/>
      <c r="K39" s="1182"/>
      <c r="L39" s="2114" t="s">
        <v>2634</v>
      </c>
      <c r="M39" s="2115">
        <v>0.15</v>
      </c>
      <c r="N39" s="1182"/>
      <c r="O39" s="1182"/>
      <c r="P39" s="1182"/>
      <c r="Q39" s="1182"/>
      <c r="R39" s="1182"/>
      <c r="S39" s="1182"/>
      <c r="T39" s="1182"/>
      <c r="U39" s="1182"/>
      <c r="V39" s="1182"/>
      <c r="W39" s="1182"/>
      <c r="X39" s="1182"/>
      <c r="Y39" s="1182"/>
      <c r="Z39" s="1183"/>
      <c r="AA39" s="1183"/>
      <c r="AB39" s="1183"/>
      <c r="AC39" s="1183"/>
      <c r="AD39" s="1183"/>
    </row>
    <row r="40" spans="1:37" s="1182" customFormat="1">
      <c r="Z40" s="1183"/>
      <c r="AA40" s="1183"/>
      <c r="AB40" s="1183"/>
      <c r="AC40" s="1183"/>
      <c r="AD40" s="1183"/>
      <c r="AE40" s="1183"/>
      <c r="AF40" s="1183"/>
      <c r="AG40" s="1183"/>
      <c r="AH40" s="1183"/>
      <c r="AI40" s="1183"/>
      <c r="AJ40" s="1183"/>
    </row>
    <row r="41" spans="1:37" s="1182" customFormat="1">
      <c r="A41" s="1183"/>
      <c r="B41" s="2158" t="s">
        <v>2790</v>
      </c>
      <c r="C41" s="339">
        <f>ROUND(POWER(1+E41,H41-G41)*(POWER(1+E41,G41)-1)/(POWER(1+E41,H41)-1),4)</f>
        <v>0</v>
      </c>
      <c r="D41" s="168" t="s">
        <v>2641</v>
      </c>
      <c r="E41" s="2157">
        <f>G20</f>
        <v>0.05</v>
      </c>
      <c r="F41" s="168" t="s">
        <v>2650</v>
      </c>
      <c r="G41" s="181">
        <v>0</v>
      </c>
      <c r="H41" s="168">
        <v>50</v>
      </c>
      <c r="Z41" s="1183"/>
      <c r="AA41" s="1183"/>
      <c r="AB41" s="1183"/>
      <c r="AC41" s="1183"/>
      <c r="AD41" s="1183"/>
      <c r="AE41" s="1183"/>
      <c r="AF41" s="1183"/>
      <c r="AG41" s="1183"/>
      <c r="AH41" s="1183"/>
      <c r="AI41" s="1183"/>
      <c r="AJ41" s="1183"/>
    </row>
    <row r="42" spans="1:37" s="1182" customFormat="1">
      <c r="A42" s="1183"/>
      <c r="B42" s="2116"/>
      <c r="Z42" s="1183"/>
      <c r="AA42" s="1183"/>
      <c r="AB42" s="1183"/>
      <c r="AC42" s="1183"/>
      <c r="AD42" s="1183"/>
      <c r="AE42" s="1183"/>
      <c r="AF42" s="1183"/>
      <c r="AG42" s="1183"/>
      <c r="AH42" s="1183"/>
      <c r="AI42" s="1183"/>
      <c r="AJ42" s="1183"/>
    </row>
    <row r="43" spans="1:37" s="1182" customFormat="1">
      <c r="A43" s="1183"/>
      <c r="B43" s="2116"/>
      <c r="Z43" s="1183"/>
      <c r="AA43" s="1183"/>
      <c r="AB43" s="1183"/>
      <c r="AC43" s="1183"/>
      <c r="AD43" s="1183"/>
      <c r="AE43" s="1183"/>
      <c r="AF43" s="1183"/>
      <c r="AG43" s="1183"/>
      <c r="AH43" s="1183"/>
      <c r="AI43" s="1183"/>
      <c r="AJ43" s="1183"/>
    </row>
    <row r="44" spans="1:37" s="1182" customFormat="1">
      <c r="A44" s="1183"/>
      <c r="B44" s="2116"/>
      <c r="Z44" s="1183"/>
      <c r="AA44" s="1183"/>
      <c r="AB44" s="1183"/>
      <c r="AC44" s="1183"/>
      <c r="AD44" s="1183"/>
      <c r="AE44" s="1183"/>
      <c r="AF44" s="1183"/>
      <c r="AG44" s="1183"/>
      <c r="AH44" s="1183"/>
      <c r="AI44" s="1183"/>
      <c r="AJ44" s="1183"/>
    </row>
    <row r="45" spans="1:37" s="1182" customFormat="1" ht="15.75" thickBot="1">
      <c r="A45" s="2117" t="s">
        <v>2690</v>
      </c>
      <c r="B45" s="2118"/>
      <c r="C45" s="7"/>
      <c r="D45" s="7"/>
      <c r="E45" s="7"/>
      <c r="F45" s="6"/>
      <c r="G45" s="6"/>
      <c r="H45" s="6"/>
      <c r="I45" s="1825"/>
      <c r="J45" s="1825"/>
      <c r="K45" s="1825"/>
      <c r="L45" s="1825"/>
      <c r="M45" s="1825"/>
      <c r="Z45" s="1183"/>
      <c r="AA45" s="1183"/>
      <c r="AB45" s="1183"/>
      <c r="AC45" s="1183"/>
      <c r="AD45" s="1183"/>
      <c r="AE45" s="1183"/>
      <c r="AF45" s="1183"/>
      <c r="AG45" s="1183"/>
      <c r="AH45" s="1183"/>
      <c r="AI45" s="1183"/>
      <c r="AJ45" s="1183"/>
    </row>
    <row r="46" spans="1:37" s="1182" customFormat="1" ht="15">
      <c r="A46" s="2119" t="s">
        <v>2691</v>
      </c>
      <c r="B46" s="2120">
        <f>1+E48</f>
        <v>1.0681</v>
      </c>
      <c r="C46" s="1870"/>
      <c r="D46" s="709"/>
      <c r="E46" s="710"/>
      <c r="F46" s="2121"/>
      <c r="G46" s="6"/>
      <c r="H46" s="7"/>
      <c r="I46" s="1825"/>
      <c r="J46" s="1825"/>
      <c r="K46" s="1825"/>
      <c r="L46" s="1825"/>
      <c r="M46" s="1825"/>
      <c r="Z46" s="1183"/>
      <c r="AA46" s="1183"/>
      <c r="AB46" s="1183"/>
      <c r="AC46" s="1183"/>
      <c r="AD46" s="1183"/>
      <c r="AE46" s="1183"/>
      <c r="AF46" s="1183"/>
      <c r="AG46" s="1183"/>
      <c r="AH46" s="1183"/>
      <c r="AI46" s="1183"/>
      <c r="AJ46" s="1183"/>
    </row>
    <row r="47" spans="1:37" s="1182" customFormat="1" ht="24.75">
      <c r="A47" s="2122" t="s">
        <v>2692</v>
      </c>
      <c r="B47" s="1406" t="s">
        <v>2693</v>
      </c>
      <c r="C47" s="1406" t="s">
        <v>2694</v>
      </c>
      <c r="D47" s="1406" t="s">
        <v>2695</v>
      </c>
      <c r="E47" s="713" t="s">
        <v>2696</v>
      </c>
      <c r="F47" s="2123" t="s">
        <v>2697</v>
      </c>
      <c r="G47" s="1406" t="s">
        <v>754</v>
      </c>
      <c r="H47" s="800" t="s">
        <v>2698</v>
      </c>
      <c r="I47" s="1406" t="s">
        <v>2699</v>
      </c>
      <c r="J47" s="538" t="s">
        <v>2350</v>
      </c>
      <c r="K47" s="538" t="s">
        <v>2351</v>
      </c>
      <c r="L47" s="538" t="s">
        <v>2352</v>
      </c>
      <c r="M47" s="538" t="s">
        <v>2353</v>
      </c>
      <c r="N47" s="538" t="s">
        <v>2354</v>
      </c>
      <c r="AA47" s="1183"/>
      <c r="AB47" s="1183"/>
      <c r="AC47" s="1183"/>
      <c r="AD47" s="1183"/>
      <c r="AE47" s="1183"/>
      <c r="AF47" s="1183"/>
      <c r="AG47" s="1183"/>
      <c r="AH47" s="1183"/>
      <c r="AI47" s="1183"/>
      <c r="AJ47" s="1183"/>
      <c r="AK47" s="1183"/>
    </row>
    <row r="48" spans="1:37" s="1182" customFormat="1" ht="24.75">
      <c r="A48" s="2122" t="s">
        <v>2700</v>
      </c>
      <c r="B48" s="2124" t="str">
        <f>估价对象房地状况!C4</f>
        <v>好</v>
      </c>
      <c r="C48" s="2032" t="s">
        <v>3215</v>
      </c>
      <c r="D48" s="1126">
        <f t="shared" ref="D48:D56" si="10">SUMIF($J$47:$N$47,C48,J48:N48)</f>
        <v>3.2199999999999999E-2</v>
      </c>
      <c r="E48" s="715">
        <f>ROUND(SUM(D48:D56),4)</f>
        <v>6.8099999999999994E-2</v>
      </c>
      <c r="F48" s="1819" t="str">
        <f>IF(E2="商业",SUMIF(L1:L12,G2,N1:N12),"——")</f>
        <v>——</v>
      </c>
      <c r="G48" s="1124">
        <v>1.61E-2</v>
      </c>
      <c r="H48" s="1128" t="str">
        <f t="shared" ref="H48:H56" si="11">IFERROR(ROUNDDOWN($F$48*I48/2,4),"——")</f>
        <v>——</v>
      </c>
      <c r="I48" s="714">
        <v>0.33</v>
      </c>
      <c r="J48" s="1125">
        <f t="shared" ref="J48:J56" si="12">K48+$G48</f>
        <v>3.2199999999999999E-2</v>
      </c>
      <c r="K48" s="1125">
        <f t="shared" ref="K48:K56" si="13">$L48+$G48</f>
        <v>1.61E-2</v>
      </c>
      <c r="L48" s="1125">
        <v>0</v>
      </c>
      <c r="M48" s="1125">
        <f t="shared" ref="M48:N56" si="14">L48-$G48</f>
        <v>-1.61E-2</v>
      </c>
      <c r="N48" s="1125">
        <f t="shared" si="14"/>
        <v>-3.2199999999999999E-2</v>
      </c>
      <c r="AA48" s="1183"/>
      <c r="AB48" s="1183"/>
      <c r="AC48" s="1183"/>
      <c r="AD48" s="1183"/>
      <c r="AE48" s="1183"/>
      <c r="AF48" s="1183"/>
      <c r="AG48" s="1183"/>
      <c r="AH48" s="1183"/>
      <c r="AI48" s="1183"/>
      <c r="AJ48" s="1183"/>
      <c r="AK48" s="1183"/>
    </row>
    <row r="49" spans="1:37" s="1182" customFormat="1" ht="51">
      <c r="A49" s="2122" t="s">
        <v>2701</v>
      </c>
      <c r="B49" s="1406" t="str">
        <f>估价对象房地状况!C18</f>
        <v>周边有315路、607路、629路等多条公交线路及地铁8号线育新站，综合评价交通便捷度较好</v>
      </c>
      <c r="C49" s="2032" t="s">
        <v>3216</v>
      </c>
      <c r="D49" s="1126">
        <f t="shared" si="10"/>
        <v>1.2200000000000001E-2</v>
      </c>
      <c r="E49" s="716"/>
      <c r="F49" s="1819"/>
      <c r="G49" s="1124">
        <v>1.2200000000000001E-2</v>
      </c>
      <c r="H49" s="1128" t="str">
        <f t="shared" si="11"/>
        <v>——</v>
      </c>
      <c r="I49" s="714">
        <v>0.25</v>
      </c>
      <c r="J49" s="1125">
        <f t="shared" si="12"/>
        <v>2.4400000000000002E-2</v>
      </c>
      <c r="K49" s="1125">
        <f t="shared" si="13"/>
        <v>1.2200000000000001E-2</v>
      </c>
      <c r="L49" s="1125">
        <v>0</v>
      </c>
      <c r="M49" s="1125">
        <f t="shared" si="14"/>
        <v>-1.2200000000000001E-2</v>
      </c>
      <c r="N49" s="1125">
        <f t="shared" si="14"/>
        <v>-2.4400000000000002E-2</v>
      </c>
      <c r="AA49" s="1183"/>
      <c r="AB49" s="1183"/>
      <c r="AC49" s="1183"/>
      <c r="AD49" s="1183"/>
      <c r="AE49" s="1183"/>
      <c r="AF49" s="1183"/>
      <c r="AG49" s="1183"/>
      <c r="AH49" s="1183"/>
      <c r="AI49" s="1183"/>
      <c r="AJ49" s="1183"/>
      <c r="AK49" s="1183"/>
    </row>
    <row r="50" spans="1:37" s="1182" customFormat="1" ht="24">
      <c r="A50" s="2122" t="s">
        <v>2702</v>
      </c>
      <c r="B50" s="1406" t="str">
        <f>估价对象房地状况!C19</f>
        <v>较好</v>
      </c>
      <c r="C50" s="2032" t="s">
        <v>3216</v>
      </c>
      <c r="D50" s="1126">
        <f t="shared" si="10"/>
        <v>2.3999999999999998E-3</v>
      </c>
      <c r="E50" s="716"/>
      <c r="F50" s="1819"/>
      <c r="G50" s="1124">
        <v>2.3999999999999998E-3</v>
      </c>
      <c r="H50" s="1128" t="str">
        <f t="shared" si="11"/>
        <v>——</v>
      </c>
      <c r="I50" s="714">
        <v>0.05</v>
      </c>
      <c r="J50" s="1125">
        <f t="shared" si="12"/>
        <v>4.7999999999999996E-3</v>
      </c>
      <c r="K50" s="1125">
        <f t="shared" si="13"/>
        <v>2.3999999999999998E-3</v>
      </c>
      <c r="L50" s="1125">
        <v>0</v>
      </c>
      <c r="M50" s="1125">
        <f t="shared" si="14"/>
        <v>-2.3999999999999998E-3</v>
      </c>
      <c r="N50" s="1125">
        <f t="shared" si="14"/>
        <v>-4.7999999999999996E-3</v>
      </c>
      <c r="AA50" s="1183"/>
      <c r="AB50" s="1183"/>
      <c r="AC50" s="1183"/>
      <c r="AD50" s="1183"/>
      <c r="AE50" s="1183"/>
      <c r="AF50" s="1183"/>
      <c r="AG50" s="1183"/>
      <c r="AH50" s="1183"/>
      <c r="AI50" s="1183"/>
      <c r="AJ50" s="1183"/>
      <c r="AK50" s="1183"/>
    </row>
    <row r="51" spans="1:37" s="1182" customFormat="1" ht="36.75">
      <c r="A51" s="2122" t="s">
        <v>2703</v>
      </c>
      <c r="B51" s="2125" t="s">
        <v>2704</v>
      </c>
      <c r="C51" s="2032" t="s">
        <v>3216</v>
      </c>
      <c r="D51" s="1126">
        <f t="shared" si="10"/>
        <v>2.3999999999999998E-3</v>
      </c>
      <c r="E51" s="716"/>
      <c r="F51" s="1819"/>
      <c r="G51" s="1124">
        <v>2.3999999999999998E-3</v>
      </c>
      <c r="H51" s="1128" t="str">
        <f t="shared" si="11"/>
        <v>——</v>
      </c>
      <c r="I51" s="714">
        <v>0.05</v>
      </c>
      <c r="J51" s="1125">
        <f t="shared" si="12"/>
        <v>4.7999999999999996E-3</v>
      </c>
      <c r="K51" s="1125">
        <f t="shared" si="13"/>
        <v>2.3999999999999998E-3</v>
      </c>
      <c r="L51" s="1125">
        <v>0</v>
      </c>
      <c r="M51" s="1125">
        <f t="shared" si="14"/>
        <v>-2.3999999999999998E-3</v>
      </c>
      <c r="N51" s="1125">
        <f t="shared" si="14"/>
        <v>-4.7999999999999996E-3</v>
      </c>
      <c r="AA51" s="1183"/>
      <c r="AB51" s="1183"/>
      <c r="AC51" s="1183"/>
      <c r="AD51" s="1183"/>
      <c r="AE51" s="1183"/>
      <c r="AF51" s="1183"/>
      <c r="AG51" s="1183"/>
      <c r="AH51" s="1183"/>
      <c r="AI51" s="1183"/>
      <c r="AJ51" s="1183"/>
      <c r="AK51" s="1183"/>
    </row>
    <row r="52" spans="1:37" s="1182" customFormat="1" ht="25.5">
      <c r="A52" s="2122" t="s">
        <v>2705</v>
      </c>
      <c r="B52" s="1406" t="str">
        <f>估价对象房地状况!C24</f>
        <v>城市次干道——建材城西路</v>
      </c>
      <c r="C52" s="2032" t="s">
        <v>3217</v>
      </c>
      <c r="D52" s="1126">
        <f t="shared" si="10"/>
        <v>0</v>
      </c>
      <c r="E52" s="716"/>
      <c r="F52" s="1819"/>
      <c r="G52" s="1124">
        <v>3.8999999999999998E-3</v>
      </c>
      <c r="H52" s="1128" t="str">
        <f t="shared" si="11"/>
        <v>——</v>
      </c>
      <c r="I52" s="714">
        <v>0.08</v>
      </c>
      <c r="J52" s="1125">
        <f t="shared" si="12"/>
        <v>7.7999999999999996E-3</v>
      </c>
      <c r="K52" s="1125">
        <f t="shared" si="13"/>
        <v>3.8999999999999998E-3</v>
      </c>
      <c r="L52" s="1125">
        <v>0</v>
      </c>
      <c r="M52" s="1125">
        <f t="shared" si="14"/>
        <v>-3.8999999999999998E-3</v>
      </c>
      <c r="N52" s="1125">
        <f t="shared" si="14"/>
        <v>-7.7999999999999996E-3</v>
      </c>
      <c r="AA52" s="1183"/>
      <c r="AB52" s="1183"/>
      <c r="AC52" s="1183"/>
      <c r="AD52" s="1183"/>
      <c r="AE52" s="1183"/>
      <c r="AF52" s="1183"/>
      <c r="AG52" s="1183"/>
      <c r="AH52" s="1183"/>
      <c r="AI52" s="1183"/>
      <c r="AJ52" s="1183"/>
      <c r="AK52" s="1183"/>
    </row>
    <row r="53" spans="1:37" s="1182" customFormat="1" ht="24">
      <c r="A53" s="2122" t="s">
        <v>2706</v>
      </c>
      <c r="B53" s="2126" t="s">
        <v>2707</v>
      </c>
      <c r="C53" s="2032" t="s">
        <v>3216</v>
      </c>
      <c r="D53" s="1126">
        <f t="shared" si="10"/>
        <v>1.4E-3</v>
      </c>
      <c r="E53" s="716"/>
      <c r="F53" s="1819"/>
      <c r="G53" s="1124">
        <v>1.4E-3</v>
      </c>
      <c r="H53" s="1128" t="str">
        <f t="shared" si="11"/>
        <v>——</v>
      </c>
      <c r="I53" s="714">
        <v>0.03</v>
      </c>
      <c r="J53" s="1125">
        <f t="shared" si="12"/>
        <v>2.8E-3</v>
      </c>
      <c r="K53" s="1125">
        <f t="shared" si="13"/>
        <v>1.4E-3</v>
      </c>
      <c r="L53" s="1125">
        <v>0</v>
      </c>
      <c r="M53" s="1125">
        <f t="shared" si="14"/>
        <v>-1.4E-3</v>
      </c>
      <c r="N53" s="1125">
        <f t="shared" si="14"/>
        <v>-2.8E-3</v>
      </c>
      <c r="AA53" s="1183"/>
      <c r="AB53" s="1183"/>
      <c r="AC53" s="1183"/>
      <c r="AD53" s="1183"/>
      <c r="AE53" s="1183"/>
      <c r="AF53" s="1183"/>
      <c r="AG53" s="1183"/>
      <c r="AH53" s="1183"/>
      <c r="AI53" s="1183"/>
      <c r="AJ53" s="1183"/>
      <c r="AK53" s="1183"/>
    </row>
    <row r="54" spans="1:37" s="1182" customFormat="1" ht="165.75">
      <c r="A54" s="2127" t="s">
        <v>2708</v>
      </c>
      <c r="B54" s="1371"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C54" s="2032" t="s">
        <v>3215</v>
      </c>
      <c r="D54" s="1126">
        <f t="shared" si="10"/>
        <v>4.7999999999999996E-3</v>
      </c>
      <c r="E54" s="716"/>
      <c r="F54" s="1819"/>
      <c r="G54" s="1124">
        <v>2.3999999999999998E-3</v>
      </c>
      <c r="H54" s="1128" t="str">
        <f t="shared" si="11"/>
        <v>——</v>
      </c>
      <c r="I54" s="714">
        <v>0.05</v>
      </c>
      <c r="J54" s="1125">
        <f t="shared" si="12"/>
        <v>4.7999999999999996E-3</v>
      </c>
      <c r="K54" s="1125">
        <f t="shared" si="13"/>
        <v>2.3999999999999998E-3</v>
      </c>
      <c r="L54" s="1125">
        <v>0</v>
      </c>
      <c r="M54" s="1125">
        <f t="shared" si="14"/>
        <v>-2.3999999999999998E-3</v>
      </c>
      <c r="N54" s="1125">
        <f t="shared" si="14"/>
        <v>-4.7999999999999996E-3</v>
      </c>
      <c r="AA54" s="1183"/>
      <c r="AB54" s="1183"/>
      <c r="AC54" s="1183"/>
      <c r="AD54" s="1183"/>
      <c r="AE54" s="1183"/>
      <c r="AF54" s="1183"/>
      <c r="AG54" s="1183"/>
      <c r="AH54" s="1183"/>
      <c r="AI54" s="1183"/>
      <c r="AJ54" s="1183"/>
      <c r="AK54" s="1183"/>
    </row>
    <row r="55" spans="1:37" s="1182" customFormat="1" ht="24">
      <c r="A55" s="2127" t="s">
        <v>2709</v>
      </c>
      <c r="B55" s="1406" t="str">
        <f>估价对象房地状况!C22</f>
        <v>七通</v>
      </c>
      <c r="C55" s="2032" t="s">
        <v>3215</v>
      </c>
      <c r="D55" s="1126">
        <f t="shared" si="10"/>
        <v>9.7999999999999997E-3</v>
      </c>
      <c r="E55" s="716"/>
      <c r="F55" s="1819"/>
      <c r="G55" s="1124">
        <v>4.8999999999999998E-3</v>
      </c>
      <c r="H55" s="1128" t="str">
        <f t="shared" si="11"/>
        <v>——</v>
      </c>
      <c r="I55" s="714">
        <v>0.1</v>
      </c>
      <c r="J55" s="1125">
        <f t="shared" si="12"/>
        <v>9.7999999999999997E-3</v>
      </c>
      <c r="K55" s="1125">
        <f t="shared" si="13"/>
        <v>4.8999999999999998E-3</v>
      </c>
      <c r="L55" s="1125">
        <v>0</v>
      </c>
      <c r="M55" s="1125">
        <f t="shared" si="14"/>
        <v>-4.8999999999999998E-3</v>
      </c>
      <c r="N55" s="1125">
        <f t="shared" si="14"/>
        <v>-9.7999999999999997E-3</v>
      </c>
      <c r="AA55" s="1183"/>
      <c r="AB55" s="1183"/>
      <c r="AC55" s="1183"/>
      <c r="AD55" s="1183"/>
      <c r="AE55" s="1183"/>
      <c r="AF55" s="1183"/>
      <c r="AG55" s="1183"/>
      <c r="AH55" s="1183"/>
      <c r="AI55" s="1183"/>
      <c r="AJ55" s="1183"/>
      <c r="AK55" s="1183"/>
    </row>
    <row r="56" spans="1:37" s="1182" customFormat="1" ht="26.25" thickBot="1">
      <c r="A56" s="2128" t="s">
        <v>2710</v>
      </c>
      <c r="B56" s="2129" t="str">
        <f>估价对象房地状况!C20</f>
        <v>周边绿化以街区级绿化为主，一般</v>
      </c>
      <c r="C56" s="2032" t="s">
        <v>3216</v>
      </c>
      <c r="D56" s="1126">
        <f t="shared" si="10"/>
        <v>2.8999999999999998E-3</v>
      </c>
      <c r="E56" s="719"/>
      <c r="F56" s="1819"/>
      <c r="G56" s="1124">
        <v>2.8999999999999998E-3</v>
      </c>
      <c r="H56" s="1128" t="str">
        <f t="shared" si="11"/>
        <v>——</v>
      </c>
      <c r="I56" s="718">
        <v>0.06</v>
      </c>
      <c r="J56" s="1125">
        <f t="shared" si="12"/>
        <v>5.7999999999999996E-3</v>
      </c>
      <c r="K56" s="1125">
        <f t="shared" si="13"/>
        <v>2.8999999999999998E-3</v>
      </c>
      <c r="L56" s="1125">
        <v>0</v>
      </c>
      <c r="M56" s="1125">
        <f t="shared" si="14"/>
        <v>-2.8999999999999998E-3</v>
      </c>
      <c r="N56" s="1125">
        <f t="shared" si="14"/>
        <v>-5.7999999999999996E-3</v>
      </c>
      <c r="AA56" s="1183"/>
      <c r="AB56" s="1183"/>
      <c r="AC56" s="1183"/>
      <c r="AD56" s="1183"/>
      <c r="AE56" s="1183"/>
      <c r="AF56" s="1183"/>
      <c r="AG56" s="1183"/>
      <c r="AH56" s="1183"/>
      <c r="AI56" s="1183"/>
      <c r="AJ56" s="1183"/>
      <c r="AK56" s="1183"/>
    </row>
    <row r="57" spans="1:37" s="1182" customFormat="1" ht="15">
      <c r="A57" s="2119" t="s">
        <v>2711</v>
      </c>
      <c r="B57" s="2120">
        <f>1+E59</f>
        <v>1</v>
      </c>
      <c r="C57" s="709"/>
      <c r="D57" s="709"/>
      <c r="E57" s="710"/>
      <c r="F57" s="2121"/>
      <c r="G57" s="6"/>
      <c r="H57" s="6"/>
      <c r="I57" s="6"/>
      <c r="J57" s="7"/>
      <c r="K57" s="7"/>
      <c r="L57" s="7"/>
      <c r="M57" s="7"/>
      <c r="N57" s="7"/>
      <c r="AA57" s="1183"/>
      <c r="AB57" s="1183"/>
      <c r="AC57" s="1183"/>
      <c r="AD57" s="1183"/>
      <c r="AE57" s="1183"/>
      <c r="AF57" s="1183"/>
      <c r="AG57" s="1183"/>
      <c r="AH57" s="1183"/>
      <c r="AI57" s="1183"/>
      <c r="AJ57" s="1183"/>
      <c r="AK57" s="1183"/>
    </row>
    <row r="58" spans="1:37" s="1182" customFormat="1" ht="24.75">
      <c r="A58" s="2122" t="s">
        <v>2692</v>
      </c>
      <c r="B58" s="1406"/>
      <c r="C58" s="1406" t="s">
        <v>2694</v>
      </c>
      <c r="D58" s="1406" t="s">
        <v>2695</v>
      </c>
      <c r="E58" s="713" t="s">
        <v>2696</v>
      </c>
      <c r="F58" s="2123" t="s">
        <v>2712</v>
      </c>
      <c r="G58" s="1406" t="s">
        <v>754</v>
      </c>
      <c r="H58" s="800" t="s">
        <v>2698</v>
      </c>
      <c r="I58" s="1406" t="s">
        <v>2699</v>
      </c>
      <c r="J58" s="538" t="s">
        <v>2350</v>
      </c>
      <c r="K58" s="538" t="s">
        <v>2351</v>
      </c>
      <c r="L58" s="538" t="s">
        <v>2352</v>
      </c>
      <c r="M58" s="538" t="s">
        <v>2353</v>
      </c>
      <c r="N58" s="538" t="s">
        <v>2354</v>
      </c>
      <c r="AA58" s="1183"/>
      <c r="AB58" s="1183"/>
      <c r="AC58" s="1183"/>
      <c r="AD58" s="1183"/>
      <c r="AE58" s="1183"/>
      <c r="AF58" s="1183"/>
      <c r="AG58" s="1183"/>
      <c r="AH58" s="1183"/>
      <c r="AI58" s="1183"/>
      <c r="AJ58" s="1183"/>
      <c r="AK58" s="1183"/>
    </row>
    <row r="59" spans="1:37" s="1182" customFormat="1" ht="24">
      <c r="A59" s="2122" t="s">
        <v>2713</v>
      </c>
      <c r="B59" s="2124" t="str">
        <f>估价对象房地状况!C17</f>
        <v>好</v>
      </c>
      <c r="C59" s="2032"/>
      <c r="D59" s="1126">
        <f t="shared" ref="D59:D67" si="15">SUMIF($J$58:$N$58,C59,J59:N59)</f>
        <v>0</v>
      </c>
      <c r="E59" s="715">
        <f>ROUND(SUM(D59:D67),4)</f>
        <v>0</v>
      </c>
      <c r="F59" s="1819" t="str">
        <f>IF(E2="办公",SUMIF(L1:L12,G2,N1:N12),"——")</f>
        <v>——</v>
      </c>
      <c r="G59" s="1124"/>
      <c r="H59" s="1128" t="str">
        <f t="shared" ref="H59:H67" si="16">IFERROR(ROUNDDOWN($F$59*I59/2,4),"——")</f>
        <v>——</v>
      </c>
      <c r="I59" s="714">
        <v>0.24</v>
      </c>
      <c r="J59" s="1125">
        <f t="shared" ref="J59:J67" si="17">K59+$G59</f>
        <v>0</v>
      </c>
      <c r="K59" s="1125">
        <f t="shared" ref="K59:K67" si="18">$L59+$G59</f>
        <v>0</v>
      </c>
      <c r="L59" s="1125">
        <v>0</v>
      </c>
      <c r="M59" s="1125">
        <f t="shared" ref="M59:N67" si="19">L59-$G59</f>
        <v>0</v>
      </c>
      <c r="N59" s="1125">
        <f t="shared" si="19"/>
        <v>0</v>
      </c>
      <c r="AA59" s="1183"/>
      <c r="AB59" s="1183"/>
      <c r="AC59" s="1183"/>
      <c r="AD59" s="1183"/>
      <c r="AE59" s="1183"/>
      <c r="AF59" s="1183"/>
      <c r="AG59" s="1183"/>
      <c r="AH59" s="1183"/>
      <c r="AI59" s="1183"/>
      <c r="AJ59" s="1183"/>
      <c r="AK59" s="1183"/>
    </row>
    <row r="60" spans="1:37" s="1182" customFormat="1" ht="51">
      <c r="A60" s="2122" t="s">
        <v>2701</v>
      </c>
      <c r="B60" s="1406" t="str">
        <f>估价对象房地状况!C18</f>
        <v>周边有315路、607路、629路等多条公交线路及地铁8号线育新站，综合评价交通便捷度较好</v>
      </c>
      <c r="C60" s="2032"/>
      <c r="D60" s="1126">
        <f t="shared" si="15"/>
        <v>0</v>
      </c>
      <c r="E60" s="716"/>
      <c r="F60" s="1819"/>
      <c r="G60" s="1124"/>
      <c r="H60" s="1128" t="str">
        <f t="shared" si="16"/>
        <v>——</v>
      </c>
      <c r="I60" s="714">
        <v>0.3</v>
      </c>
      <c r="J60" s="1125">
        <f t="shared" si="17"/>
        <v>0</v>
      </c>
      <c r="K60" s="1125">
        <f t="shared" si="18"/>
        <v>0</v>
      </c>
      <c r="L60" s="1125">
        <v>0</v>
      </c>
      <c r="M60" s="1125">
        <f t="shared" si="19"/>
        <v>0</v>
      </c>
      <c r="N60" s="1125">
        <f t="shared" si="19"/>
        <v>0</v>
      </c>
      <c r="AA60" s="1183"/>
      <c r="AB60" s="1183"/>
      <c r="AC60" s="1183"/>
      <c r="AD60" s="1183"/>
      <c r="AE60" s="1183"/>
      <c r="AF60" s="1183"/>
      <c r="AG60" s="1183"/>
      <c r="AH60" s="1183"/>
      <c r="AI60" s="1183"/>
      <c r="AJ60" s="1183"/>
      <c r="AK60" s="1183"/>
    </row>
    <row r="61" spans="1:37" s="1182" customFormat="1" ht="24">
      <c r="A61" s="2122" t="s">
        <v>2702</v>
      </c>
      <c r="B61" s="1406" t="str">
        <f>估价对象房地状况!C19</f>
        <v>较好</v>
      </c>
      <c r="C61" s="2032"/>
      <c r="D61" s="1126">
        <f t="shared" si="15"/>
        <v>0</v>
      </c>
      <c r="E61" s="716"/>
      <c r="F61" s="1819"/>
      <c r="G61" s="1124"/>
      <c r="H61" s="1128" t="str">
        <f t="shared" si="16"/>
        <v>——</v>
      </c>
      <c r="I61" s="714">
        <v>0.08</v>
      </c>
      <c r="J61" s="1125">
        <f t="shared" si="17"/>
        <v>0</v>
      </c>
      <c r="K61" s="1125">
        <f t="shared" si="18"/>
        <v>0</v>
      </c>
      <c r="L61" s="1125">
        <v>0</v>
      </c>
      <c r="M61" s="1125">
        <f t="shared" si="19"/>
        <v>0</v>
      </c>
      <c r="N61" s="1125">
        <f t="shared" si="19"/>
        <v>0</v>
      </c>
      <c r="AA61" s="1183"/>
      <c r="AB61" s="1183"/>
      <c r="AC61" s="1183"/>
      <c r="AD61" s="1183"/>
      <c r="AE61" s="1183"/>
      <c r="AF61" s="1183"/>
      <c r="AG61" s="1183"/>
      <c r="AH61" s="1183"/>
      <c r="AI61" s="1183"/>
      <c r="AJ61" s="1183"/>
      <c r="AK61" s="1183"/>
    </row>
    <row r="62" spans="1:37" s="1182" customFormat="1" ht="36.75">
      <c r="A62" s="2122" t="s">
        <v>2703</v>
      </c>
      <c r="B62" s="2125" t="s">
        <v>2704</v>
      </c>
      <c r="C62" s="2032"/>
      <c r="D62" s="1126">
        <f t="shared" si="15"/>
        <v>0</v>
      </c>
      <c r="E62" s="716"/>
      <c r="F62" s="1819"/>
      <c r="G62" s="1124"/>
      <c r="H62" s="1128" t="str">
        <f t="shared" si="16"/>
        <v>——</v>
      </c>
      <c r="I62" s="714">
        <v>0.04</v>
      </c>
      <c r="J62" s="1125">
        <f t="shared" si="17"/>
        <v>0</v>
      </c>
      <c r="K62" s="1125">
        <f t="shared" si="18"/>
        <v>0</v>
      </c>
      <c r="L62" s="1125">
        <v>0</v>
      </c>
      <c r="M62" s="1125">
        <f t="shared" si="19"/>
        <v>0</v>
      </c>
      <c r="N62" s="1125">
        <f t="shared" si="19"/>
        <v>0</v>
      </c>
      <c r="AA62" s="1183"/>
      <c r="AB62" s="1183"/>
      <c r="AC62" s="1183"/>
      <c r="AD62" s="1183"/>
      <c r="AE62" s="1183"/>
      <c r="AF62" s="1183"/>
      <c r="AG62" s="1183"/>
      <c r="AH62" s="1183"/>
      <c r="AI62" s="1183"/>
      <c r="AJ62" s="1183"/>
      <c r="AK62" s="1183"/>
    </row>
    <row r="63" spans="1:37" s="1182" customFormat="1" ht="25.5">
      <c r="A63" s="2122" t="s">
        <v>2705</v>
      </c>
      <c r="B63" s="1406" t="str">
        <f>估价对象房地状况!C24</f>
        <v>城市次干道——建材城西路</v>
      </c>
      <c r="C63" s="2032"/>
      <c r="D63" s="1126">
        <f t="shared" si="15"/>
        <v>0</v>
      </c>
      <c r="E63" s="716"/>
      <c r="F63" s="1819"/>
      <c r="G63" s="1124"/>
      <c r="H63" s="1128" t="str">
        <f t="shared" si="16"/>
        <v>——</v>
      </c>
      <c r="I63" s="714">
        <v>0.05</v>
      </c>
      <c r="J63" s="1125">
        <f t="shared" si="17"/>
        <v>0</v>
      </c>
      <c r="K63" s="1125">
        <f t="shared" si="18"/>
        <v>0</v>
      </c>
      <c r="L63" s="1125">
        <v>0</v>
      </c>
      <c r="M63" s="1125">
        <f t="shared" si="19"/>
        <v>0</v>
      </c>
      <c r="N63" s="1125">
        <f t="shared" si="19"/>
        <v>0</v>
      </c>
      <c r="AA63" s="1183"/>
      <c r="AB63" s="1183"/>
      <c r="AC63" s="1183"/>
      <c r="AD63" s="1183"/>
      <c r="AE63" s="1183"/>
      <c r="AF63" s="1183"/>
      <c r="AG63" s="1183"/>
      <c r="AH63" s="1183"/>
      <c r="AI63" s="1183"/>
      <c r="AJ63" s="1183"/>
      <c r="AK63" s="1183"/>
    </row>
    <row r="64" spans="1:37" s="1182" customFormat="1" ht="24">
      <c r="A64" s="2122" t="s">
        <v>2706</v>
      </c>
      <c r="B64" s="2126" t="s">
        <v>2707</v>
      </c>
      <c r="C64" s="2032"/>
      <c r="D64" s="1126">
        <f t="shared" si="15"/>
        <v>0</v>
      </c>
      <c r="E64" s="716"/>
      <c r="F64" s="1819"/>
      <c r="G64" s="1124"/>
      <c r="H64" s="1128" t="str">
        <f t="shared" si="16"/>
        <v>——</v>
      </c>
      <c r="I64" s="714">
        <v>0.05</v>
      </c>
      <c r="J64" s="1125">
        <f t="shared" si="17"/>
        <v>0</v>
      </c>
      <c r="K64" s="1125">
        <f t="shared" si="18"/>
        <v>0</v>
      </c>
      <c r="L64" s="1125">
        <v>0</v>
      </c>
      <c r="M64" s="1125">
        <f t="shared" si="19"/>
        <v>0</v>
      </c>
      <c r="N64" s="1125">
        <f t="shared" si="19"/>
        <v>0</v>
      </c>
      <c r="AA64" s="1183"/>
      <c r="AB64" s="1183"/>
      <c r="AC64" s="1183"/>
      <c r="AD64" s="1183"/>
      <c r="AE64" s="1183"/>
      <c r="AF64" s="1183"/>
      <c r="AG64" s="1183"/>
      <c r="AH64" s="1183"/>
      <c r="AI64" s="1183"/>
      <c r="AJ64" s="1183"/>
      <c r="AK64" s="1183"/>
    </row>
    <row r="65" spans="1:37" s="1182" customFormat="1" ht="165.75">
      <c r="A65" s="2122" t="s">
        <v>2708</v>
      </c>
      <c r="B65" s="1371"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C65" s="2032"/>
      <c r="D65" s="1126">
        <f t="shared" si="15"/>
        <v>0</v>
      </c>
      <c r="E65" s="716"/>
      <c r="F65" s="1819"/>
      <c r="G65" s="1124"/>
      <c r="H65" s="1128" t="str">
        <f t="shared" si="16"/>
        <v>——</v>
      </c>
      <c r="I65" s="714">
        <v>0.06</v>
      </c>
      <c r="J65" s="1125">
        <f t="shared" si="17"/>
        <v>0</v>
      </c>
      <c r="K65" s="1125">
        <f t="shared" si="18"/>
        <v>0</v>
      </c>
      <c r="L65" s="1125">
        <v>0</v>
      </c>
      <c r="M65" s="1125">
        <f t="shared" si="19"/>
        <v>0</v>
      </c>
      <c r="N65" s="1125">
        <f t="shared" si="19"/>
        <v>0</v>
      </c>
      <c r="AA65" s="1183"/>
      <c r="AB65" s="1183"/>
      <c r="AC65" s="1183"/>
      <c r="AD65" s="1183"/>
      <c r="AE65" s="1183"/>
      <c r="AF65" s="1183"/>
      <c r="AG65" s="1183"/>
      <c r="AH65" s="1183"/>
      <c r="AI65" s="1183"/>
      <c r="AJ65" s="1183"/>
      <c r="AK65" s="1183"/>
    </row>
    <row r="66" spans="1:37" s="1182" customFormat="1" ht="24">
      <c r="A66" s="2122" t="s">
        <v>2709</v>
      </c>
      <c r="B66" s="1371" t="str">
        <f>估价对象房地状况!C22</f>
        <v>七通</v>
      </c>
      <c r="C66" s="2032"/>
      <c r="D66" s="1126">
        <f t="shared" si="15"/>
        <v>0</v>
      </c>
      <c r="E66" s="716"/>
      <c r="F66" s="1819"/>
      <c r="G66" s="1124"/>
      <c r="H66" s="1128" t="str">
        <f t="shared" si="16"/>
        <v>——</v>
      </c>
      <c r="I66" s="714">
        <v>0.12</v>
      </c>
      <c r="J66" s="1125">
        <f t="shared" si="17"/>
        <v>0</v>
      </c>
      <c r="K66" s="1125">
        <f t="shared" si="18"/>
        <v>0</v>
      </c>
      <c r="L66" s="1125">
        <v>0</v>
      </c>
      <c r="M66" s="1125">
        <f t="shared" si="19"/>
        <v>0</v>
      </c>
      <c r="N66" s="1125">
        <f t="shared" si="19"/>
        <v>0</v>
      </c>
      <c r="AA66" s="1183"/>
      <c r="AB66" s="1183"/>
      <c r="AC66" s="1183"/>
      <c r="AD66" s="1183"/>
      <c r="AE66" s="1183"/>
      <c r="AF66" s="1183"/>
      <c r="AG66" s="1183"/>
      <c r="AH66" s="1183"/>
      <c r="AI66" s="1183"/>
      <c r="AJ66" s="1183"/>
      <c r="AK66" s="1183"/>
    </row>
    <row r="67" spans="1:37" s="1182" customFormat="1" ht="26.25" thickBot="1">
      <c r="A67" s="2128" t="s">
        <v>2710</v>
      </c>
      <c r="B67" s="2130" t="str">
        <f>估价对象房地状况!C20</f>
        <v>周边绿化以街区级绿化为主，一般</v>
      </c>
      <c r="C67" s="2032"/>
      <c r="D67" s="1126">
        <f t="shared" si="15"/>
        <v>0</v>
      </c>
      <c r="E67" s="719"/>
      <c r="F67" s="1819"/>
      <c r="G67" s="1124"/>
      <c r="H67" s="1128" t="str">
        <f t="shared" si="16"/>
        <v>——</v>
      </c>
      <c r="I67" s="718">
        <v>0.06</v>
      </c>
      <c r="J67" s="1125">
        <f t="shared" si="17"/>
        <v>0</v>
      </c>
      <c r="K67" s="1125">
        <f t="shared" si="18"/>
        <v>0</v>
      </c>
      <c r="L67" s="1125">
        <v>0</v>
      </c>
      <c r="M67" s="1125">
        <f t="shared" si="19"/>
        <v>0</v>
      </c>
      <c r="N67" s="1125">
        <f t="shared" si="19"/>
        <v>0</v>
      </c>
      <c r="AA67" s="1183"/>
      <c r="AB67" s="1183"/>
      <c r="AC67" s="1183"/>
      <c r="AD67" s="1183"/>
      <c r="AE67" s="1183"/>
      <c r="AF67" s="1183"/>
      <c r="AG67" s="1183"/>
      <c r="AH67" s="1183"/>
      <c r="AI67" s="1183"/>
      <c r="AJ67" s="1183"/>
      <c r="AK67" s="1183"/>
    </row>
    <row r="68" spans="1:37" s="1182" customFormat="1" ht="15">
      <c r="A68" s="2119" t="s">
        <v>2714</v>
      </c>
      <c r="B68" s="2120">
        <f>1+E70</f>
        <v>1.054</v>
      </c>
      <c r="C68" s="709"/>
      <c r="D68" s="709"/>
      <c r="E68" s="710"/>
      <c r="F68" s="2121"/>
      <c r="G68" s="6"/>
      <c r="H68" s="6"/>
      <c r="I68" s="6"/>
      <c r="J68" s="7"/>
      <c r="K68" s="7"/>
      <c r="L68" s="7"/>
      <c r="M68" s="7"/>
      <c r="N68" s="7"/>
      <c r="AA68" s="1183"/>
      <c r="AB68" s="1183"/>
      <c r="AC68" s="1183"/>
      <c r="AD68" s="1183"/>
      <c r="AE68" s="1183"/>
      <c r="AF68" s="1183"/>
      <c r="AG68" s="1183"/>
      <c r="AH68" s="1183"/>
      <c r="AI68" s="1183"/>
      <c r="AJ68" s="1183"/>
      <c r="AK68" s="1183"/>
    </row>
    <row r="69" spans="1:37" s="1182" customFormat="1" ht="24.75">
      <c r="A69" s="2122" t="s">
        <v>2692</v>
      </c>
      <c r="B69" s="1406"/>
      <c r="C69" s="1406" t="s">
        <v>2694</v>
      </c>
      <c r="D69" s="1406" t="s">
        <v>2695</v>
      </c>
      <c r="E69" s="713" t="s">
        <v>2696</v>
      </c>
      <c r="F69" s="2123" t="s">
        <v>2712</v>
      </c>
      <c r="G69" s="1406" t="s">
        <v>754</v>
      </c>
      <c r="H69" s="800" t="s">
        <v>2698</v>
      </c>
      <c r="I69" s="1406" t="s">
        <v>2699</v>
      </c>
      <c r="J69" s="538" t="s">
        <v>2350</v>
      </c>
      <c r="K69" s="538" t="s">
        <v>2351</v>
      </c>
      <c r="L69" s="538" t="s">
        <v>2352</v>
      </c>
      <c r="M69" s="538" t="s">
        <v>2353</v>
      </c>
      <c r="N69" s="538" t="s">
        <v>2354</v>
      </c>
      <c r="AA69" s="1183"/>
      <c r="AB69" s="1183"/>
      <c r="AC69" s="1183"/>
      <c r="AD69" s="1183"/>
      <c r="AE69" s="1183"/>
      <c r="AF69" s="1183"/>
      <c r="AG69" s="1183"/>
      <c r="AH69" s="1183"/>
      <c r="AI69" s="1183"/>
      <c r="AJ69" s="1183"/>
      <c r="AK69" s="1183"/>
    </row>
    <row r="70" spans="1:37" s="1182" customFormat="1" ht="51">
      <c r="A70" s="2122" t="s">
        <v>2715</v>
      </c>
      <c r="B70" s="2124" t="str">
        <f>估价对象房地状况!C15</f>
        <v>周边有金榜园、龙博苑、育新花园、沁春家园等住宅小区，居住社区成熟度较好。</v>
      </c>
      <c r="C70" s="2032" t="s">
        <v>3216</v>
      </c>
      <c r="D70" s="1126">
        <f t="shared" ref="D70:D78" si="20">SUMIF($J$69:$N$69,C70,J70:N70)</f>
        <v>8.0999999999999996E-3</v>
      </c>
      <c r="E70" s="715">
        <f>ROUND(SUM(D70:D78),4)</f>
        <v>5.3999999999999999E-2</v>
      </c>
      <c r="F70" s="1819">
        <f>IF(E2="住宅",SUMIF(L1:L12,G2,N1:N12),"——")</f>
        <v>0.11700000000000001</v>
      </c>
      <c r="G70" s="1124">
        <v>8.0999999999999996E-3</v>
      </c>
      <c r="H70" s="1128">
        <f t="shared" ref="H70:H78" si="21">IFERROR(ROUNDDOWN($F$70*I70/2,4),"——")</f>
        <v>8.0999999999999996E-3</v>
      </c>
      <c r="I70" s="714">
        <v>0.14000000000000001</v>
      </c>
      <c r="J70" s="1125">
        <f t="shared" ref="J70:J78" si="22">K70+$G70</f>
        <v>1.6199999999999999E-2</v>
      </c>
      <c r="K70" s="1125">
        <f t="shared" ref="K70:K78" si="23">$L70+$G70</f>
        <v>8.0999999999999996E-3</v>
      </c>
      <c r="L70" s="1125">
        <v>0</v>
      </c>
      <c r="M70" s="1125">
        <f t="shared" ref="M70:N78" si="24">L70-$G70</f>
        <v>-8.0999999999999996E-3</v>
      </c>
      <c r="N70" s="1125">
        <f t="shared" si="24"/>
        <v>-1.6199999999999999E-2</v>
      </c>
      <c r="AA70" s="1183"/>
      <c r="AB70" s="1183"/>
      <c r="AC70" s="1183"/>
      <c r="AD70" s="1183"/>
      <c r="AE70" s="1183"/>
      <c r="AF70" s="1183"/>
      <c r="AG70" s="1183"/>
      <c r="AH70" s="1183"/>
      <c r="AI70" s="1183"/>
      <c r="AJ70" s="1183"/>
      <c r="AK70" s="1183"/>
    </row>
    <row r="71" spans="1:37" s="1182" customFormat="1" ht="51">
      <c r="A71" s="2122" t="s">
        <v>2701</v>
      </c>
      <c r="B71" s="1406" t="str">
        <f>估价对象房地状况!C18</f>
        <v>周边有315路、607路、629路等多条公交线路及地铁8号线育新站，综合评价交通便捷度较好</v>
      </c>
      <c r="C71" s="2032" t="s">
        <v>3216</v>
      </c>
      <c r="D71" s="1126">
        <f t="shared" si="20"/>
        <v>1.7500000000000002E-2</v>
      </c>
      <c r="E71" s="720"/>
      <c r="F71" s="1819"/>
      <c r="G71" s="1124">
        <v>1.7500000000000002E-2</v>
      </c>
      <c r="H71" s="1128">
        <f t="shared" si="21"/>
        <v>1.7500000000000002E-2</v>
      </c>
      <c r="I71" s="714">
        <v>0.3</v>
      </c>
      <c r="J71" s="1125">
        <f t="shared" si="22"/>
        <v>3.5000000000000003E-2</v>
      </c>
      <c r="K71" s="1125">
        <f t="shared" si="23"/>
        <v>1.7500000000000002E-2</v>
      </c>
      <c r="L71" s="1125">
        <v>0</v>
      </c>
      <c r="M71" s="1125">
        <f t="shared" si="24"/>
        <v>-1.7500000000000002E-2</v>
      </c>
      <c r="N71" s="1125">
        <f t="shared" si="24"/>
        <v>-3.5000000000000003E-2</v>
      </c>
      <c r="AA71" s="1183"/>
      <c r="AB71" s="1183"/>
      <c r="AC71" s="1183"/>
      <c r="AD71" s="1183"/>
      <c r="AE71" s="1183"/>
      <c r="AF71" s="1183"/>
      <c r="AG71" s="1183"/>
      <c r="AH71" s="1183"/>
      <c r="AI71" s="1183"/>
      <c r="AJ71" s="1183"/>
      <c r="AK71" s="1183"/>
    </row>
    <row r="72" spans="1:37" s="1182" customFormat="1" ht="24">
      <c r="A72" s="2122" t="s">
        <v>2702</v>
      </c>
      <c r="B72" s="1406" t="str">
        <f>估价对象房地状况!C19</f>
        <v>较好</v>
      </c>
      <c r="C72" s="2032" t="s">
        <v>3216</v>
      </c>
      <c r="D72" s="1126">
        <f t="shared" si="20"/>
        <v>4.5999999999999999E-3</v>
      </c>
      <c r="E72" s="720"/>
      <c r="F72" s="1819"/>
      <c r="G72" s="1124">
        <v>4.5999999999999999E-3</v>
      </c>
      <c r="H72" s="1128">
        <f t="shared" si="21"/>
        <v>4.5999999999999999E-3</v>
      </c>
      <c r="I72" s="714">
        <v>0.08</v>
      </c>
      <c r="J72" s="1125">
        <f t="shared" si="22"/>
        <v>9.1999999999999998E-3</v>
      </c>
      <c r="K72" s="1125">
        <f t="shared" si="23"/>
        <v>4.5999999999999999E-3</v>
      </c>
      <c r="L72" s="1125">
        <v>0</v>
      </c>
      <c r="M72" s="1125">
        <f t="shared" si="24"/>
        <v>-4.5999999999999999E-3</v>
      </c>
      <c r="N72" s="1125">
        <f t="shared" si="24"/>
        <v>-9.1999999999999998E-3</v>
      </c>
      <c r="AA72" s="1183"/>
      <c r="AB72" s="1183"/>
      <c r="AC72" s="1183"/>
      <c r="AD72" s="1183"/>
      <c r="AE72" s="1183"/>
      <c r="AF72" s="1183"/>
      <c r="AG72" s="1183"/>
      <c r="AH72" s="1183"/>
      <c r="AI72" s="1183"/>
      <c r="AJ72" s="1183"/>
      <c r="AK72" s="1183"/>
    </row>
    <row r="73" spans="1:37" s="1182" customFormat="1" ht="25.5">
      <c r="A73" s="2122" t="s">
        <v>2716</v>
      </c>
      <c r="B73" s="1406" t="str">
        <f>估价对象房地状况!C24</f>
        <v>城市次干道——建材城西路</v>
      </c>
      <c r="C73" s="2032" t="s">
        <v>3217</v>
      </c>
      <c r="D73" s="1126">
        <f t="shared" si="20"/>
        <v>0</v>
      </c>
      <c r="E73" s="720"/>
      <c r="F73" s="1819"/>
      <c r="G73" s="1124">
        <v>2.3E-3</v>
      </c>
      <c r="H73" s="1128">
        <f t="shared" si="21"/>
        <v>2.3E-3</v>
      </c>
      <c r="I73" s="714">
        <v>0.04</v>
      </c>
      <c r="J73" s="1125">
        <f t="shared" si="22"/>
        <v>4.5999999999999999E-3</v>
      </c>
      <c r="K73" s="1125">
        <f t="shared" si="23"/>
        <v>2.3E-3</v>
      </c>
      <c r="L73" s="1125">
        <v>0</v>
      </c>
      <c r="M73" s="1125">
        <f t="shared" si="24"/>
        <v>-2.3E-3</v>
      </c>
      <c r="N73" s="1125">
        <f t="shared" si="24"/>
        <v>-4.5999999999999999E-3</v>
      </c>
      <c r="AA73" s="1183"/>
      <c r="AB73" s="1183"/>
      <c r="AC73" s="1183"/>
      <c r="AD73" s="1183"/>
      <c r="AE73" s="1183"/>
      <c r="AF73" s="1183"/>
      <c r="AG73" s="1183"/>
      <c r="AH73" s="1183"/>
      <c r="AI73" s="1183"/>
      <c r="AJ73" s="1183"/>
      <c r="AK73" s="1183"/>
    </row>
    <row r="74" spans="1:37" s="1182" customFormat="1" ht="165.75">
      <c r="A74" s="2122" t="s">
        <v>2708</v>
      </c>
      <c r="B74" s="1371"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C74" s="2032" t="s">
        <v>3216</v>
      </c>
      <c r="D74" s="1126">
        <f t="shared" si="20"/>
        <v>4.5999999999999999E-3</v>
      </c>
      <c r="E74" s="720"/>
      <c r="F74" s="1819"/>
      <c r="G74" s="1124">
        <v>4.5999999999999999E-3</v>
      </c>
      <c r="H74" s="1128">
        <f t="shared" si="21"/>
        <v>4.5999999999999999E-3</v>
      </c>
      <c r="I74" s="714">
        <v>0.08</v>
      </c>
      <c r="J74" s="1125">
        <f t="shared" si="22"/>
        <v>9.1999999999999998E-3</v>
      </c>
      <c r="K74" s="1125">
        <f t="shared" si="23"/>
        <v>4.5999999999999999E-3</v>
      </c>
      <c r="L74" s="1125">
        <v>0</v>
      </c>
      <c r="M74" s="1125">
        <f t="shared" si="24"/>
        <v>-4.5999999999999999E-3</v>
      </c>
      <c r="N74" s="1125">
        <f t="shared" si="24"/>
        <v>-9.1999999999999998E-3</v>
      </c>
      <c r="AA74" s="1183"/>
      <c r="AB74" s="1183"/>
      <c r="AC74" s="1183"/>
      <c r="AD74" s="1183"/>
      <c r="AE74" s="1183"/>
      <c r="AF74" s="1183"/>
      <c r="AG74" s="1183"/>
      <c r="AH74" s="1183"/>
      <c r="AI74" s="1183"/>
      <c r="AJ74" s="1183"/>
      <c r="AK74" s="1183"/>
    </row>
    <row r="75" spans="1:37" s="1182" customFormat="1" ht="24">
      <c r="A75" s="2122" t="s">
        <v>2709</v>
      </c>
      <c r="B75" s="1371" t="str">
        <f>估价对象房地状况!C22</f>
        <v>七通</v>
      </c>
      <c r="C75" s="2032" t="s">
        <v>3215</v>
      </c>
      <c r="D75" s="1126">
        <f t="shared" si="20"/>
        <v>1.4E-2</v>
      </c>
      <c r="E75" s="720"/>
      <c r="F75" s="1819"/>
      <c r="G75" s="1124">
        <v>7.0000000000000001E-3</v>
      </c>
      <c r="H75" s="1128">
        <f t="shared" si="21"/>
        <v>7.0000000000000001E-3</v>
      </c>
      <c r="I75" s="714">
        <v>0.12</v>
      </c>
      <c r="J75" s="1125">
        <f t="shared" si="22"/>
        <v>1.4E-2</v>
      </c>
      <c r="K75" s="1125">
        <f t="shared" si="23"/>
        <v>7.0000000000000001E-3</v>
      </c>
      <c r="L75" s="1125">
        <v>0</v>
      </c>
      <c r="M75" s="1125">
        <f t="shared" si="24"/>
        <v>-7.0000000000000001E-3</v>
      </c>
      <c r="N75" s="1125">
        <f t="shared" si="24"/>
        <v>-1.4E-2</v>
      </c>
      <c r="AA75" s="1183"/>
      <c r="AB75" s="1183"/>
      <c r="AC75" s="1183"/>
      <c r="AD75" s="1183"/>
      <c r="AE75" s="1183"/>
      <c r="AF75" s="1183"/>
      <c r="AG75" s="1183"/>
      <c r="AH75" s="1183"/>
      <c r="AI75" s="1183"/>
      <c r="AJ75" s="1183"/>
      <c r="AK75" s="1183"/>
    </row>
    <row r="76" spans="1:37" s="1986" customFormat="1" ht="24">
      <c r="A76" s="2122" t="s">
        <v>2706</v>
      </c>
      <c r="B76" s="2126" t="s">
        <v>2707</v>
      </c>
      <c r="C76" s="2032" t="s">
        <v>3216</v>
      </c>
      <c r="D76" s="1126">
        <f t="shared" si="20"/>
        <v>2.8999999999999998E-3</v>
      </c>
      <c r="E76" s="720"/>
      <c r="F76" s="1819"/>
      <c r="G76" s="1124">
        <v>2.8999999999999998E-3</v>
      </c>
      <c r="H76" s="1128">
        <f t="shared" si="21"/>
        <v>2.8999999999999998E-3</v>
      </c>
      <c r="I76" s="714">
        <v>0.05</v>
      </c>
      <c r="J76" s="1125">
        <f t="shared" si="22"/>
        <v>5.7999999999999996E-3</v>
      </c>
      <c r="K76" s="1125">
        <f t="shared" si="23"/>
        <v>2.8999999999999998E-3</v>
      </c>
      <c r="L76" s="1125">
        <v>0</v>
      </c>
      <c r="M76" s="1125">
        <f t="shared" si="24"/>
        <v>-2.8999999999999998E-3</v>
      </c>
      <c r="N76" s="1125">
        <f t="shared" si="24"/>
        <v>-5.7999999999999996E-3</v>
      </c>
      <c r="AA76" s="2131"/>
      <c r="AB76" s="1183"/>
      <c r="AC76" s="1183"/>
      <c r="AD76" s="1183"/>
      <c r="AE76" s="1183"/>
      <c r="AF76" s="1183"/>
      <c r="AG76" s="1183"/>
      <c r="AH76" s="2131"/>
      <c r="AI76" s="2131"/>
      <c r="AJ76" s="2131"/>
      <c r="AK76" s="2131"/>
    </row>
    <row r="77" spans="1:37" ht="25.5">
      <c r="A77" s="2122" t="s">
        <v>2710</v>
      </c>
      <c r="B77" s="2124" t="str">
        <f>估价对象房地状况!C20</f>
        <v>周边绿化以街区级绿化为主，一般</v>
      </c>
      <c r="C77" s="2032" t="s">
        <v>3217</v>
      </c>
      <c r="D77" s="1126">
        <f t="shared" si="20"/>
        <v>0</v>
      </c>
      <c r="E77" s="720"/>
      <c r="F77" s="1819"/>
      <c r="G77" s="1124">
        <v>8.6999999999999994E-3</v>
      </c>
      <c r="H77" s="1128">
        <f t="shared" si="21"/>
        <v>8.6999999999999994E-3</v>
      </c>
      <c r="I77" s="714">
        <v>0.15</v>
      </c>
      <c r="J77" s="1125">
        <f t="shared" si="22"/>
        <v>1.7399999999999999E-2</v>
      </c>
      <c r="K77" s="1125">
        <f t="shared" si="23"/>
        <v>8.6999999999999994E-3</v>
      </c>
      <c r="L77" s="1125">
        <v>0</v>
      </c>
      <c r="M77" s="1125">
        <f t="shared" si="24"/>
        <v>-8.6999999999999994E-3</v>
      </c>
      <c r="N77" s="1125">
        <f t="shared" si="24"/>
        <v>-1.7399999999999999E-2</v>
      </c>
      <c r="Z77" s="1987"/>
      <c r="AA77" s="2046"/>
      <c r="AG77" s="1184"/>
      <c r="AK77" s="2046"/>
    </row>
    <row r="78" spans="1:37" ht="24.75" thickBot="1">
      <c r="A78" s="2128" t="s">
        <v>2717</v>
      </c>
      <c r="B78" s="3116" t="s">
        <v>3683</v>
      </c>
      <c r="C78" s="2032" t="s">
        <v>3216</v>
      </c>
      <c r="D78" s="1126">
        <f t="shared" si="20"/>
        <v>2.3E-3</v>
      </c>
      <c r="E78" s="721"/>
      <c r="F78" s="1819"/>
      <c r="G78" s="1124">
        <v>2.3E-3</v>
      </c>
      <c r="H78" s="1128">
        <f t="shared" si="21"/>
        <v>2.3E-3</v>
      </c>
      <c r="I78" s="718">
        <v>0.04</v>
      </c>
      <c r="J78" s="1125">
        <f t="shared" si="22"/>
        <v>4.5999999999999999E-3</v>
      </c>
      <c r="K78" s="1125">
        <f t="shared" si="23"/>
        <v>2.3E-3</v>
      </c>
      <c r="L78" s="1125">
        <v>0</v>
      </c>
      <c r="M78" s="1125">
        <f t="shared" si="24"/>
        <v>-2.3E-3</v>
      </c>
      <c r="N78" s="1125">
        <f t="shared" si="24"/>
        <v>-4.5999999999999999E-3</v>
      </c>
      <c r="Z78" s="1987"/>
      <c r="AA78" s="2046"/>
      <c r="AG78" s="1184"/>
      <c r="AK78" s="2046"/>
    </row>
    <row r="79" spans="1:37" ht="15">
      <c r="A79" s="2119" t="s">
        <v>2718</v>
      </c>
      <c r="B79" s="2120">
        <f>1+E81</f>
        <v>1</v>
      </c>
      <c r="C79" s="709"/>
      <c r="D79" s="709"/>
      <c r="E79" s="710"/>
      <c r="F79" s="2121"/>
      <c r="G79" s="6"/>
      <c r="H79" s="6"/>
      <c r="I79" s="6"/>
      <c r="J79" s="7"/>
      <c r="K79" s="7"/>
      <c r="L79" s="7"/>
      <c r="M79" s="7"/>
      <c r="N79" s="7"/>
      <c r="Z79" s="1987"/>
      <c r="AA79" s="2046"/>
      <c r="AG79" s="1184"/>
      <c r="AK79" s="2046"/>
    </row>
    <row r="80" spans="1:37" ht="24.75">
      <c r="A80" s="2122" t="s">
        <v>2692</v>
      </c>
      <c r="B80" s="1406"/>
      <c r="C80" s="1406" t="s">
        <v>2694</v>
      </c>
      <c r="D80" s="1406" t="s">
        <v>2695</v>
      </c>
      <c r="E80" s="713" t="s">
        <v>2696</v>
      </c>
      <c r="F80" s="2123" t="s">
        <v>2712</v>
      </c>
      <c r="G80" s="1406" t="s">
        <v>754</v>
      </c>
      <c r="H80" s="800" t="s">
        <v>2698</v>
      </c>
      <c r="I80" s="1406" t="s">
        <v>2699</v>
      </c>
      <c r="J80" s="538" t="s">
        <v>2350</v>
      </c>
      <c r="K80" s="538" t="s">
        <v>2351</v>
      </c>
      <c r="L80" s="538" t="s">
        <v>2352</v>
      </c>
      <c r="M80" s="538" t="s">
        <v>2353</v>
      </c>
      <c r="N80" s="538" t="s">
        <v>2354</v>
      </c>
      <c r="Z80" s="1987"/>
      <c r="AA80" s="2046"/>
      <c r="AG80" s="1184"/>
      <c r="AK80" s="2046"/>
    </row>
    <row r="81" spans="1:37" ht="38.25">
      <c r="A81" s="2122" t="s">
        <v>2719</v>
      </c>
      <c r="B81" s="1406" t="str">
        <f>估价对象房地状况!G15</f>
        <v>估价对象位于XX开发区，园区建设成熟度XX，产业集聚程度XX</v>
      </c>
      <c r="C81" s="2032"/>
      <c r="D81" s="1126">
        <f t="shared" ref="D81:D88" si="25">SUMIF($J$80:$N$80,C81,J81:N81)</f>
        <v>0</v>
      </c>
      <c r="E81" s="715">
        <f>ROUND(SUM(D81:D88),4)</f>
        <v>0</v>
      </c>
      <c r="F81" s="1819" t="str">
        <f>IF(E2="工业",SUMIF(L1:L12,G2,N1:N12),"——")</f>
        <v>——</v>
      </c>
      <c r="G81" s="1124"/>
      <c r="H81" s="1128" t="str">
        <f t="shared" ref="H81:H88" si="26">IFERROR(ROUNDDOWN($F$81*I81/2,4),"——")</f>
        <v>——</v>
      </c>
      <c r="I81" s="714">
        <v>0.26</v>
      </c>
      <c r="J81" s="1125">
        <f t="shared" ref="J81:J88" si="27">K81+$G81</f>
        <v>0</v>
      </c>
      <c r="K81" s="1125">
        <f t="shared" ref="K81:K88" si="28">$L81+$G81</f>
        <v>0</v>
      </c>
      <c r="L81" s="1125">
        <v>0</v>
      </c>
      <c r="M81" s="1125">
        <f t="shared" ref="M81:N88" si="29">L81-$G81</f>
        <v>0</v>
      </c>
      <c r="N81" s="1125">
        <f t="shared" si="29"/>
        <v>0</v>
      </c>
      <c r="Z81" s="1987"/>
      <c r="AA81" s="2046"/>
      <c r="AG81" s="1184"/>
      <c r="AK81" s="2046"/>
    </row>
    <row r="82" spans="1:37" ht="51">
      <c r="A82" s="2122" t="s">
        <v>2701</v>
      </c>
      <c r="B82" s="1406" t="str">
        <f>估价对象房地状况!G16</f>
        <v>估价对象周边道路状况、公共交通通达情况、停车便捷程度，综合评价交通便捷度较好</v>
      </c>
      <c r="C82" s="2032"/>
      <c r="D82" s="1126">
        <f t="shared" si="25"/>
        <v>0</v>
      </c>
      <c r="E82" s="720"/>
      <c r="F82" s="1819"/>
      <c r="G82" s="1124"/>
      <c r="H82" s="1128" t="str">
        <f t="shared" si="26"/>
        <v>——</v>
      </c>
      <c r="I82" s="714">
        <v>0.33</v>
      </c>
      <c r="J82" s="1125">
        <f t="shared" si="27"/>
        <v>0</v>
      </c>
      <c r="K82" s="1125">
        <f t="shared" si="28"/>
        <v>0</v>
      </c>
      <c r="L82" s="1125">
        <v>0</v>
      </c>
      <c r="M82" s="1125">
        <f t="shared" si="29"/>
        <v>0</v>
      </c>
      <c r="N82" s="1125">
        <f t="shared" si="29"/>
        <v>0</v>
      </c>
      <c r="Z82" s="1987"/>
      <c r="AA82" s="2046"/>
      <c r="AG82" s="1184"/>
      <c r="AK82" s="2046"/>
    </row>
    <row r="83" spans="1:37" ht="24">
      <c r="A83" s="2122" t="s">
        <v>2702</v>
      </c>
      <c r="B83" s="1406">
        <f>估价对象房地状况!G17</f>
        <v>0</v>
      </c>
      <c r="C83" s="2032"/>
      <c r="D83" s="1126">
        <f t="shared" si="25"/>
        <v>0</v>
      </c>
      <c r="E83" s="720"/>
      <c r="F83" s="1819"/>
      <c r="G83" s="1124"/>
      <c r="H83" s="1128" t="str">
        <f t="shared" si="26"/>
        <v>——</v>
      </c>
      <c r="I83" s="714">
        <v>0.05</v>
      </c>
      <c r="J83" s="1125">
        <f t="shared" si="27"/>
        <v>0</v>
      </c>
      <c r="K83" s="1125">
        <f t="shared" si="28"/>
        <v>0</v>
      </c>
      <c r="L83" s="1125">
        <v>0</v>
      </c>
      <c r="M83" s="1125">
        <f t="shared" si="29"/>
        <v>0</v>
      </c>
      <c r="N83" s="1125">
        <f t="shared" si="29"/>
        <v>0</v>
      </c>
      <c r="Z83" s="1987"/>
      <c r="AA83" s="2046"/>
      <c r="AG83" s="1184"/>
      <c r="AK83" s="2046"/>
    </row>
    <row r="84" spans="1:37" ht="14.25">
      <c r="A84" s="2122" t="s">
        <v>2716</v>
      </c>
      <c r="B84" s="1406">
        <f>估价对象房地状况!G22</f>
        <v>0</v>
      </c>
      <c r="C84" s="2032"/>
      <c r="D84" s="1126">
        <f t="shared" si="25"/>
        <v>0</v>
      </c>
      <c r="E84" s="720"/>
      <c r="F84" s="1819"/>
      <c r="G84" s="1124"/>
      <c r="H84" s="1128" t="str">
        <f t="shared" si="26"/>
        <v>——</v>
      </c>
      <c r="I84" s="714">
        <v>0.04</v>
      </c>
      <c r="J84" s="1125">
        <f t="shared" si="27"/>
        <v>0</v>
      </c>
      <c r="K84" s="1125">
        <f t="shared" si="28"/>
        <v>0</v>
      </c>
      <c r="L84" s="1125">
        <v>0</v>
      </c>
      <c r="M84" s="1125">
        <f t="shared" si="29"/>
        <v>0</v>
      </c>
      <c r="N84" s="1125">
        <f t="shared" si="29"/>
        <v>0</v>
      </c>
      <c r="Z84" s="1987"/>
      <c r="AA84" s="2046"/>
      <c r="AG84" s="1184"/>
      <c r="AK84" s="2046"/>
    </row>
    <row r="85" spans="1:37" ht="25.5">
      <c r="A85" s="2122" t="s">
        <v>2708</v>
      </c>
      <c r="B85" s="1371" t="str">
        <f>估价对象房地状况!G19</f>
        <v>估价对象所在区域公共配套设施齐备情况</v>
      </c>
      <c r="C85" s="2032"/>
      <c r="D85" s="1126">
        <f t="shared" si="25"/>
        <v>0</v>
      </c>
      <c r="E85" s="720"/>
      <c r="F85" s="1819"/>
      <c r="G85" s="1124"/>
      <c r="H85" s="1128" t="str">
        <f t="shared" si="26"/>
        <v>——</v>
      </c>
      <c r="I85" s="714">
        <v>0.06</v>
      </c>
      <c r="J85" s="1125">
        <f t="shared" si="27"/>
        <v>0</v>
      </c>
      <c r="K85" s="1125">
        <f t="shared" si="28"/>
        <v>0</v>
      </c>
      <c r="L85" s="1125">
        <v>0</v>
      </c>
      <c r="M85" s="1125">
        <f t="shared" si="29"/>
        <v>0</v>
      </c>
      <c r="N85" s="1125">
        <f t="shared" si="29"/>
        <v>0</v>
      </c>
      <c r="Z85" s="1987"/>
      <c r="AA85" s="2046"/>
      <c r="AG85" s="1184"/>
      <c r="AK85" s="2046"/>
    </row>
    <row r="86" spans="1:37" ht="25.5">
      <c r="A86" s="2122" t="s">
        <v>2709</v>
      </c>
      <c r="B86" s="1371" t="str">
        <f>估价对象房地状况!G20</f>
        <v>估价对象所在区域基础设施水平</v>
      </c>
      <c r="C86" s="2032"/>
      <c r="D86" s="1126">
        <f t="shared" si="25"/>
        <v>0</v>
      </c>
      <c r="E86" s="720"/>
      <c r="F86" s="1819"/>
      <c r="G86" s="1124"/>
      <c r="H86" s="1128" t="str">
        <f t="shared" si="26"/>
        <v>——</v>
      </c>
      <c r="I86" s="714">
        <v>0.15</v>
      </c>
      <c r="J86" s="1125">
        <f t="shared" si="27"/>
        <v>0</v>
      </c>
      <c r="K86" s="1125">
        <f t="shared" si="28"/>
        <v>0</v>
      </c>
      <c r="L86" s="1125">
        <v>0</v>
      </c>
      <c r="M86" s="1125">
        <f t="shared" si="29"/>
        <v>0</v>
      </c>
      <c r="N86" s="1125">
        <f t="shared" si="29"/>
        <v>0</v>
      </c>
      <c r="Z86" s="1987"/>
      <c r="AA86" s="2046"/>
      <c r="AG86" s="1184"/>
      <c r="AK86" s="2046"/>
    </row>
    <row r="87" spans="1:37" ht="24">
      <c r="A87" s="2122" t="s">
        <v>2706</v>
      </c>
      <c r="B87" s="2126" t="s">
        <v>2720</v>
      </c>
      <c r="C87" s="2032"/>
      <c r="D87" s="1126">
        <f t="shared" si="25"/>
        <v>0</v>
      </c>
      <c r="E87" s="720"/>
      <c r="F87" s="1819"/>
      <c r="G87" s="1124"/>
      <c r="H87" s="1128" t="str">
        <f t="shared" si="26"/>
        <v>——</v>
      </c>
      <c r="I87" s="714">
        <v>0.05</v>
      </c>
      <c r="J87" s="1125">
        <f t="shared" si="27"/>
        <v>0</v>
      </c>
      <c r="K87" s="1125">
        <f t="shared" si="28"/>
        <v>0</v>
      </c>
      <c r="L87" s="1125">
        <v>0</v>
      </c>
      <c r="M87" s="1125">
        <f t="shared" si="29"/>
        <v>0</v>
      </c>
      <c r="N87" s="1125">
        <f t="shared" si="29"/>
        <v>0</v>
      </c>
      <c r="Z87" s="1987"/>
      <c r="AA87" s="2046"/>
      <c r="AG87" s="1184"/>
      <c r="AK87" s="2046"/>
    </row>
    <row r="88" spans="1:37" ht="51.75" thickBot="1">
      <c r="A88" s="2128" t="s">
        <v>2721</v>
      </c>
      <c r="B88" s="2132" t="str">
        <f>估价对象房地状况!G18</f>
        <v>该园区内是否有污染型企业，绿化情况，卫生条件，整体环境状况判断</v>
      </c>
      <c r="C88" s="2032"/>
      <c r="D88" s="1126">
        <f t="shared" si="25"/>
        <v>0</v>
      </c>
      <c r="E88" s="721"/>
      <c r="F88" s="1819"/>
      <c r="G88" s="1124"/>
      <c r="H88" s="1128" t="str">
        <f t="shared" si="26"/>
        <v>——</v>
      </c>
      <c r="I88" s="718">
        <v>0.06</v>
      </c>
      <c r="J88" s="1125">
        <f t="shared" si="27"/>
        <v>0</v>
      </c>
      <c r="K88" s="1125">
        <f t="shared" si="28"/>
        <v>0</v>
      </c>
      <c r="L88" s="1125">
        <v>0</v>
      </c>
      <c r="M88" s="1125">
        <f t="shared" si="29"/>
        <v>0</v>
      </c>
      <c r="N88" s="1125">
        <f t="shared" si="29"/>
        <v>0</v>
      </c>
      <c r="Z88" s="1987"/>
      <c r="AA88" s="2046"/>
      <c r="AG88" s="1184"/>
      <c r="AK88" s="2046"/>
    </row>
    <row r="90" spans="1:37">
      <c r="A90" s="3333" t="s">
        <v>2722</v>
      </c>
      <c r="B90" s="3333"/>
      <c r="C90" s="3333"/>
      <c r="D90" s="3333"/>
      <c r="E90" s="3333"/>
      <c r="F90" s="3333"/>
      <c r="G90" s="3333"/>
      <c r="H90" s="3333"/>
      <c r="I90" s="3333"/>
      <c r="J90" s="3333"/>
      <c r="K90" s="2133"/>
      <c r="L90" s="2133"/>
      <c r="M90" s="2133"/>
      <c r="N90" s="2133"/>
    </row>
    <row r="91" spans="1:37">
      <c r="A91" s="3335" t="s">
        <v>2723</v>
      </c>
      <c r="B91" s="3335" t="s">
        <v>2724</v>
      </c>
      <c r="C91" s="2092" t="s">
        <v>2725</v>
      </c>
      <c r="D91" s="2093"/>
      <c r="E91" s="2093"/>
      <c r="F91" s="2093"/>
      <c r="G91" s="2093"/>
      <c r="H91" s="2093"/>
      <c r="I91" s="2093"/>
      <c r="J91" s="2134"/>
      <c r="K91" s="2135"/>
      <c r="L91" s="2135"/>
      <c r="M91" s="2135"/>
      <c r="N91" s="2135"/>
    </row>
    <row r="92" spans="1:37">
      <c r="A92" s="3335"/>
      <c r="B92" s="3335"/>
      <c r="C92" s="826" t="s">
        <v>2593</v>
      </c>
      <c r="D92" s="826" t="s">
        <v>2594</v>
      </c>
      <c r="E92" s="826" t="s">
        <v>2595</v>
      </c>
      <c r="F92" s="826" t="s">
        <v>2596</v>
      </c>
      <c r="G92" s="826" t="s">
        <v>2597</v>
      </c>
      <c r="H92" s="826" t="s">
        <v>2598</v>
      </c>
      <c r="I92" s="826" t="s">
        <v>2599</v>
      </c>
      <c r="J92" s="826" t="s">
        <v>2600</v>
      </c>
      <c r="K92" s="826" t="s">
        <v>2601</v>
      </c>
      <c r="L92" s="826" t="s">
        <v>2602</v>
      </c>
      <c r="M92" s="826" t="s">
        <v>2603</v>
      </c>
      <c r="N92" s="826" t="s">
        <v>2604</v>
      </c>
    </row>
    <row r="93" spans="1:37">
      <c r="A93" s="3336" t="s">
        <v>2726</v>
      </c>
      <c r="B93" s="2136">
        <v>1</v>
      </c>
      <c r="C93" s="2137">
        <v>1.9361999999999999</v>
      </c>
      <c r="D93" s="2137">
        <v>1.9361999999999999</v>
      </c>
      <c r="E93" s="2137">
        <v>1.8629</v>
      </c>
      <c r="F93" s="2137">
        <v>1.8629</v>
      </c>
      <c r="G93" s="2137">
        <v>1.8629</v>
      </c>
      <c r="H93" s="2137">
        <v>1.8629</v>
      </c>
      <c r="I93" s="2137">
        <v>1.8629</v>
      </c>
      <c r="J93" s="2137">
        <v>1.9419999999999999</v>
      </c>
      <c r="K93" s="2137">
        <v>1.9419999999999999</v>
      </c>
      <c r="L93" s="2137">
        <v>1.9419999999999999</v>
      </c>
      <c r="M93" s="2137">
        <v>1.9419999999999999</v>
      </c>
      <c r="N93" s="2137">
        <v>1.9419999999999999</v>
      </c>
    </row>
    <row r="94" spans="1:37">
      <c r="A94" s="3337"/>
      <c r="B94" s="2136">
        <v>2</v>
      </c>
      <c r="C94" s="2137">
        <v>1.4198</v>
      </c>
      <c r="D94" s="2137">
        <v>1.4198</v>
      </c>
      <c r="E94" s="2137">
        <v>1.3371999999999999</v>
      </c>
      <c r="F94" s="2137">
        <v>1.3371999999999999</v>
      </c>
      <c r="G94" s="2137">
        <v>1.3371999999999999</v>
      </c>
      <c r="H94" s="2137">
        <v>1.3371999999999999</v>
      </c>
      <c r="I94" s="2137">
        <v>1.3371999999999999</v>
      </c>
      <c r="J94" s="2137">
        <v>1.2799</v>
      </c>
      <c r="K94" s="2137">
        <v>1.2799</v>
      </c>
      <c r="L94" s="2137">
        <v>1.2799</v>
      </c>
      <c r="M94" s="2137">
        <v>1.2799</v>
      </c>
      <c r="N94" s="2137">
        <v>1.2799</v>
      </c>
    </row>
    <row r="95" spans="1:37">
      <c r="A95" s="3337"/>
      <c r="B95" s="2136">
        <v>3</v>
      </c>
      <c r="C95" s="2137">
        <v>1.1594</v>
      </c>
      <c r="D95" s="2137">
        <v>1.1594</v>
      </c>
      <c r="E95" s="2137">
        <v>1.0788</v>
      </c>
      <c r="F95" s="2137">
        <v>1.0788</v>
      </c>
      <c r="G95" s="2137">
        <v>1.0788</v>
      </c>
      <c r="H95" s="2137">
        <v>1.0788</v>
      </c>
      <c r="I95" s="2137">
        <v>1.0788</v>
      </c>
      <c r="J95" s="2137">
        <v>1.0072000000000001</v>
      </c>
      <c r="K95" s="2137">
        <v>1.0072000000000001</v>
      </c>
      <c r="L95" s="2137">
        <v>1.0072000000000001</v>
      </c>
      <c r="M95" s="2137">
        <v>1.0072000000000001</v>
      </c>
      <c r="N95" s="2137">
        <v>1.0072000000000001</v>
      </c>
    </row>
    <row r="96" spans="1:37">
      <c r="A96" s="3337"/>
      <c r="B96" s="2136">
        <v>4</v>
      </c>
      <c r="C96" s="2137">
        <v>0.96220000000000006</v>
      </c>
      <c r="D96" s="2137">
        <v>0.96220000000000006</v>
      </c>
      <c r="E96" s="2137">
        <v>0.86560000000000004</v>
      </c>
      <c r="F96" s="2137">
        <v>0.86560000000000004</v>
      </c>
      <c r="G96" s="2137">
        <v>0.86560000000000004</v>
      </c>
      <c r="H96" s="2137">
        <v>0.86560000000000004</v>
      </c>
      <c r="I96" s="2137">
        <v>0.86560000000000004</v>
      </c>
      <c r="J96" s="2137">
        <v>0.75249999999999995</v>
      </c>
      <c r="K96" s="2137">
        <v>0.75249999999999995</v>
      </c>
      <c r="L96" s="2137">
        <v>0.75249999999999995</v>
      </c>
      <c r="M96" s="2137">
        <v>0.75249999999999995</v>
      </c>
      <c r="N96" s="2137">
        <v>0.75249999999999995</v>
      </c>
    </row>
    <row r="97" spans="1:14">
      <c r="A97" s="3337"/>
      <c r="B97" s="2136">
        <v>5</v>
      </c>
      <c r="C97" s="2137">
        <v>0.8417</v>
      </c>
      <c r="D97" s="2137">
        <v>0.8417</v>
      </c>
      <c r="E97" s="2137">
        <v>0.73709999999999998</v>
      </c>
      <c r="F97" s="2137">
        <v>0.73709999999999998</v>
      </c>
      <c r="G97" s="2137">
        <v>0.73709999999999998</v>
      </c>
      <c r="H97" s="2137">
        <v>0.73709999999999998</v>
      </c>
      <c r="I97" s="2137">
        <v>0.73709999999999998</v>
      </c>
      <c r="J97" s="2137">
        <v>0.56589999999999996</v>
      </c>
      <c r="K97" s="2137">
        <v>0.56589999999999996</v>
      </c>
      <c r="L97" s="2137">
        <v>0.56589999999999996</v>
      </c>
      <c r="M97" s="2137">
        <v>0.56589999999999996</v>
      </c>
      <c r="N97" s="2137">
        <v>0.56589999999999996</v>
      </c>
    </row>
    <row r="98" spans="1:14">
      <c r="A98" s="3337"/>
      <c r="B98" s="2136">
        <v>6</v>
      </c>
      <c r="C98" s="2137">
        <v>0.76080000000000003</v>
      </c>
      <c r="D98" s="2137">
        <v>0.76080000000000003</v>
      </c>
      <c r="E98" s="2137">
        <v>0.6482</v>
      </c>
      <c r="F98" s="2137">
        <v>0.6482</v>
      </c>
      <c r="G98" s="2137">
        <v>0.6482</v>
      </c>
      <c r="H98" s="2137">
        <v>0.6482</v>
      </c>
      <c r="I98" s="2137">
        <v>0.6482</v>
      </c>
      <c r="J98" s="2137">
        <v>0.45250000000000001</v>
      </c>
      <c r="K98" s="2137">
        <v>0.45250000000000001</v>
      </c>
      <c r="L98" s="2137">
        <v>0.45250000000000001</v>
      </c>
      <c r="M98" s="2137">
        <v>0.45250000000000001</v>
      </c>
      <c r="N98" s="2137">
        <v>0.45250000000000001</v>
      </c>
    </row>
    <row r="99" spans="1:14">
      <c r="A99" s="3337"/>
      <c r="B99" s="2136" t="s">
        <v>2609</v>
      </c>
      <c r="C99" s="2138">
        <f>$I$3</f>
        <v>0</v>
      </c>
      <c r="D99" s="2138">
        <f t="shared" ref="D99:M99" si="30">$I$3</f>
        <v>0</v>
      </c>
      <c r="E99" s="2138">
        <f t="shared" si="30"/>
        <v>0</v>
      </c>
      <c r="F99" s="2138">
        <f t="shared" si="30"/>
        <v>0</v>
      </c>
      <c r="G99" s="2138">
        <f t="shared" si="30"/>
        <v>0</v>
      </c>
      <c r="H99" s="2138">
        <f t="shared" si="30"/>
        <v>0</v>
      </c>
      <c r="I99" s="2138">
        <f t="shared" si="30"/>
        <v>0</v>
      </c>
      <c r="J99" s="2138">
        <f t="shared" si="30"/>
        <v>0</v>
      </c>
      <c r="K99" s="2138">
        <f t="shared" si="30"/>
        <v>0</v>
      </c>
      <c r="L99" s="2138">
        <f t="shared" si="30"/>
        <v>0</v>
      </c>
      <c r="M99" s="2138">
        <f t="shared" si="30"/>
        <v>0</v>
      </c>
      <c r="N99" s="2138">
        <f>$I$3</f>
        <v>0</v>
      </c>
    </row>
    <row r="100" spans="1:14">
      <c r="A100" s="3338"/>
      <c r="B100" s="2136">
        <v>7</v>
      </c>
      <c r="C100" s="2139">
        <f>(-0.163*(C99^2)-0.59*C99+7617)*(10^(-4))</f>
        <v>0.76170000000000004</v>
      </c>
      <c r="D100" s="2139">
        <f>(-0.163*(D99^2)-0.59*D99+7617)*(10^(-4))</f>
        <v>0.76170000000000004</v>
      </c>
      <c r="E100" s="2139">
        <f>(-0.161*(E99^2)-7.509*E99+6533)*(10^(-4))</f>
        <v>0.65329999999999999</v>
      </c>
      <c r="F100" s="2139">
        <f>(-0.161*(F99^2)-7.509*F99+6533)*(10^(-4))</f>
        <v>0.65329999999999999</v>
      </c>
      <c r="G100" s="2139">
        <f>(-0.161*(G99^2)-7.509*G99+6533)*(10^(-4))</f>
        <v>0.65329999999999999</v>
      </c>
      <c r="H100" s="2139">
        <f>(-0.161*(H99^2)-7.509*H99+6533)*(10^(-4))</f>
        <v>0.65329999999999999</v>
      </c>
      <c r="I100" s="2139">
        <f>(-0.161*(I99^2)-7.509*I99+6533)*(10^(-4))</f>
        <v>0.65329999999999999</v>
      </c>
      <c r="J100" s="2139">
        <f>(-0.214*(J99^2)-21.991*J99+4665)*(10^(-4))</f>
        <v>0.46650000000000003</v>
      </c>
      <c r="K100" s="2139">
        <f>(-0.214*(K99^2)-21.991*K99+4665)*(10^(-4))</f>
        <v>0.46650000000000003</v>
      </c>
      <c r="L100" s="2139">
        <f>(-0.214*(L99^2)-21.991*L99+4665)*(10^(-4))</f>
        <v>0.46650000000000003</v>
      </c>
      <c r="M100" s="2139">
        <f>(-0.214*(M99^2)-21.991*M99+4665)*(10^(-4))</f>
        <v>0.46650000000000003</v>
      </c>
      <c r="N100" s="2139">
        <f>(-0.214*(N99^2)-21.991*N99+4665)*(10^(-4))</f>
        <v>0.46650000000000003</v>
      </c>
    </row>
    <row r="101" spans="1:14">
      <c r="A101" s="3336" t="s">
        <v>2727</v>
      </c>
      <c r="B101" s="2140" t="s">
        <v>2728</v>
      </c>
      <c r="C101" s="2141">
        <f>$G$3</f>
        <v>2.5</v>
      </c>
      <c r="D101" s="2141">
        <f t="shared" ref="D101:N101" si="31">$G$3</f>
        <v>2.5</v>
      </c>
      <c r="E101" s="2141">
        <f t="shared" si="31"/>
        <v>2.5</v>
      </c>
      <c r="F101" s="2141">
        <f t="shared" si="31"/>
        <v>2.5</v>
      </c>
      <c r="G101" s="2141">
        <f t="shared" si="31"/>
        <v>2.5</v>
      </c>
      <c r="H101" s="2141">
        <f t="shared" si="31"/>
        <v>2.5</v>
      </c>
      <c r="I101" s="2141">
        <f t="shared" si="31"/>
        <v>2.5</v>
      </c>
      <c r="J101" s="2141">
        <f t="shared" si="31"/>
        <v>2.5</v>
      </c>
      <c r="K101" s="2141">
        <f t="shared" si="31"/>
        <v>2.5</v>
      </c>
      <c r="L101" s="2141">
        <f t="shared" si="31"/>
        <v>2.5</v>
      </c>
      <c r="M101" s="2141">
        <f t="shared" si="31"/>
        <v>2.5</v>
      </c>
      <c r="N101" s="2141">
        <f t="shared" si="31"/>
        <v>2.5</v>
      </c>
    </row>
    <row r="102" spans="1:14">
      <c r="A102" s="3337"/>
      <c r="B102" s="2136">
        <v>1</v>
      </c>
      <c r="C102" s="2137">
        <f>1.9362/C101</f>
        <v>0.77447999999999995</v>
      </c>
      <c r="D102" s="2137">
        <f>1.9362/D101</f>
        <v>0.77447999999999995</v>
      </c>
      <c r="E102" s="2137">
        <f>1.8629/E101</f>
        <v>0.74516000000000004</v>
      </c>
      <c r="F102" s="2137">
        <f>1.8629/F101</f>
        <v>0.74516000000000004</v>
      </c>
      <c r="G102" s="2137">
        <f>1.8629/G101</f>
        <v>0.74516000000000004</v>
      </c>
      <c r="H102" s="2137">
        <f>1.8629/H101</f>
        <v>0.74516000000000004</v>
      </c>
      <c r="I102" s="2137">
        <f>1.8629/I101</f>
        <v>0.74516000000000004</v>
      </c>
      <c r="J102" s="2137">
        <f>1.942/J101</f>
        <v>0.77679999999999993</v>
      </c>
      <c r="K102" s="2137">
        <f>1.942/K101</f>
        <v>0.77679999999999993</v>
      </c>
      <c r="L102" s="2137">
        <f>1.942/L101</f>
        <v>0.77679999999999993</v>
      </c>
      <c r="M102" s="2137">
        <f>1.942/M101</f>
        <v>0.77679999999999993</v>
      </c>
      <c r="N102" s="2137">
        <f>1.942/N101</f>
        <v>0.77679999999999993</v>
      </c>
    </row>
    <row r="103" spans="1:14">
      <c r="A103" s="3337"/>
      <c r="B103" s="2136">
        <v>2</v>
      </c>
      <c r="C103" s="2137">
        <f>1.4198/C101</f>
        <v>0.56791999999999998</v>
      </c>
      <c r="D103" s="2137">
        <f>1.4198/D101</f>
        <v>0.56791999999999998</v>
      </c>
      <c r="E103" s="2137">
        <f>1.3372/E101</f>
        <v>0.53488000000000002</v>
      </c>
      <c r="F103" s="2137">
        <f>1.3372/F101</f>
        <v>0.53488000000000002</v>
      </c>
      <c r="G103" s="2137">
        <f>1.3372/G101</f>
        <v>0.53488000000000002</v>
      </c>
      <c r="H103" s="2137">
        <f>1.3372/H101</f>
        <v>0.53488000000000002</v>
      </c>
      <c r="I103" s="2137">
        <f>1.3372/I101</f>
        <v>0.53488000000000002</v>
      </c>
      <c r="J103" s="2137">
        <f>1.2799/J101</f>
        <v>0.51195999999999997</v>
      </c>
      <c r="K103" s="2137">
        <f>1.2799/K101</f>
        <v>0.51195999999999997</v>
      </c>
      <c r="L103" s="2137">
        <f>1.2799/L101</f>
        <v>0.51195999999999997</v>
      </c>
      <c r="M103" s="2137">
        <f>1.2799/M101</f>
        <v>0.51195999999999997</v>
      </c>
      <c r="N103" s="2137">
        <f>1.2799/N101</f>
        <v>0.51195999999999997</v>
      </c>
    </row>
    <row r="104" spans="1:14">
      <c r="A104" s="3337"/>
      <c r="B104" s="2136">
        <v>3</v>
      </c>
      <c r="C104" s="2137">
        <f>1.1594/C101</f>
        <v>0.46376000000000001</v>
      </c>
      <c r="D104" s="2137">
        <f>1.1594/D101</f>
        <v>0.46376000000000001</v>
      </c>
      <c r="E104" s="2137">
        <f>1.0788/E101</f>
        <v>0.43152000000000001</v>
      </c>
      <c r="F104" s="2137">
        <f>1.0788/F101</f>
        <v>0.43152000000000001</v>
      </c>
      <c r="G104" s="2137">
        <f>1.0788/G101</f>
        <v>0.43152000000000001</v>
      </c>
      <c r="H104" s="2137">
        <f>1.0788/H101</f>
        <v>0.43152000000000001</v>
      </c>
      <c r="I104" s="2137">
        <f>1.0788/I101</f>
        <v>0.43152000000000001</v>
      </c>
      <c r="J104" s="2137">
        <f>1.0072/J101</f>
        <v>0.40288000000000002</v>
      </c>
      <c r="K104" s="2137">
        <f>1.0072/K101</f>
        <v>0.40288000000000002</v>
      </c>
      <c r="L104" s="2137">
        <f>1.0072/L101</f>
        <v>0.40288000000000002</v>
      </c>
      <c r="M104" s="2137">
        <f>1.0072/M101</f>
        <v>0.40288000000000002</v>
      </c>
      <c r="N104" s="2137">
        <f>1.0072/N101</f>
        <v>0.40288000000000002</v>
      </c>
    </row>
    <row r="105" spans="1:14">
      <c r="A105" s="3337"/>
      <c r="B105" s="2136">
        <v>4</v>
      </c>
      <c r="C105" s="2137">
        <f>0.9622/C101</f>
        <v>0.38488</v>
      </c>
      <c r="D105" s="2137">
        <f>0.9622/D101</f>
        <v>0.38488</v>
      </c>
      <c r="E105" s="2137">
        <f>0.8656/E101</f>
        <v>0.34623999999999999</v>
      </c>
      <c r="F105" s="2137">
        <f>0.8656/F101</f>
        <v>0.34623999999999999</v>
      </c>
      <c r="G105" s="2137">
        <f>0.8656/G101</f>
        <v>0.34623999999999999</v>
      </c>
      <c r="H105" s="2137">
        <f>0.8656/H101</f>
        <v>0.34623999999999999</v>
      </c>
      <c r="I105" s="2137">
        <f>0.8656/I101</f>
        <v>0.34623999999999999</v>
      </c>
      <c r="J105" s="2137">
        <f>0.7525/J101</f>
        <v>0.30099999999999999</v>
      </c>
      <c r="K105" s="2137">
        <f>0.7525/K101</f>
        <v>0.30099999999999999</v>
      </c>
      <c r="L105" s="2137">
        <f>0.7525/L101</f>
        <v>0.30099999999999999</v>
      </c>
      <c r="M105" s="2137">
        <f>0.7525/M101</f>
        <v>0.30099999999999999</v>
      </c>
      <c r="N105" s="2137">
        <f>0.7525/N101</f>
        <v>0.30099999999999999</v>
      </c>
    </row>
    <row r="106" spans="1:14">
      <c r="A106" s="3337"/>
      <c r="B106" s="2136">
        <v>5</v>
      </c>
      <c r="C106" s="2137">
        <f>0.8417/C101</f>
        <v>0.33667999999999998</v>
      </c>
      <c r="D106" s="2137">
        <f>0.8417/D101</f>
        <v>0.33667999999999998</v>
      </c>
      <c r="E106" s="2137">
        <f>0.7371/E101</f>
        <v>0.29483999999999999</v>
      </c>
      <c r="F106" s="2137">
        <f>0.7371/F101</f>
        <v>0.29483999999999999</v>
      </c>
      <c r="G106" s="2137">
        <f>0.7371/G101</f>
        <v>0.29483999999999999</v>
      </c>
      <c r="H106" s="2137">
        <f>0.7371/H101</f>
        <v>0.29483999999999999</v>
      </c>
      <c r="I106" s="2137">
        <f>0.7371/I101</f>
        <v>0.29483999999999999</v>
      </c>
      <c r="J106" s="2137">
        <f>0.5659/J101</f>
        <v>0.22635999999999998</v>
      </c>
      <c r="K106" s="2137">
        <f>0.5659/K101</f>
        <v>0.22635999999999998</v>
      </c>
      <c r="L106" s="2137">
        <f>0.5659/L101</f>
        <v>0.22635999999999998</v>
      </c>
      <c r="M106" s="2137">
        <f>0.5659/M101</f>
        <v>0.22635999999999998</v>
      </c>
      <c r="N106" s="2137">
        <f>0.5659/N101</f>
        <v>0.22635999999999998</v>
      </c>
    </row>
    <row r="107" spans="1:14">
      <c r="A107" s="3337"/>
      <c r="B107" s="2136">
        <v>6</v>
      </c>
      <c r="C107" s="2137">
        <f>0.7608/C101</f>
        <v>0.30432000000000003</v>
      </c>
      <c r="D107" s="2137">
        <f>0.7608/D101</f>
        <v>0.30432000000000003</v>
      </c>
      <c r="E107" s="2137">
        <f>0.6482/E101</f>
        <v>0.25928000000000001</v>
      </c>
      <c r="F107" s="2137">
        <f>0.6482/F101</f>
        <v>0.25928000000000001</v>
      </c>
      <c r="G107" s="2137">
        <f>0.6482/G101</f>
        <v>0.25928000000000001</v>
      </c>
      <c r="H107" s="2137">
        <f>0.6482/H101</f>
        <v>0.25928000000000001</v>
      </c>
      <c r="I107" s="2137">
        <f>0.6482/I101</f>
        <v>0.25928000000000001</v>
      </c>
      <c r="J107" s="2137">
        <f>0.4525/J101</f>
        <v>0.18099999999999999</v>
      </c>
      <c r="K107" s="2137">
        <f>0.4525/K101</f>
        <v>0.18099999999999999</v>
      </c>
      <c r="L107" s="2137">
        <f>0.4525/L101</f>
        <v>0.18099999999999999</v>
      </c>
      <c r="M107" s="2137">
        <f>0.4525/M101</f>
        <v>0.18099999999999999</v>
      </c>
      <c r="N107" s="2137">
        <f>0.4525/N101</f>
        <v>0.18099999999999999</v>
      </c>
    </row>
    <row r="108" spans="1:14">
      <c r="A108" s="3337"/>
      <c r="B108" s="3339" t="s">
        <v>2729</v>
      </c>
      <c r="C108" s="2138">
        <f>C99</f>
        <v>0</v>
      </c>
      <c r="D108" s="2138">
        <f t="shared" ref="D108:N108" si="32">D99</f>
        <v>0</v>
      </c>
      <c r="E108" s="2138">
        <f t="shared" si="32"/>
        <v>0</v>
      </c>
      <c r="F108" s="2138">
        <f t="shared" si="32"/>
        <v>0</v>
      </c>
      <c r="G108" s="2138">
        <f t="shared" si="32"/>
        <v>0</v>
      </c>
      <c r="H108" s="2138">
        <f t="shared" si="32"/>
        <v>0</v>
      </c>
      <c r="I108" s="2138">
        <f t="shared" si="32"/>
        <v>0</v>
      </c>
      <c r="J108" s="2138">
        <f t="shared" si="32"/>
        <v>0</v>
      </c>
      <c r="K108" s="2138">
        <f t="shared" si="32"/>
        <v>0</v>
      </c>
      <c r="L108" s="2138">
        <f t="shared" si="32"/>
        <v>0</v>
      </c>
      <c r="M108" s="2138">
        <f t="shared" si="32"/>
        <v>0</v>
      </c>
      <c r="N108" s="2138">
        <f t="shared" si="32"/>
        <v>0</v>
      </c>
    </row>
    <row r="109" spans="1:14">
      <c r="A109" s="3338"/>
      <c r="B109" s="3340"/>
      <c r="C109" s="2139">
        <f>(-0.163*(C108^2)-0.59*C108+7617)*(10^(-4))/C101</f>
        <v>0.30468000000000001</v>
      </c>
      <c r="D109" s="2139">
        <f>(-0.163*(D108^2)-0.59*D108+7617)*(10^(-4))/D101</f>
        <v>0.30468000000000001</v>
      </c>
      <c r="E109" s="2139">
        <f>(-0.161*(E108^2)-7.509*E108+6533)*(10^(-4))/E101</f>
        <v>0.26132</v>
      </c>
      <c r="F109" s="2139">
        <f>(-0.161*(F108^2)-7.509*F108+6533)*(10^(-4))/F101</f>
        <v>0.26132</v>
      </c>
      <c r="G109" s="2139">
        <f>(-0.161*(G108^2)-7.509*G108+6533)*(10^(-4))/G101</f>
        <v>0.26132</v>
      </c>
      <c r="H109" s="2139">
        <f>(-0.161*(H108^2)-7.509*H108+6533)*(10^(-4))/H101</f>
        <v>0.26132</v>
      </c>
      <c r="I109" s="2139">
        <f>(-0.161*(I108^2)-7.509*I108+6533)*(10^(-4))/I101</f>
        <v>0.26132</v>
      </c>
      <c r="J109" s="2139">
        <f>(-0.214*(J108^2)-21.991*J108+4665)*(10^(-4))/J101</f>
        <v>0.18660000000000002</v>
      </c>
      <c r="K109" s="2139">
        <f>(-0.214*(K108^2)-21.991*K108+4665)*(10^(-4))/K101</f>
        <v>0.18660000000000002</v>
      </c>
      <c r="L109" s="2139">
        <f>(-0.214*(L108^2)-21.991*L108+4665)*(10^(-4))/L101</f>
        <v>0.18660000000000002</v>
      </c>
      <c r="M109" s="2139">
        <f>(-0.214*(M108^2)-21.991*M108+4665)*(10^(-4))/M101</f>
        <v>0.18660000000000002</v>
      </c>
      <c r="N109" s="2139">
        <f>(-0.214*(N108^2)-21.991*N108+4665)*(10^(-4))/N101</f>
        <v>0.18660000000000002</v>
      </c>
    </row>
    <row r="110" spans="1:14">
      <c r="A110" s="3334" t="s">
        <v>2730</v>
      </c>
      <c r="B110" s="3334"/>
      <c r="C110" s="3334"/>
      <c r="D110" s="3334"/>
      <c r="E110" s="3334"/>
      <c r="F110" s="3334"/>
      <c r="G110" s="3334"/>
      <c r="H110" s="3334"/>
      <c r="I110" s="3334"/>
      <c r="J110" s="3334"/>
      <c r="K110" s="2142"/>
      <c r="L110" s="2142"/>
      <c r="M110" s="2142"/>
      <c r="N110" s="2142"/>
    </row>
    <row r="112" spans="1:14" ht="13.5" thickBot="1"/>
    <row r="113" spans="1:13" ht="25.5" thickBot="1">
      <c r="A113" s="794" t="s">
        <v>2731</v>
      </c>
      <c r="B113" s="1127">
        <f>G3</f>
        <v>2.5</v>
      </c>
      <c r="C113" s="795" t="s">
        <v>2732</v>
      </c>
      <c r="D113" s="796">
        <f>SUMPRODUCT((A115:A118=F113)*(B114:M114=H113)*B115:M118)</f>
        <v>0.8548</v>
      </c>
      <c r="E113" s="168" t="s">
        <v>2567</v>
      </c>
      <c r="F113" s="2144" t="str">
        <f>E2</f>
        <v>住宅</v>
      </c>
      <c r="G113" s="168" t="s">
        <v>2568</v>
      </c>
      <c r="H113" s="2144" t="str">
        <f>G2</f>
        <v>六级</v>
      </c>
      <c r="I113" s="168"/>
      <c r="J113" s="650"/>
      <c r="K113" s="650"/>
      <c r="L113" s="650"/>
      <c r="M113" s="650"/>
    </row>
    <row r="114" spans="1:13">
      <c r="A114" s="798"/>
      <c r="B114" s="2145" t="s">
        <v>2733</v>
      </c>
      <c r="C114" s="2145" t="s">
        <v>2734</v>
      </c>
      <c r="D114" s="2145" t="s">
        <v>2735</v>
      </c>
      <c r="E114" s="2146" t="s">
        <v>2736</v>
      </c>
      <c r="F114" s="2146" t="s">
        <v>2737</v>
      </c>
      <c r="G114" s="2146" t="s">
        <v>2738</v>
      </c>
      <c r="H114" s="2147" t="s">
        <v>2739</v>
      </c>
      <c r="I114" s="2147" t="s">
        <v>2740</v>
      </c>
      <c r="J114" s="2148" t="s">
        <v>2741</v>
      </c>
      <c r="K114" s="2148" t="s">
        <v>2742</v>
      </c>
      <c r="L114" s="2148" t="s">
        <v>2743</v>
      </c>
      <c r="M114" s="2149" t="s">
        <v>2744</v>
      </c>
    </row>
    <row r="115" spans="1:13">
      <c r="A115" s="799" t="s">
        <v>2631</v>
      </c>
      <c r="B115" s="800">
        <f>ROUND(0.9335-0.0094*B113,4)</f>
        <v>0.91</v>
      </c>
      <c r="C115" s="800">
        <f>B115</f>
        <v>0.91</v>
      </c>
      <c r="D115" s="800">
        <f>ROUND(0.8331-0.0109*B113,4)</f>
        <v>0.80589999999999995</v>
      </c>
      <c r="E115" s="800">
        <f>D115</f>
        <v>0.80589999999999995</v>
      </c>
      <c r="F115" s="800">
        <f>E115</f>
        <v>0.80589999999999995</v>
      </c>
      <c r="G115" s="800">
        <f>F115</f>
        <v>0.80589999999999995</v>
      </c>
      <c r="H115" s="800">
        <f>G115</f>
        <v>0.80589999999999995</v>
      </c>
      <c r="I115" s="800">
        <f>ROUND(0.689-0.0155*B113,4)</f>
        <v>0.65029999999999999</v>
      </c>
      <c r="J115" s="800">
        <f t="shared" ref="J115:M118" si="33">I115</f>
        <v>0.65029999999999999</v>
      </c>
      <c r="K115" s="800">
        <f t="shared" si="33"/>
        <v>0.65029999999999999</v>
      </c>
      <c r="L115" s="800">
        <f t="shared" si="33"/>
        <v>0.65029999999999999</v>
      </c>
      <c r="M115" s="801">
        <f t="shared" si="33"/>
        <v>0.65029999999999999</v>
      </c>
    </row>
    <row r="116" spans="1:13">
      <c r="A116" s="799" t="s">
        <v>2632</v>
      </c>
      <c r="B116" s="800">
        <f>ROUND(0.949-0.012*B113,4)</f>
        <v>0.91900000000000004</v>
      </c>
      <c r="C116" s="800">
        <f>B116</f>
        <v>0.91900000000000004</v>
      </c>
      <c r="D116" s="800">
        <f>ROUND(0.8567-0.013*B113,4)</f>
        <v>0.82420000000000004</v>
      </c>
      <c r="E116" s="800">
        <f t="shared" ref="E116:H117" si="34">D116</f>
        <v>0.82420000000000004</v>
      </c>
      <c r="F116" s="800">
        <f t="shared" si="34"/>
        <v>0.82420000000000004</v>
      </c>
      <c r="G116" s="800">
        <f t="shared" si="34"/>
        <v>0.82420000000000004</v>
      </c>
      <c r="H116" s="800">
        <f t="shared" si="34"/>
        <v>0.82420000000000004</v>
      </c>
      <c r="I116" s="800">
        <f>ROUND(0.7694-0.014*B113,4)</f>
        <v>0.73440000000000005</v>
      </c>
      <c r="J116" s="800">
        <f t="shared" si="33"/>
        <v>0.73440000000000005</v>
      </c>
      <c r="K116" s="800">
        <f t="shared" si="33"/>
        <v>0.73440000000000005</v>
      </c>
      <c r="L116" s="800">
        <f t="shared" si="33"/>
        <v>0.73440000000000005</v>
      </c>
      <c r="M116" s="801">
        <f t="shared" si="33"/>
        <v>0.73440000000000005</v>
      </c>
    </row>
    <row r="117" spans="1:13">
      <c r="A117" s="799" t="s">
        <v>2633</v>
      </c>
      <c r="B117" s="800">
        <f>ROUND(0.8808-0.006*B113,4)</f>
        <v>0.86580000000000001</v>
      </c>
      <c r="C117" s="800">
        <f>B117</f>
        <v>0.86580000000000001</v>
      </c>
      <c r="D117" s="800">
        <f>ROUND(0.8748-0.008*B113,4)</f>
        <v>0.8548</v>
      </c>
      <c r="E117" s="800">
        <f t="shared" si="34"/>
        <v>0.8548</v>
      </c>
      <c r="F117" s="800">
        <f t="shared" si="34"/>
        <v>0.8548</v>
      </c>
      <c r="G117" s="800">
        <f t="shared" si="34"/>
        <v>0.8548</v>
      </c>
      <c r="H117" s="800">
        <f t="shared" si="34"/>
        <v>0.8548</v>
      </c>
      <c r="I117" s="800">
        <f>ROUND(0.7412-0.0095*B113,4)</f>
        <v>0.71750000000000003</v>
      </c>
      <c r="J117" s="800">
        <f t="shared" si="33"/>
        <v>0.71750000000000003</v>
      </c>
      <c r="K117" s="800">
        <f t="shared" si="33"/>
        <v>0.71750000000000003</v>
      </c>
      <c r="L117" s="800">
        <f t="shared" si="33"/>
        <v>0.71750000000000003</v>
      </c>
      <c r="M117" s="801">
        <f t="shared" si="33"/>
        <v>0.71750000000000003</v>
      </c>
    </row>
    <row r="118" spans="1:13" ht="13.5" thickBot="1">
      <c r="A118" s="639" t="s">
        <v>2634</v>
      </c>
      <c r="B118" s="802">
        <f>ROUND(0.7275-0.01*B113,4)</f>
        <v>0.70250000000000001</v>
      </c>
      <c r="C118" s="802">
        <f>B118</f>
        <v>0.70250000000000001</v>
      </c>
      <c r="D118" s="802">
        <f>ROUND(0.7043-0.012*B113,4)</f>
        <v>0.67430000000000001</v>
      </c>
      <c r="E118" s="802">
        <f>D118</f>
        <v>0.67430000000000001</v>
      </c>
      <c r="F118" s="802">
        <f>E118</f>
        <v>0.67430000000000001</v>
      </c>
      <c r="G118" s="802">
        <f>ROUND(0.6299-0.0122*B113,4)</f>
        <v>0.59940000000000004</v>
      </c>
      <c r="H118" s="802">
        <f>G118</f>
        <v>0.59940000000000004</v>
      </c>
      <c r="I118" s="802">
        <f>ROUND(0.5667-0.0136*B113,4)</f>
        <v>0.53269999999999995</v>
      </c>
      <c r="J118" s="802">
        <f t="shared" si="33"/>
        <v>0.53269999999999995</v>
      </c>
      <c r="K118" s="802">
        <f t="shared" si="33"/>
        <v>0.53269999999999995</v>
      </c>
      <c r="L118" s="802">
        <f t="shared" si="33"/>
        <v>0.53269999999999995</v>
      </c>
      <c r="M118" s="803">
        <f t="shared" si="33"/>
        <v>0.53269999999999995</v>
      </c>
    </row>
  </sheetData>
  <sheetProtection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30" priority="5" stopIfTrue="1" operator="notEqual">
      <formula>"——"</formula>
    </cfRule>
  </conditionalFormatting>
  <conditionalFormatting sqref="F59">
    <cfRule type="cellIs" dxfId="129" priority="4" stopIfTrue="1" operator="notEqual">
      <formula>"——"</formula>
    </cfRule>
  </conditionalFormatting>
  <conditionalFormatting sqref="F70">
    <cfRule type="cellIs" dxfId="128" priority="3" stopIfTrue="1" operator="notEqual">
      <formula>"——"</formula>
    </cfRule>
  </conditionalFormatting>
  <conditionalFormatting sqref="F81">
    <cfRule type="cellIs" dxfId="127" priority="2" stopIfTrue="1" operator="notEqual">
      <formula>"——"</formula>
    </cfRule>
  </conditionalFormatting>
  <conditionalFormatting sqref="H48:H56 H59:H67 H70:H78 H81:H88">
    <cfRule type="cellIs" dxfId="126" priority="1" operator="notEqual">
      <formula>"——"</formula>
    </cfRule>
  </conditionalFormatting>
  <dataValidations count="11">
    <dataValidation type="list" allowBlank="1" showInputMessage="1" showErrorMessage="1" sqref="F14" xr:uid="{00000000-0002-0000-1400-000000000000}">
      <formula1>"500米范围内,500-1000米,1000米以外"</formula1>
    </dataValidation>
    <dataValidation type="list" allowBlank="1" showInputMessage="1" showErrorMessage="1" sqref="C14:E14" xr:uid="{00000000-0002-0000-1400-000001000000}">
      <formula1>"有,无"</formula1>
    </dataValidation>
    <dataValidation type="list" allowBlank="1" showInputMessage="1" showErrorMessage="1" sqref="B21" xr:uid="{00000000-0002-0000-1400-000002000000}">
      <formula1>"容积率修正,楼层修正"</formula1>
    </dataValidation>
    <dataValidation type="list" allowBlank="1" showInputMessage="1" showErrorMessage="1" sqref="F17" xr:uid="{00000000-0002-0000-1400-000003000000}">
      <formula1>"与级别开发程度一致,与级别开发程度不一致"</formula1>
    </dataValidation>
    <dataValidation type="list" allowBlank="1" showInputMessage="1" showErrorMessage="1" sqref="E2" xr:uid="{00000000-0002-0000-1400-000004000000}">
      <formula1>"商业,办公,住宅,工业"</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81:C88 C70:C78 C48:C56 C59:C67" xr:uid="{00000000-0002-0000-1400-000008000000}">
      <formula1>五等判定</formula1>
    </dataValidation>
    <dataValidation type="list" allowBlank="1" showInputMessage="1" showErrorMessage="1" sqref="H19" xr:uid="{00000000-0002-0000-1400-000009000000}">
      <formula1>"地价指数,季度增幅（自定义）,按公示增长率计算"</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0" zoomScaleNormal="70" zoomScaleSheetLayoutView="80" workbookViewId="0">
      <selection activeCell="J55" sqref="J55"/>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2081</v>
      </c>
      <c r="B1" s="1518"/>
      <c r="C1" s="196"/>
      <c r="D1" s="196"/>
      <c r="E1" s="196"/>
      <c r="F1" s="196"/>
      <c r="G1" s="1189">
        <f>MATCH(B1,'数据-取费表'!A6:A16,0)+5</f>
        <v>7</v>
      </c>
    </row>
    <row r="2" spans="1:9" s="198" customFormat="1" ht="18" customHeight="1">
      <c r="A2" s="199" t="s">
        <v>2082</v>
      </c>
      <c r="B2" s="200" t="e">
        <f ca="1">IF(D2="——",C52,C52-E2)</f>
        <v>#N/A</v>
      </c>
      <c r="C2" s="197" t="s">
        <v>2083</v>
      </c>
      <c r="D2" s="1855" t="s">
        <v>3221</v>
      </c>
      <c r="E2" s="1216" t="e">
        <f ca="1">SUMIF(INDIRECT("'"&amp;G2&amp;"'"&amp;"!A:A"),"承租人权益价值",INDIRECT("'"&amp;G2&amp;"'"&amp;"!c:c"))</f>
        <v>#N/A</v>
      </c>
      <c r="F2" s="1856" t="s">
        <v>2083</v>
      </c>
      <c r="G2" s="1857" t="s">
        <v>3139</v>
      </c>
    </row>
    <row r="3" spans="1:9" s="198" customFormat="1" ht="18" customHeight="1" thickBot="1">
      <c r="A3" s="201" t="s">
        <v>2084</v>
      </c>
      <c r="B3" s="202" t="e">
        <f ca="1">ROUND(B2*10000/(IF(B1="",'数据-汇总表'!E3,INDIRECT("'数据-取费表'!k"&amp;$G$1))),0)</f>
        <v>#N/A</v>
      </c>
      <c r="C3" s="197" t="s">
        <v>2085</v>
      </c>
      <c r="D3" s="197"/>
      <c r="E3" s="197"/>
      <c r="F3" s="197"/>
      <c r="G3" s="197"/>
    </row>
    <row r="4" spans="1:9" s="206" customFormat="1" ht="15.75">
      <c r="A4" s="203" t="s">
        <v>2086</v>
      </c>
      <c r="B4" s="204"/>
      <c r="C4" s="204"/>
      <c r="D4" s="204"/>
      <c r="E4" s="204"/>
      <c r="F4" s="204"/>
      <c r="G4" s="205"/>
    </row>
    <row r="5" spans="1:9" s="212" customFormat="1" ht="13.5" customHeight="1">
      <c r="A5" s="253" t="s">
        <v>2087</v>
      </c>
      <c r="B5" s="208" t="s">
        <v>2088</v>
      </c>
      <c r="C5" s="209">
        <f>C6+C7+C8</f>
        <v>782958</v>
      </c>
      <c r="D5" s="209" t="s">
        <v>2089</v>
      </c>
      <c r="E5" s="210" t="s">
        <v>2090</v>
      </c>
      <c r="F5" s="210" t="s">
        <v>2091</v>
      </c>
      <c r="G5" s="211"/>
    </row>
    <row r="6" spans="1:9" s="212" customFormat="1" ht="13.5" customHeight="1">
      <c r="A6" s="833" t="s">
        <v>2092</v>
      </c>
      <c r="B6" s="213" t="s">
        <v>2093</v>
      </c>
      <c r="C6" s="214">
        <f>基准地价修正!B2</f>
        <v>759784</v>
      </c>
      <c r="D6" s="215"/>
      <c r="E6" s="216"/>
      <c r="F6" s="216"/>
      <c r="G6" s="217"/>
    </row>
    <row r="7" spans="1:9" s="212" customFormat="1" ht="13.5" customHeight="1">
      <c r="A7" s="833" t="s">
        <v>2094</v>
      </c>
      <c r="B7" s="213" t="s">
        <v>2095</v>
      </c>
      <c r="C7" s="218">
        <f>ROUND(C6*F7,0)</f>
        <v>23173</v>
      </c>
      <c r="D7" s="218"/>
      <c r="E7" s="216"/>
      <c r="F7" s="219">
        <f>IF(项目基本情况!B8="出让",0,'数据-取费表'!B48+'数据-取费表'!B49)</f>
        <v>3.0499999999999999E-2</v>
      </c>
      <c r="G7" s="217"/>
    </row>
    <row r="8" spans="1:9" s="221" customFormat="1">
      <c r="A8" s="833" t="s">
        <v>2096</v>
      </c>
      <c r="B8" s="213" t="s">
        <v>2097</v>
      </c>
      <c r="C8" s="218">
        <f>IF(G8="已包含在土地购买价格中","0",IF(B1="",'数据-取费表'!B29,IF(G9="全部缴纳",C9+C10,H9)))</f>
        <v>1</v>
      </c>
      <c r="D8" s="220"/>
      <c r="E8" s="218"/>
      <c r="F8" s="219"/>
      <c r="G8" s="1858" t="s">
        <v>3218</v>
      </c>
    </row>
    <row r="9" spans="1:9" s="212" customFormat="1" ht="13.5" customHeight="1">
      <c r="A9" s="834" t="s">
        <v>800</v>
      </c>
      <c r="B9" s="222" t="s">
        <v>2098</v>
      </c>
      <c r="C9" s="223">
        <f ca="1">ROUND(D9*E9/10000,0)</f>
        <v>1</v>
      </c>
      <c r="D9" s="897">
        <f ca="1">IF(B1="",'数据-汇总表'!E5,IF(INDIRECT("'数据-取费表'!c"&amp;$G$1)="住宅",INDIRECT("'数据-取费表'!k"&amp;$G$1),0))</f>
        <v>69.52</v>
      </c>
      <c r="E9" s="223">
        <f>'数据-取费表'!B27</f>
        <v>160</v>
      </c>
      <c r="F9" s="219"/>
      <c r="G9" s="1859" t="s">
        <v>3219</v>
      </c>
      <c r="H9" s="1197"/>
      <c r="I9" s="1860" t="s">
        <v>2099</v>
      </c>
    </row>
    <row r="10" spans="1:9" s="212" customFormat="1" ht="13.5" customHeight="1">
      <c r="A10" s="834" t="s">
        <v>801</v>
      </c>
      <c r="B10" s="222" t="s">
        <v>2100</v>
      </c>
      <c r="C10" s="223">
        <f ca="1">ROUND(D10*E10/10000,0)</f>
        <v>0</v>
      </c>
      <c r="D10" s="897">
        <f ca="1">IF(B1="",'数据-汇总表'!E6,IF(INDIRECT("'数据-取费表'!c"&amp;$G$1)="住宅",INDIRECT("'数据-取费表'!s"&amp;$G$1),INDIRECT("'数据-取费表'!k"&amp;$G$1)+INDIRECT("'数据-取费表'!s"&amp;$G$1)))</f>
        <v>0</v>
      </c>
      <c r="E10" s="223">
        <f>'数据-取费表'!B28</f>
        <v>200</v>
      </c>
      <c r="F10" s="219"/>
      <c r="G10" s="224"/>
    </row>
    <row r="11" spans="1:9" s="212" customFormat="1" ht="13.5" hidden="1" customHeight="1">
      <c r="A11" s="225" t="s">
        <v>7</v>
      </c>
      <c r="B11" s="213" t="s">
        <v>2101</v>
      </c>
      <c r="C11" s="209"/>
      <c r="D11" s="216"/>
      <c r="E11" s="216"/>
      <c r="F11" s="216"/>
      <c r="G11" s="217"/>
    </row>
    <row r="12" spans="1:9" s="212" customFormat="1" ht="13.5" hidden="1" customHeight="1">
      <c r="A12" s="225" t="s">
        <v>8</v>
      </c>
      <c r="B12" s="213" t="s">
        <v>2102</v>
      </c>
      <c r="C12" s="209">
        <v>0</v>
      </c>
      <c r="D12" s="216"/>
      <c r="E12" s="226"/>
      <c r="F12" s="219">
        <v>3.0499999999999999E-2</v>
      </c>
      <c r="G12" s="217"/>
    </row>
    <row r="13" spans="1:9" s="212" customFormat="1" ht="13.5" hidden="1" customHeight="1">
      <c r="A13" s="225" t="s">
        <v>9</v>
      </c>
      <c r="B13" s="213" t="s">
        <v>2103</v>
      </c>
      <c r="C13" s="209"/>
      <c r="D13" s="216"/>
      <c r="E13" s="216"/>
      <c r="F13" s="216"/>
      <c r="G13" s="217"/>
    </row>
    <row r="14" spans="1:9" s="212" customFormat="1" ht="13.5" hidden="1" customHeight="1">
      <c r="A14" s="225" t="s">
        <v>10</v>
      </c>
      <c r="B14" s="213" t="s">
        <v>2104</v>
      </c>
      <c r="C14" s="209"/>
      <c r="D14" s="216"/>
      <c r="E14" s="216"/>
      <c r="F14" s="216"/>
      <c r="G14" s="217" t="s">
        <v>2105</v>
      </c>
    </row>
    <row r="15" spans="1:9" s="212" customFormat="1" ht="13.5" hidden="1" customHeight="1">
      <c r="A15" s="225" t="s">
        <v>11</v>
      </c>
      <c r="B15" s="213" t="s">
        <v>2106</v>
      </c>
      <c r="C15" s="218"/>
      <c r="D15" s="216"/>
      <c r="E15" s="216"/>
      <c r="F15" s="216"/>
      <c r="G15" s="217" t="s">
        <v>2107</v>
      </c>
    </row>
    <row r="16" spans="1:9" s="212" customFormat="1" ht="13.5" hidden="1" customHeight="1">
      <c r="A16" s="225" t="s">
        <v>12</v>
      </c>
      <c r="B16" s="213" t="s">
        <v>2104</v>
      </c>
      <c r="C16" s="218"/>
      <c r="D16" s="216"/>
      <c r="E16" s="216"/>
      <c r="F16" s="216"/>
      <c r="G16" s="217"/>
    </row>
    <row r="17" spans="1:7" s="212" customFormat="1" ht="13.5" hidden="1" customHeight="1">
      <c r="A17" s="225" t="s">
        <v>13</v>
      </c>
      <c r="B17" s="213" t="s">
        <v>2108</v>
      </c>
      <c r="C17" s="227"/>
      <c r="D17" s="227"/>
      <c r="E17" s="227"/>
      <c r="F17" s="227"/>
      <c r="G17" s="217" t="s">
        <v>2107</v>
      </c>
    </row>
    <row r="18" spans="1:7" s="212" customFormat="1" ht="13.5" hidden="1" customHeight="1">
      <c r="A18" s="225" t="s">
        <v>14</v>
      </c>
      <c r="B18" s="213" t="s">
        <v>2109</v>
      </c>
      <c r="C18" s="218">
        <v>0</v>
      </c>
      <c r="D18" s="216"/>
      <c r="E18" s="216"/>
      <c r="F18" s="219">
        <v>3.0499999999999999E-2</v>
      </c>
      <c r="G18" s="217" t="s">
        <v>2110</v>
      </c>
    </row>
    <row r="19" spans="1:7" s="221" customFormat="1" ht="13.5" customHeight="1">
      <c r="A19" s="253" t="s">
        <v>2111</v>
      </c>
      <c r="B19" s="208" t="s">
        <v>2112</v>
      </c>
      <c r="C19" s="209" t="str">
        <f>IF(G19="已包含在土地取得成本中","0",ROUND(D19*E19/10000,0))</f>
        <v>0</v>
      </c>
      <c r="D19" s="210">
        <f ca="1">D9+D10</f>
        <v>69.52</v>
      </c>
      <c r="E19" s="209">
        <f>'数据-取费表'!B31</f>
        <v>200</v>
      </c>
      <c r="F19" s="229"/>
      <c r="G19" s="1858" t="s">
        <v>3220</v>
      </c>
    </row>
    <row r="20" spans="1:7" s="212" customFormat="1" ht="13.5" customHeight="1">
      <c r="A20" s="253" t="s">
        <v>2113</v>
      </c>
      <c r="B20" s="208" t="s">
        <v>2114</v>
      </c>
      <c r="C20" s="230">
        <f>ROUND((C5+C19)*F20,0)</f>
        <v>23489</v>
      </c>
      <c r="D20" s="230"/>
      <c r="E20" s="230"/>
      <c r="F20" s="231">
        <f>'数据-取费表'!B37</f>
        <v>0.03</v>
      </c>
      <c r="G20" s="232" t="s">
        <v>2115</v>
      </c>
    </row>
    <row r="21" spans="1:7" s="212" customFormat="1" ht="13.5" customHeight="1">
      <c r="A21" s="253" t="s">
        <v>2116</v>
      </c>
      <c r="B21" s="208" t="s">
        <v>2117</v>
      </c>
      <c r="C21" s="233">
        <f>F21</f>
        <v>0.03</v>
      </c>
      <c r="D21" s="234" t="s">
        <v>2118</v>
      </c>
      <c r="E21" s="230"/>
      <c r="F21" s="231">
        <f>'数据-取费表'!B38</f>
        <v>0.03</v>
      </c>
      <c r="G21" s="232" t="s">
        <v>2119</v>
      </c>
    </row>
    <row r="22" spans="1:7" s="212" customFormat="1" ht="13.5" customHeight="1">
      <c r="A22" s="253" t="s">
        <v>2120</v>
      </c>
      <c r="B22" s="208" t="s">
        <v>2121</v>
      </c>
      <c r="C22" s="1166">
        <f ca="1">ROUND(SUM(C23:C25),0)</f>
        <v>74402</v>
      </c>
      <c r="D22" s="233">
        <f ca="1">C26</f>
        <v>1.4E-3</v>
      </c>
      <c r="E22" s="234" t="s">
        <v>2118</v>
      </c>
      <c r="F22" s="235">
        <f ca="1">'数据-取费表'!B40</f>
        <v>6.1500000000000006E-2</v>
      </c>
      <c r="G22" s="232" t="str">
        <f>IF('数据-取费表'!B22&lt;=1,"单利计息","复利计息")</f>
        <v>复利计息</v>
      </c>
    </row>
    <row r="23" spans="1:7" s="212" customFormat="1" ht="13.5" customHeight="1">
      <c r="A23" s="835" t="s">
        <v>2122</v>
      </c>
      <c r="B23" s="213" t="s">
        <v>2123</v>
      </c>
      <c r="C23" s="1167">
        <f ca="1">ROUND(IF('数据-取费表'!B22&lt;=1,C5*F22*'数据-取费表'!B23,C5*(POWER((1+F22),'数据-取费表'!B23)-1)),0)</f>
        <v>73327</v>
      </c>
      <c r="D23" s="236"/>
      <c r="E23" s="236"/>
      <c r="F23" s="237"/>
      <c r="G23" s="238" t="s">
        <v>2124</v>
      </c>
    </row>
    <row r="24" spans="1:7" s="212" customFormat="1" ht="13.5" customHeight="1">
      <c r="A24" s="835" t="s">
        <v>2125</v>
      </c>
      <c r="B24" s="213" t="s">
        <v>2126</v>
      </c>
      <c r="C24" s="1167">
        <f ca="1">ROUND(IF('数据-取费表'!B22&lt;=1,C19*F22*('数据-取费表'!B19/2+'数据-取费表'!B21),C19*(POWER((1+F22),('数据-取费表'!B19/2+'数据-取费表'!B21))-1)),0)</f>
        <v>0</v>
      </c>
      <c r="D24" s="236"/>
      <c r="E24" s="236"/>
      <c r="F24" s="237"/>
      <c r="G24" s="238" t="s">
        <v>2127</v>
      </c>
    </row>
    <row r="25" spans="1:7" s="212" customFormat="1" ht="24">
      <c r="A25" s="835" t="s">
        <v>2128</v>
      </c>
      <c r="B25" s="213" t="s">
        <v>2129</v>
      </c>
      <c r="C25" s="1167">
        <f ca="1">ROUND(IF('数据-取费表'!B22&lt;=1,C20*F22*'数据-取费表'!B23/2,C20*(POWER((1+F22),'数据-取费表'!B23/2)-1)),0)</f>
        <v>1075</v>
      </c>
      <c r="D25" s="236"/>
      <c r="E25" s="239"/>
      <c r="F25" s="237"/>
      <c r="G25" s="240" t="s">
        <v>2130</v>
      </c>
    </row>
    <row r="26" spans="1:7" s="212" customFormat="1">
      <c r="A26" s="835" t="s">
        <v>795</v>
      </c>
      <c r="B26" s="213" t="s">
        <v>2131</v>
      </c>
      <c r="C26" s="236">
        <f ca="1">ROUND(IF('数据-取费表'!B22&lt;=1,F21*F22*'数据-取费表'!B23/2,F21*(POWER((1+F22),'数据-取费表'!B23/2)-1)),4)</f>
        <v>1.4E-3</v>
      </c>
      <c r="D26" s="236"/>
      <c r="E26" s="239"/>
      <c r="F26" s="237"/>
      <c r="G26" s="241"/>
    </row>
    <row r="27" spans="1:7" s="212" customFormat="1" ht="24.75">
      <c r="A27" s="253" t="s">
        <v>2132</v>
      </c>
      <c r="B27" s="242" t="s">
        <v>2133</v>
      </c>
      <c r="C27" s="243">
        <f ca="1">C28</f>
        <v>161289</v>
      </c>
      <c r="D27" s="233">
        <f ca="1">C29</f>
        <v>6.0000000000000001E-3</v>
      </c>
      <c r="E27" s="234" t="s">
        <v>2134</v>
      </c>
      <c r="F27" s="244">
        <f ca="1">IF(B1="",'数据-取费表'!Q16,INDIRECT("'数据-取费表'!q"&amp;$G$1))</f>
        <v>0.2</v>
      </c>
      <c r="G27" s="245" t="s">
        <v>2135</v>
      </c>
    </row>
    <row r="28" spans="1:7" s="212" customFormat="1" ht="13.5" customHeight="1">
      <c r="A28" s="835" t="s">
        <v>791</v>
      </c>
      <c r="B28" s="246" t="s">
        <v>2136</v>
      </c>
      <c r="C28" s="247">
        <f ca="1">ROUND((C5+C19+C20)*F27*'数据-取费表'!B21/'数据-取费表'!B20,0)</f>
        <v>161289</v>
      </c>
      <c r="D28" s="233"/>
      <c r="E28" s="234"/>
      <c r="F28" s="244"/>
      <c r="G28" s="245"/>
    </row>
    <row r="29" spans="1:7" s="212" customFormat="1" ht="13.5" customHeight="1">
      <c r="A29" s="835" t="s">
        <v>792</v>
      </c>
      <c r="B29" s="246" t="s">
        <v>2137</v>
      </c>
      <c r="C29" s="236">
        <f ca="1">ROUND(C21*F27*'数据-取费表'!B21/'数据-取费表'!B20,4)</f>
        <v>6.0000000000000001E-3</v>
      </c>
      <c r="D29" s="233"/>
      <c r="E29" s="234"/>
      <c r="F29" s="244"/>
      <c r="G29" s="245"/>
    </row>
    <row r="30" spans="1:7" s="212" customFormat="1" ht="13.5" customHeight="1">
      <c r="A30" s="253" t="s">
        <v>2138</v>
      </c>
      <c r="B30" s="208" t="s">
        <v>2139</v>
      </c>
      <c r="C30" s="233">
        <f>ROUND(F30/(1+'数据-取费表'!C42),4)</f>
        <v>5.5E-2</v>
      </c>
      <c r="D30" s="234" t="s">
        <v>2134</v>
      </c>
      <c r="E30" s="239"/>
      <c r="F30" s="235">
        <f>'数据-取费表'!B41</f>
        <v>5.5000000000000007E-2</v>
      </c>
      <c r="G30" s="232" t="s">
        <v>2140</v>
      </c>
    </row>
    <row r="31" spans="1:7" ht="16.5" customHeight="1">
      <c r="A31" s="207">
        <v>1</v>
      </c>
      <c r="B31" s="208" t="s">
        <v>2141</v>
      </c>
      <c r="C31" s="209">
        <f ca="1">ROUND((C5+C19+C20+C22+C27)/(1-C21-D22-D27-C30),0)</f>
        <v>1148235</v>
      </c>
      <c r="D31" s="228"/>
      <c r="E31" s="209"/>
      <c r="F31" s="248"/>
      <c r="G31" s="232" t="s">
        <v>2142</v>
      </c>
    </row>
    <row r="32" spans="1:7" s="206" customFormat="1" ht="15.75">
      <c r="A32" s="250" t="s">
        <v>2143</v>
      </c>
      <c r="B32" s="251"/>
      <c r="C32" s="251"/>
      <c r="D32" s="251"/>
      <c r="E32" s="251"/>
      <c r="F32" s="251"/>
      <c r="G32" s="252"/>
    </row>
    <row r="33" spans="1:7" s="212" customFormat="1" ht="13.5" customHeight="1">
      <c r="A33" s="253" t="s">
        <v>782</v>
      </c>
      <c r="B33" s="208" t="s">
        <v>2144</v>
      </c>
      <c r="C33" s="254">
        <f ca="1">SUM(C34:C38)</f>
        <v>26</v>
      </c>
      <c r="D33" s="230"/>
      <c r="E33" s="210"/>
      <c r="F33" s="239"/>
      <c r="G33" s="232"/>
    </row>
    <row r="34" spans="1:7" s="256" customFormat="1" ht="13.5" customHeight="1">
      <c r="A34" s="835" t="s">
        <v>791</v>
      </c>
      <c r="B34" s="213" t="s">
        <v>2145</v>
      </c>
      <c r="C34" s="218">
        <f ca="1">IF(B1="",IF(F34=100%,'数据-取费表'!M16,'数据-取费表'!O16),IF(F34=100%,INDIRECT("'数据-取费表'!m"&amp;$G$1)+INDIRECT("'数据-取费表'!t"&amp;$G$1),INDIRECT("'数据-取费表'!o"&amp;$G$1)+INDIRECT("'数据-取费表'!aq"&amp;$G$1)))</f>
        <v>24</v>
      </c>
      <c r="D34" s="215"/>
      <c r="E34" s="218"/>
      <c r="F34" s="255">
        <f ca="1">IF('数据-取费表'!B24=0,1,IF(B1="",'数据-取费表'!N16,INDIRECT("'数据-取费表'!n"&amp;$G$1)))</f>
        <v>1</v>
      </c>
      <c r="G34" s="217" t="s">
        <v>2146</v>
      </c>
    </row>
    <row r="35" spans="1:7" ht="13.5" customHeight="1">
      <c r="A35" s="835" t="s">
        <v>796</v>
      </c>
      <c r="B35" s="213" t="s">
        <v>2147</v>
      </c>
      <c r="C35" s="218">
        <f ca="1">ROUND(C34*F35,0)</f>
        <v>1</v>
      </c>
      <c r="D35" s="218"/>
      <c r="E35" s="218"/>
      <c r="F35" s="257">
        <f>'数据-取费表'!B33</f>
        <v>0.03</v>
      </c>
      <c r="G35" s="217" t="s">
        <v>2148</v>
      </c>
    </row>
    <row r="36" spans="1:7" ht="24">
      <c r="A36" s="835" t="s">
        <v>797</v>
      </c>
      <c r="B36" s="213" t="s">
        <v>2149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2150</v>
      </c>
    </row>
    <row r="37" spans="1:7" s="256" customFormat="1" ht="13.5" customHeight="1">
      <c r="A37" s="835" t="s">
        <v>798</v>
      </c>
      <c r="B37" s="213" t="s">
        <v>2151</v>
      </c>
      <c r="C37" s="247">
        <f ca="1">ROUND(E37*D37*F34/10000,0)</f>
        <v>1</v>
      </c>
      <c r="D37" s="215">
        <f ca="1">D19</f>
        <v>69.52</v>
      </c>
      <c r="E37" s="247">
        <f>'数据-取费表'!B35</f>
        <v>200</v>
      </c>
      <c r="F37" s="257"/>
      <c r="G37" s="259" t="s">
        <v>2152</v>
      </c>
    </row>
    <row r="38" spans="1:7" ht="13.5" customHeight="1">
      <c r="A38" s="835" t="s">
        <v>799</v>
      </c>
      <c r="B38" s="213" t="s">
        <v>2153</v>
      </c>
      <c r="C38" s="218">
        <f ca="1">ROUND(C34*F38,0)</f>
        <v>0</v>
      </c>
      <c r="D38" s="218"/>
      <c r="E38" s="218"/>
      <c r="F38" s="257">
        <f>'数据-取费表'!B36</f>
        <v>1.4999999999999999E-2</v>
      </c>
      <c r="G38" s="217" t="s">
        <v>2148</v>
      </c>
    </row>
    <row r="39" spans="1:7" s="212" customFormat="1" ht="13.5" customHeight="1">
      <c r="A39" s="253" t="s">
        <v>2154</v>
      </c>
      <c r="B39" s="208" t="s">
        <v>2155</v>
      </c>
      <c r="C39" s="230">
        <f ca="1">ROUND(C33*F20,0)</f>
        <v>1</v>
      </c>
      <c r="D39" s="230"/>
      <c r="E39" s="230"/>
      <c r="F39" s="2309">
        <f>F20</f>
        <v>0.03</v>
      </c>
      <c r="G39" s="232" t="s">
        <v>2156</v>
      </c>
    </row>
    <row r="40" spans="1:7" s="212" customFormat="1" ht="13.5" customHeight="1">
      <c r="A40" s="253" t="s">
        <v>2157</v>
      </c>
      <c r="B40" s="208" t="s">
        <v>2158</v>
      </c>
      <c r="C40" s="233">
        <f>F21</f>
        <v>0.03</v>
      </c>
      <c r="D40" s="234" t="s">
        <v>2159</v>
      </c>
      <c r="E40" s="230"/>
      <c r="F40" s="2309">
        <f>F21</f>
        <v>0.03</v>
      </c>
      <c r="G40" s="232" t="s">
        <v>2160</v>
      </c>
    </row>
    <row r="41" spans="1:7" s="212" customFormat="1" ht="13.5" customHeight="1">
      <c r="A41" s="253" t="s">
        <v>2161</v>
      </c>
      <c r="B41" s="208" t="s">
        <v>2162</v>
      </c>
      <c r="C41" s="230">
        <f ca="1">ROUND(SUM(C42:C43),0)</f>
        <v>1</v>
      </c>
      <c r="D41" s="233">
        <f ca="1">C44</f>
        <v>1.4E-3</v>
      </c>
      <c r="E41" s="234" t="s">
        <v>2159</v>
      </c>
      <c r="F41" s="2310">
        <f ca="1">F22</f>
        <v>6.1500000000000006E-2</v>
      </c>
      <c r="G41" s="232" t="str">
        <f>IF('数据-取费表'!B22&lt;=1,"单利计息","复利计息")</f>
        <v>复利计息</v>
      </c>
    </row>
    <row r="42" spans="1:7" ht="13.5" customHeight="1">
      <c r="A42" s="835" t="s">
        <v>791</v>
      </c>
      <c r="B42" s="213" t="s">
        <v>2163</v>
      </c>
      <c r="C42" s="236">
        <f ca="1">ROUND(IF('数据-取费表'!B22&lt;=1,C33*F22*'数据-取费表'!B21/2,C33*(POWER((1+F22),'数据-取费表'!B21/2)-1)),0)</f>
        <v>1</v>
      </c>
      <c r="D42" s="236"/>
      <c r="E42" s="236"/>
      <c r="F42" s="237"/>
      <c r="G42" s="3347" t="s">
        <v>2164</v>
      </c>
    </row>
    <row r="43" spans="1:7" ht="13.5" customHeight="1">
      <c r="A43" s="835" t="s">
        <v>792</v>
      </c>
      <c r="B43" s="213" t="s">
        <v>2165</v>
      </c>
      <c r="C43" s="236">
        <f ca="1">ROUND(IF('数据-取费表'!B22&lt;=1,C39*F22*'数据-取费表'!B21/2,C39*(POWER((1+F22),'数据-取费表'!B21/2)-1)),0)</f>
        <v>0</v>
      </c>
      <c r="D43" s="236"/>
      <c r="E43" s="236"/>
      <c r="F43" s="237"/>
      <c r="G43" s="3348"/>
    </row>
    <row r="44" spans="1:7" ht="13.5" customHeight="1">
      <c r="A44" s="835" t="s">
        <v>793</v>
      </c>
      <c r="B44" s="213" t="s">
        <v>2166</v>
      </c>
      <c r="C44" s="236">
        <f ca="1">ROUND(IF('数据-取费表'!B22&lt;=1,C40*F22*'数据-取费表'!B21/2,C40*(POWER((1+F22),'数据-取费表'!B21/2)-1)),4)</f>
        <v>1.4E-3</v>
      </c>
      <c r="D44" s="236"/>
      <c r="E44" s="236"/>
      <c r="F44" s="237"/>
      <c r="G44" s="3349"/>
    </row>
    <row r="45" spans="1:7" s="212" customFormat="1" ht="13.5" customHeight="1">
      <c r="A45" s="253" t="s">
        <v>2167</v>
      </c>
      <c r="B45" s="242" t="s">
        <v>2133</v>
      </c>
      <c r="C45" s="243">
        <f ca="1">C46</f>
        <v>5</v>
      </c>
      <c r="D45" s="233">
        <f ca="1">C47</f>
        <v>6.0000000000000001E-3</v>
      </c>
      <c r="E45" s="234" t="s">
        <v>2159</v>
      </c>
      <c r="F45" s="2311">
        <f ca="1">F27</f>
        <v>0.2</v>
      </c>
      <c r="G45" s="245" t="s">
        <v>2168</v>
      </c>
    </row>
    <row r="46" spans="1:7" s="212" customFormat="1" ht="13.5" customHeight="1">
      <c r="A46" s="835" t="s">
        <v>791</v>
      </c>
      <c r="B46" s="246" t="s">
        <v>2169</v>
      </c>
      <c r="C46" s="247">
        <f ca="1">ROUND((C33+C39)*F27,0)</f>
        <v>5</v>
      </c>
      <c r="D46" s="261"/>
      <c r="E46" s="234"/>
      <c r="F46" s="244"/>
      <c r="G46" s="245"/>
    </row>
    <row r="47" spans="1:7" s="212" customFormat="1" ht="13.5" customHeight="1">
      <c r="A47" s="835" t="s">
        <v>792</v>
      </c>
      <c r="B47" s="246" t="s">
        <v>2170</v>
      </c>
      <c r="C47" s="236">
        <f ca="1">ROUND(C40*F27,4)</f>
        <v>6.0000000000000001E-3</v>
      </c>
      <c r="D47" s="261"/>
      <c r="E47" s="234"/>
      <c r="F47" s="244"/>
      <c r="G47" s="245"/>
    </row>
    <row r="48" spans="1:7" s="212" customFormat="1" ht="13.5" customHeight="1">
      <c r="A48" s="253" t="s">
        <v>2132</v>
      </c>
      <c r="B48" s="208" t="s">
        <v>2171</v>
      </c>
      <c r="C48" s="233">
        <f>ROUND(F30/(1+'数据-取费表'!C42),4)</f>
        <v>5.5E-2</v>
      </c>
      <c r="D48" s="234" t="s">
        <v>2159</v>
      </c>
      <c r="E48" s="230"/>
      <c r="F48" s="2310">
        <f>F30</f>
        <v>5.5000000000000007E-2</v>
      </c>
      <c r="G48" s="232" t="s">
        <v>2172</v>
      </c>
    </row>
    <row r="49" spans="1:7" ht="16.5" customHeight="1">
      <c r="A49" s="253" t="s">
        <v>2138</v>
      </c>
      <c r="B49" s="208" t="s">
        <v>2173</v>
      </c>
      <c r="C49" s="230">
        <f ca="1">ROUND((C33+C39+C41+C45)/(1-C40-D41-D45-C48),0)</f>
        <v>36</v>
      </c>
      <c r="D49" s="230"/>
      <c r="E49" s="230"/>
      <c r="F49" s="262"/>
      <c r="G49" s="232" t="s">
        <v>2174</v>
      </c>
    </row>
    <row r="50" spans="1:7" s="256" customFormat="1" ht="24">
      <c r="A50" s="253" t="s">
        <v>2175</v>
      </c>
      <c r="B50" s="208" t="s">
        <v>2176</v>
      </c>
      <c r="C50" s="230"/>
      <c r="D50" s="230"/>
      <c r="E50" s="230"/>
      <c r="F50" s="262">
        <f>IF('数据-取费表'!B24=0,'数据-取费表'!N16,1)</f>
        <v>0.76</v>
      </c>
      <c r="G50" s="245" t="s">
        <v>2177</v>
      </c>
    </row>
    <row r="51" spans="1:7" ht="16.5" customHeight="1">
      <c r="A51" s="253" t="s">
        <v>2178</v>
      </c>
      <c r="B51" s="208" t="s">
        <v>2179</v>
      </c>
      <c r="C51" s="230">
        <f ca="1">ROUND(C49*F50,0)</f>
        <v>27</v>
      </c>
      <c r="D51" s="230"/>
      <c r="E51" s="230"/>
      <c r="F51" s="262"/>
      <c r="G51" s="232" t="s">
        <v>2180</v>
      </c>
    </row>
    <row r="52" spans="1:7" s="206" customFormat="1" ht="16.5" thickBot="1">
      <c r="A52" s="263" t="s">
        <v>2181</v>
      </c>
      <c r="B52" s="264"/>
      <c r="C52" s="265">
        <f ca="1">C31+C51</f>
        <v>1148262</v>
      </c>
      <c r="D52" s="264"/>
      <c r="E52" s="264"/>
      <c r="F52" s="264"/>
      <c r="G52" s="266"/>
    </row>
    <row r="55" spans="1:7" ht="15">
      <c r="B55" s="268" t="s">
        <v>2182</v>
      </c>
      <c r="C55" s="269"/>
    </row>
    <row r="56" spans="1:7">
      <c r="B56" s="271" t="s">
        <v>1417</v>
      </c>
      <c r="C56" s="273">
        <f ca="1">1-C57</f>
        <v>1</v>
      </c>
    </row>
    <row r="57" spans="1:7">
      <c r="B57" s="271" t="s">
        <v>1418</v>
      </c>
      <c r="C57" s="272">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98" zoomScaleNormal="70" zoomScaleSheetLayoutView="98" workbookViewId="0">
      <selection activeCell="B2" sqref="B2"/>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2081</v>
      </c>
      <c r="B1" s="1518" t="s">
        <v>3310</v>
      </c>
      <c r="C1" s="1861" t="s">
        <v>2183</v>
      </c>
      <c r="D1" s="196"/>
      <c r="E1" s="196"/>
      <c r="F1" s="196"/>
      <c r="G1" s="1189">
        <f>MATCH(B1,'数据-取费表'!A6:A16,0)+5</f>
        <v>6</v>
      </c>
      <c r="H1" s="1122" t="str">
        <f>IF(ISERROR(FIND("住宅",B1)),"非住宅","住宅")</f>
        <v>住宅</v>
      </c>
    </row>
    <row r="2" spans="1:8" s="198" customFormat="1" ht="18" customHeight="1">
      <c r="A2" s="199" t="s">
        <v>2082</v>
      </c>
      <c r="B2" s="200">
        <f ca="1">ROUND(IF(D2="——",C52/10000,C52/10000-E2),4)</f>
        <v>147.30850000000001</v>
      </c>
      <c r="C2" s="197" t="s">
        <v>2083</v>
      </c>
      <c r="D2" s="1855" t="s">
        <v>70</v>
      </c>
      <c r="E2" s="1216">
        <f ca="1">SUMIF(INDIRECT("'"&amp;G2&amp;"'"&amp;"!A:A"),"承租人权益价值",INDIRECT("'"&amp;G2&amp;"'"&amp;"!c:c"))</f>
        <v>0</v>
      </c>
      <c r="F2" s="1856" t="s">
        <v>2083</v>
      </c>
      <c r="G2" s="1857" t="s">
        <v>3222</v>
      </c>
    </row>
    <row r="3" spans="1:8" s="198" customFormat="1" ht="18" customHeight="1" thickBot="1">
      <c r="A3" s="201" t="s">
        <v>2084</v>
      </c>
      <c r="B3" s="202">
        <f ca="1">ROUND(B2*10000/(IF(B1="",'数据-汇总表'!E3,INDIRECT("'数据-取费表'!k"&amp;$G$1))),0)</f>
        <v>21189</v>
      </c>
      <c r="C3" s="197" t="s">
        <v>2085</v>
      </c>
      <c r="D3" s="197"/>
      <c r="E3" s="197"/>
      <c r="F3" s="197"/>
      <c r="G3" s="197"/>
    </row>
    <row r="4" spans="1:8" s="206" customFormat="1" ht="15.75">
      <c r="A4" s="203" t="s">
        <v>2086</v>
      </c>
      <c r="B4" s="204"/>
      <c r="C4" s="204"/>
      <c r="D4" s="204"/>
      <c r="E4" s="204"/>
      <c r="F4" s="204"/>
      <c r="G4" s="205"/>
    </row>
    <row r="5" spans="1:8" s="212" customFormat="1" ht="13.5" customHeight="1">
      <c r="A5" s="253" t="s">
        <v>2087</v>
      </c>
      <c r="B5" s="208" t="s">
        <v>2088</v>
      </c>
      <c r="C5" s="209">
        <f ca="1">C6+C7+C8</f>
        <v>794080</v>
      </c>
      <c r="D5" s="209" t="s">
        <v>2089</v>
      </c>
      <c r="E5" s="210" t="s">
        <v>2090</v>
      </c>
      <c r="F5" s="210" t="s">
        <v>2091</v>
      </c>
      <c r="G5" s="211"/>
    </row>
    <row r="6" spans="1:8" s="212" customFormat="1" ht="13.5" customHeight="1">
      <c r="A6" s="833" t="s">
        <v>2092</v>
      </c>
      <c r="B6" s="213" t="s">
        <v>2093</v>
      </c>
      <c r="C6" s="214">
        <f>基准地价修正!E29</f>
        <v>759784</v>
      </c>
      <c r="D6" s="215"/>
      <c r="E6" s="216"/>
      <c r="F6" s="216"/>
      <c r="G6" s="217"/>
    </row>
    <row r="7" spans="1:8" s="212" customFormat="1" ht="13.5" customHeight="1">
      <c r="A7" s="833" t="s">
        <v>2094</v>
      </c>
      <c r="B7" s="213" t="s">
        <v>2095</v>
      </c>
      <c r="C7" s="218">
        <f>ROUND(C6*F7,0)</f>
        <v>23173</v>
      </c>
      <c r="D7" s="218"/>
      <c r="E7" s="216"/>
      <c r="F7" s="219">
        <f>IF(项目基本情况!B8="出让",0,'数据-取费表'!B48+'数据-取费表'!B49)</f>
        <v>3.0499999999999999E-2</v>
      </c>
      <c r="G7" s="217"/>
    </row>
    <row r="8" spans="1:8" s="221" customFormat="1">
      <c r="A8" s="833" t="s">
        <v>2096</v>
      </c>
      <c r="B8" s="213" t="s">
        <v>2097</v>
      </c>
      <c r="C8" s="218">
        <f ca="1">IF(G8="已包含在土地购买价格中",0,C9+C10)</f>
        <v>11123</v>
      </c>
      <c r="D8" s="220"/>
      <c r="E8" s="218"/>
      <c r="F8" s="219"/>
      <c r="G8" s="1858"/>
    </row>
    <row r="9" spans="1:8" s="212" customFormat="1" ht="13.5" customHeight="1">
      <c r="A9" s="834" t="s">
        <v>800</v>
      </c>
      <c r="B9" s="222" t="s">
        <v>2098</v>
      </c>
      <c r="C9" s="223">
        <f ca="1">ROUND(D9*E9,0)</f>
        <v>11123</v>
      </c>
      <c r="D9" s="897">
        <f ca="1">IF(B1="",'数据-汇总表'!E5,IF(INDIRECT("'数据-取费表'!c"&amp;$G$1)="住宅",INDIRECT("'数据-取费表'!k"&amp;$G$1),0))</f>
        <v>69.52</v>
      </c>
      <c r="E9" s="223">
        <f>'数据-取费表'!B27</f>
        <v>160</v>
      </c>
      <c r="F9" s="219"/>
      <c r="G9" s="224"/>
    </row>
    <row r="10" spans="1:8" s="212" customFormat="1" ht="13.5" customHeight="1">
      <c r="A10" s="834" t="s">
        <v>801</v>
      </c>
      <c r="B10" s="222" t="s">
        <v>2100</v>
      </c>
      <c r="C10" s="223">
        <f ca="1">ROUND(D10*E10,0)</f>
        <v>0</v>
      </c>
      <c r="D10" s="897">
        <f ca="1">IF(B1="",'数据-汇总表'!E6,IF(INDIRECT("'数据-取费表'!c"&amp;$G$1)="住宅",INDIRECT("'数据-取费表'!s"&amp;$G$1),INDIRECT("'数据-取费表'!k"&amp;$G$1)+INDIRECT("'数据-取费表'!s"&amp;$G$1)))</f>
        <v>0</v>
      </c>
      <c r="E10" s="223">
        <f>'数据-取费表'!B28</f>
        <v>200</v>
      </c>
      <c r="F10" s="219"/>
      <c r="G10" s="224"/>
    </row>
    <row r="11" spans="1:8" s="212" customFormat="1" ht="13.5" hidden="1" customHeight="1">
      <c r="A11" s="225" t="s">
        <v>7</v>
      </c>
      <c r="B11" s="213" t="s">
        <v>2101</v>
      </c>
      <c r="C11" s="209"/>
      <c r="D11" s="216"/>
      <c r="E11" s="216"/>
      <c r="F11" s="216"/>
      <c r="G11" s="217"/>
    </row>
    <row r="12" spans="1:8" s="212" customFormat="1" ht="13.5" hidden="1" customHeight="1">
      <c r="A12" s="225" t="s">
        <v>8</v>
      </c>
      <c r="B12" s="213" t="s">
        <v>2184</v>
      </c>
      <c r="C12" s="209">
        <v>0</v>
      </c>
      <c r="D12" s="216"/>
      <c r="E12" s="226"/>
      <c r="F12" s="219">
        <v>3.0499999999999999E-2</v>
      </c>
      <c r="G12" s="217"/>
    </row>
    <row r="13" spans="1:8" s="212" customFormat="1" ht="13.5" hidden="1" customHeight="1">
      <c r="A13" s="225" t="s">
        <v>9</v>
      </c>
      <c r="B13" s="213" t="s">
        <v>2185</v>
      </c>
      <c r="C13" s="209"/>
      <c r="D13" s="216"/>
      <c r="E13" s="216"/>
      <c r="F13" s="216"/>
      <c r="G13" s="217"/>
    </row>
    <row r="14" spans="1:8" s="212" customFormat="1" ht="13.5" hidden="1" customHeight="1">
      <c r="A14" s="225" t="s">
        <v>10</v>
      </c>
      <c r="B14" s="213" t="s">
        <v>2097</v>
      </c>
      <c r="C14" s="209"/>
      <c r="D14" s="216"/>
      <c r="E14" s="216"/>
      <c r="F14" s="216"/>
      <c r="G14" s="217" t="s">
        <v>2186</v>
      </c>
    </row>
    <row r="15" spans="1:8" s="212" customFormat="1" ht="13.5" hidden="1" customHeight="1">
      <c r="A15" s="225" t="s">
        <v>11</v>
      </c>
      <c r="B15" s="213" t="s">
        <v>2187</v>
      </c>
      <c r="C15" s="218"/>
      <c r="D15" s="216"/>
      <c r="E15" s="216"/>
      <c r="F15" s="216"/>
      <c r="G15" s="217" t="s">
        <v>2188</v>
      </c>
    </row>
    <row r="16" spans="1:8" s="212" customFormat="1" ht="13.5" hidden="1" customHeight="1">
      <c r="A16" s="225" t="s">
        <v>12</v>
      </c>
      <c r="B16" s="213" t="s">
        <v>2097</v>
      </c>
      <c r="C16" s="218"/>
      <c r="D16" s="216"/>
      <c r="E16" s="216"/>
      <c r="F16" s="216"/>
      <c r="G16" s="217"/>
    </row>
    <row r="17" spans="1:7" s="212" customFormat="1" ht="13.5" hidden="1" customHeight="1">
      <c r="A17" s="225" t="s">
        <v>13</v>
      </c>
      <c r="B17" s="213" t="s">
        <v>2189</v>
      </c>
      <c r="C17" s="227"/>
      <c r="D17" s="227"/>
      <c r="E17" s="227"/>
      <c r="F17" s="227"/>
      <c r="G17" s="217" t="s">
        <v>2188</v>
      </c>
    </row>
    <row r="18" spans="1:7" s="212" customFormat="1" ht="13.5" hidden="1" customHeight="1">
      <c r="A18" s="225" t="s">
        <v>14</v>
      </c>
      <c r="B18" s="213" t="s">
        <v>2190</v>
      </c>
      <c r="C18" s="218">
        <v>0</v>
      </c>
      <c r="D18" s="216"/>
      <c r="E18" s="216"/>
      <c r="F18" s="219">
        <v>3.0499999999999999E-2</v>
      </c>
      <c r="G18" s="217" t="s">
        <v>2191</v>
      </c>
    </row>
    <row r="19" spans="1:7" s="221" customFormat="1" ht="13.5" customHeight="1">
      <c r="A19" s="253" t="s">
        <v>2192</v>
      </c>
      <c r="B19" s="208" t="s">
        <v>2193</v>
      </c>
      <c r="C19" s="209">
        <f ca="1">IF(G19="已包含在土地取得成本中","0",ROUND(D19*E19,0))</f>
        <v>13904</v>
      </c>
      <c r="D19" s="210">
        <f ca="1">D9+D10</f>
        <v>69.52</v>
      </c>
      <c r="E19" s="209">
        <f>'数据-取费表'!B31</f>
        <v>200</v>
      </c>
      <c r="F19" s="229"/>
      <c r="G19" s="1858"/>
    </row>
    <row r="20" spans="1:7" s="212" customFormat="1" ht="13.5" customHeight="1">
      <c r="A20" s="253" t="s">
        <v>2194</v>
      </c>
      <c r="B20" s="208" t="s">
        <v>2195</v>
      </c>
      <c r="C20" s="230">
        <f ca="1">ROUND((C5+C19)*F20,0)</f>
        <v>24240</v>
      </c>
      <c r="D20" s="230"/>
      <c r="E20" s="230"/>
      <c r="F20" s="231">
        <f>'数据-取费表'!B37</f>
        <v>0.03</v>
      </c>
      <c r="G20" s="232" t="s">
        <v>2196</v>
      </c>
    </row>
    <row r="21" spans="1:7" s="212" customFormat="1" ht="13.5" customHeight="1">
      <c r="A21" s="253" t="s">
        <v>2197</v>
      </c>
      <c r="B21" s="208" t="s">
        <v>2198</v>
      </c>
      <c r="C21" s="233">
        <f>F21</f>
        <v>0.03</v>
      </c>
      <c r="D21" s="234" t="s">
        <v>2199</v>
      </c>
      <c r="E21" s="230"/>
      <c r="F21" s="231">
        <f>'数据-取费表'!B38</f>
        <v>0.03</v>
      </c>
      <c r="G21" s="232" t="s">
        <v>2200</v>
      </c>
    </row>
    <row r="22" spans="1:7" s="212" customFormat="1" ht="13.5" customHeight="1">
      <c r="A22" s="253" t="s">
        <v>2201</v>
      </c>
      <c r="B22" s="208" t="s">
        <v>2202</v>
      </c>
      <c r="C22" s="230">
        <f ca="1">ROUND(SUM(C23:C25),0)</f>
        <v>76781</v>
      </c>
      <c r="D22" s="233">
        <f ca="1">C26</f>
        <v>1.4E-3</v>
      </c>
      <c r="E22" s="234" t="s">
        <v>2199</v>
      </c>
      <c r="F22" s="235">
        <f ca="1">'数据-取费表'!B40</f>
        <v>6.1500000000000006E-2</v>
      </c>
      <c r="G22" s="232" t="str">
        <f>IF('数据-取费表'!B22&lt;=1,"单利计息","复利计息")</f>
        <v>复利计息</v>
      </c>
    </row>
    <row r="23" spans="1:7" s="212" customFormat="1" ht="13.5" customHeight="1">
      <c r="A23" s="835" t="s">
        <v>2092</v>
      </c>
      <c r="B23" s="213" t="s">
        <v>2203</v>
      </c>
      <c r="C23" s="236">
        <f ca="1">ROUND(IF('数据-取费表'!B22&lt;=1,C5*F22*'数据-取费表'!B22,C5*(POWER((1+F22),'数据-取费表'!B22)-1)),0)</f>
        <v>74369</v>
      </c>
      <c r="D23" s="236"/>
      <c r="E23" s="236"/>
      <c r="F23" s="237"/>
      <c r="G23" s="238" t="s">
        <v>2204</v>
      </c>
    </row>
    <row r="24" spans="1:7" s="212" customFormat="1" ht="13.5" customHeight="1">
      <c r="A24" s="835" t="s">
        <v>2094</v>
      </c>
      <c r="B24" s="213" t="s">
        <v>2205</v>
      </c>
      <c r="C24" s="236">
        <f ca="1">ROUND(IF('数据-取费表'!B22&lt;=1,C19*F22*('数据-取费表'!B19/2+'数据-取费表'!B20),C19*(POWER((1+F22),('数据-取费表'!B19/2+'数据-取费表'!B20))-1)),0)</f>
        <v>1302</v>
      </c>
      <c r="D24" s="236"/>
      <c r="E24" s="236"/>
      <c r="F24" s="237"/>
      <c r="G24" s="238" t="s">
        <v>2206</v>
      </c>
    </row>
    <row r="25" spans="1:7" s="212" customFormat="1" ht="24">
      <c r="A25" s="835" t="s">
        <v>2096</v>
      </c>
      <c r="B25" s="213" t="s">
        <v>2207</v>
      </c>
      <c r="C25" s="236">
        <f ca="1">ROUND(IF('数据-取费表'!B22&lt;=1,C20*F22*'数据-取费表'!B22/2,C20*(POWER((1+F22),'数据-取费表'!B22/2)-1)),0)</f>
        <v>1110</v>
      </c>
      <c r="D25" s="236"/>
      <c r="E25" s="239"/>
      <c r="F25" s="237"/>
      <c r="G25" s="240" t="s">
        <v>2208</v>
      </c>
    </row>
    <row r="26" spans="1:7" s="212" customFormat="1">
      <c r="A26" s="835" t="s">
        <v>795</v>
      </c>
      <c r="B26" s="213" t="s">
        <v>2131</v>
      </c>
      <c r="C26" s="236">
        <f ca="1">ROUND(IF('数据-取费表'!B22&lt;=1,F21*F22*'数据-取费表'!B22/2,F21*(POWER((1+F22),'数据-取费表'!B22/2)-1)),4)</f>
        <v>1.4E-3</v>
      </c>
      <c r="D26" s="236"/>
      <c r="E26" s="239"/>
      <c r="F26" s="237"/>
      <c r="G26" s="241"/>
    </row>
    <row r="27" spans="1:7" s="212" customFormat="1" ht="24.75">
      <c r="A27" s="253" t="s">
        <v>2132</v>
      </c>
      <c r="B27" s="242" t="s">
        <v>2133</v>
      </c>
      <c r="C27" s="243">
        <f ca="1">C28</f>
        <v>166445</v>
      </c>
      <c r="D27" s="233">
        <f ca="1">C29</f>
        <v>6.0000000000000001E-3</v>
      </c>
      <c r="E27" s="234" t="s">
        <v>2134</v>
      </c>
      <c r="F27" s="244">
        <f ca="1">IF(B1="",'数据-取费表'!Q16,INDIRECT("'数据-取费表'!q"&amp;$G$1))</f>
        <v>0.2</v>
      </c>
      <c r="G27" s="245" t="s">
        <v>2135</v>
      </c>
    </row>
    <row r="28" spans="1:7" s="212" customFormat="1" ht="13.5" customHeight="1">
      <c r="A28" s="835" t="s">
        <v>791</v>
      </c>
      <c r="B28" s="246" t="s">
        <v>2136</v>
      </c>
      <c r="C28" s="247">
        <f ca="1">ROUND((C5+C19+C20)*F27,0)</f>
        <v>166445</v>
      </c>
      <c r="D28" s="233"/>
      <c r="E28" s="234"/>
      <c r="F28" s="244"/>
      <c r="G28" s="245"/>
    </row>
    <row r="29" spans="1:7" s="212" customFormat="1" ht="13.5" customHeight="1">
      <c r="A29" s="835" t="s">
        <v>792</v>
      </c>
      <c r="B29" s="246" t="s">
        <v>2137</v>
      </c>
      <c r="C29" s="236">
        <f ca="1">ROUND(C21*F27,4)</f>
        <v>6.0000000000000001E-3</v>
      </c>
      <c r="D29" s="233"/>
      <c r="E29" s="234"/>
      <c r="F29" s="244"/>
      <c r="G29" s="245"/>
    </row>
    <row r="30" spans="1:7" s="212" customFormat="1" ht="13.5" customHeight="1">
      <c r="A30" s="253" t="s">
        <v>2138</v>
      </c>
      <c r="B30" s="208" t="s">
        <v>2139</v>
      </c>
      <c r="C30" s="233">
        <f>ROUND(F30/(1+'数据-取费表'!C42),4)</f>
        <v>5.5E-2</v>
      </c>
      <c r="D30" s="234" t="s">
        <v>2134</v>
      </c>
      <c r="E30" s="239"/>
      <c r="F30" s="235">
        <f>'数据-取费表'!B41</f>
        <v>5.5000000000000007E-2</v>
      </c>
      <c r="G30" s="232" t="s">
        <v>2140</v>
      </c>
    </row>
    <row r="31" spans="1:7" ht="16.5" customHeight="1">
      <c r="A31" s="207">
        <v>1</v>
      </c>
      <c r="B31" s="208" t="s">
        <v>2141</v>
      </c>
      <c r="C31" s="209">
        <f ca="1">ROUND((C5+C19+C20+C22+C27)/(1-C21-D22-D27-C30),0)</f>
        <v>1184938</v>
      </c>
      <c r="D31" s="228"/>
      <c r="E31" s="209"/>
      <c r="F31" s="248"/>
      <c r="G31" s="232" t="s">
        <v>2142</v>
      </c>
    </row>
    <row r="32" spans="1:7" s="206" customFormat="1" ht="15.75">
      <c r="A32" s="250" t="s">
        <v>2209</v>
      </c>
      <c r="B32" s="251"/>
      <c r="C32" s="251"/>
      <c r="D32" s="251"/>
      <c r="E32" s="251"/>
      <c r="F32" s="251"/>
      <c r="G32" s="252"/>
    </row>
    <row r="33" spans="1:7" s="212" customFormat="1" ht="13.5" customHeight="1">
      <c r="A33" s="253" t="s">
        <v>782</v>
      </c>
      <c r="B33" s="208" t="s">
        <v>2210</v>
      </c>
      <c r="C33" s="254">
        <f ca="1">SUM(C34:C38)</f>
        <v>268174</v>
      </c>
      <c r="D33" s="230"/>
      <c r="E33" s="210"/>
      <c r="F33" s="239"/>
      <c r="G33" s="232"/>
    </row>
    <row r="34" spans="1:7" s="256" customFormat="1" ht="13.5" customHeight="1">
      <c r="A34" s="835" t="s">
        <v>791</v>
      </c>
      <c r="B34" s="213" t="s">
        <v>2145</v>
      </c>
      <c r="C34" s="218">
        <f ca="1">ROUND(IF(B1="",SUMPRODUCT('数据-取费表'!K6:K14,'数据-取费表'!L6:L14),INDIRECT("'数据-取费表'!l"&amp;$G$1)*INDIRECT("'数据-取费表'!k"&amp;$G$1)+'数据-取费表'!L14*INDIRECT("'数据-取费表'!S"&amp;$G$1)),0)</f>
        <v>243320</v>
      </c>
      <c r="D34" s="215"/>
      <c r="E34" s="218"/>
      <c r="F34" s="255"/>
      <c r="G34" s="217"/>
    </row>
    <row r="35" spans="1:7" ht="13.5" customHeight="1">
      <c r="A35" s="835" t="s">
        <v>796</v>
      </c>
      <c r="B35" s="213" t="s">
        <v>2147</v>
      </c>
      <c r="C35" s="218">
        <f ca="1">ROUND(C34*F35,0)</f>
        <v>7300</v>
      </c>
      <c r="D35" s="218"/>
      <c r="E35" s="218"/>
      <c r="F35" s="257">
        <f>'数据-取费表'!B33</f>
        <v>0.03</v>
      </c>
      <c r="G35" s="217" t="s">
        <v>2148</v>
      </c>
    </row>
    <row r="36" spans="1:7" ht="24">
      <c r="A36" s="835" t="s">
        <v>797</v>
      </c>
      <c r="B36" s="213" t="s">
        <v>2149</v>
      </c>
      <c r="C36" s="218">
        <f ca="1">ROUND(IF(B1="",SUM('数据-取费表'!AP6:AP13)*F36,IF(INDIRECT("'数据-取费表'!c"&amp;$G$1)="住宅",INDIRECT("'数据-取费表'!k"&amp;$G$1)*INDIRECT("'数据-取费表'!l"&amp;$G$1)*F36,0)),0)</f>
        <v>0</v>
      </c>
      <c r="D36" s="218"/>
      <c r="E36" s="218"/>
      <c r="F36" s="257">
        <f>'数据-取费表'!B34</f>
        <v>0</v>
      </c>
      <c r="G36" s="258" t="s">
        <v>2150</v>
      </c>
    </row>
    <row r="37" spans="1:7" s="256" customFormat="1" ht="13.5" customHeight="1">
      <c r="A37" s="835" t="s">
        <v>798</v>
      </c>
      <c r="B37" s="213" t="s">
        <v>2151</v>
      </c>
      <c r="C37" s="247">
        <f ca="1">ROUND(E37*D37,0)</f>
        <v>13904</v>
      </c>
      <c r="D37" s="215">
        <f ca="1">D19</f>
        <v>69.52</v>
      </c>
      <c r="E37" s="247">
        <f>'数据-取费表'!B35</f>
        <v>200</v>
      </c>
      <c r="F37" s="257"/>
      <c r="G37" s="259"/>
    </row>
    <row r="38" spans="1:7" ht="13.5" customHeight="1">
      <c r="A38" s="835" t="s">
        <v>799</v>
      </c>
      <c r="B38" s="213" t="s">
        <v>2153</v>
      </c>
      <c r="C38" s="218">
        <f ca="1">ROUND(C34*F38,0)</f>
        <v>3650</v>
      </c>
      <c r="D38" s="218"/>
      <c r="E38" s="218"/>
      <c r="F38" s="257">
        <f>'数据-取费表'!B36</f>
        <v>1.4999999999999999E-2</v>
      </c>
      <c r="G38" s="217" t="s">
        <v>2148</v>
      </c>
    </row>
    <row r="39" spans="1:7" s="212" customFormat="1" ht="13.5" customHeight="1">
      <c r="A39" s="253" t="s">
        <v>2154</v>
      </c>
      <c r="B39" s="208" t="s">
        <v>2155</v>
      </c>
      <c r="C39" s="230">
        <f ca="1">ROUND(C33*F20,0)</f>
        <v>8045</v>
      </c>
      <c r="D39" s="230"/>
      <c r="E39" s="230"/>
      <c r="F39" s="2309">
        <f>F20</f>
        <v>0.03</v>
      </c>
      <c r="G39" s="232" t="s">
        <v>2156</v>
      </c>
    </row>
    <row r="40" spans="1:7" s="212" customFormat="1" ht="13.5" customHeight="1">
      <c r="A40" s="253" t="s">
        <v>2157</v>
      </c>
      <c r="B40" s="208" t="s">
        <v>2158</v>
      </c>
      <c r="C40" s="233">
        <f>F21</f>
        <v>0.03</v>
      </c>
      <c r="D40" s="234" t="s">
        <v>2159</v>
      </c>
      <c r="E40" s="230"/>
      <c r="F40" s="2309">
        <f>F21</f>
        <v>0.03</v>
      </c>
      <c r="G40" s="232" t="s">
        <v>2160</v>
      </c>
    </row>
    <row r="41" spans="1:7" s="212" customFormat="1" ht="13.5" customHeight="1">
      <c r="A41" s="253" t="s">
        <v>2161</v>
      </c>
      <c r="B41" s="208" t="s">
        <v>2162</v>
      </c>
      <c r="C41" s="230">
        <f ca="1">ROUND(SUM(C42:C43),0)</f>
        <v>12645</v>
      </c>
      <c r="D41" s="233">
        <f ca="1">C44</f>
        <v>1.4E-3</v>
      </c>
      <c r="E41" s="234" t="s">
        <v>2159</v>
      </c>
      <c r="F41" s="2310">
        <f ca="1">F22</f>
        <v>6.1500000000000006E-2</v>
      </c>
      <c r="G41" s="232" t="str">
        <f>IF('数据-取费表'!B22&lt;=1,"单利计息","复利计息")</f>
        <v>复利计息</v>
      </c>
    </row>
    <row r="42" spans="1:7" ht="13.5" customHeight="1">
      <c r="A42" s="835" t="s">
        <v>791</v>
      </c>
      <c r="B42" s="213" t="s">
        <v>2163</v>
      </c>
      <c r="C42" s="236">
        <f ca="1">ROUND(IF('数据-取费表'!B22&lt;=1,C33*F22*'数据-取费表'!B20/2,C33*(POWER((1+F22),'数据-取费表'!B20/2)-1)),0)</f>
        <v>12277</v>
      </c>
      <c r="D42" s="236"/>
      <c r="E42" s="236"/>
      <c r="F42" s="237"/>
      <c r="G42" s="3347" t="s">
        <v>2211</v>
      </c>
    </row>
    <row r="43" spans="1:7" ht="13.5" customHeight="1">
      <c r="A43" s="835" t="s">
        <v>792</v>
      </c>
      <c r="B43" s="213" t="s">
        <v>2165</v>
      </c>
      <c r="C43" s="236">
        <f ca="1">ROUND(IF('数据-取费表'!B22&lt;=1,C39*F22*'数据-取费表'!B20/2,C39*(POWER((1+F22),'数据-取费表'!B20/2)-1)),0)</f>
        <v>368</v>
      </c>
      <c r="D43" s="236"/>
      <c r="E43" s="236"/>
      <c r="F43" s="237"/>
      <c r="G43" s="3348"/>
    </row>
    <row r="44" spans="1:7" ht="13.5" customHeight="1">
      <c r="A44" s="835" t="s">
        <v>793</v>
      </c>
      <c r="B44" s="213" t="s">
        <v>2166</v>
      </c>
      <c r="C44" s="236">
        <f ca="1">ROUND(IF('数据-取费表'!B22&lt;=1,C40*F22*'数据-取费表'!B20/2,C40*(POWER((1+F22),'数据-取费表'!B20/2)-1)),4)</f>
        <v>1.4E-3</v>
      </c>
      <c r="D44" s="236"/>
      <c r="E44" s="236"/>
      <c r="F44" s="237"/>
      <c r="G44" s="3349"/>
    </row>
    <row r="45" spans="1:7" s="212" customFormat="1" ht="13.5" customHeight="1">
      <c r="A45" s="253" t="s">
        <v>2167</v>
      </c>
      <c r="B45" s="242" t="s">
        <v>2133</v>
      </c>
      <c r="C45" s="243">
        <f ca="1">C46</f>
        <v>55244</v>
      </c>
      <c r="D45" s="233">
        <f ca="1">C47</f>
        <v>6.0000000000000001E-3</v>
      </c>
      <c r="E45" s="234" t="s">
        <v>2159</v>
      </c>
      <c r="F45" s="2311">
        <f ca="1">F27</f>
        <v>0.2</v>
      </c>
      <c r="G45" s="245" t="s">
        <v>2168</v>
      </c>
    </row>
    <row r="46" spans="1:7" s="212" customFormat="1" ht="13.5" customHeight="1">
      <c r="A46" s="835" t="s">
        <v>791</v>
      </c>
      <c r="B46" s="246" t="s">
        <v>2169</v>
      </c>
      <c r="C46" s="247">
        <f ca="1">ROUND((C33+C39)*F27,0)</f>
        <v>55244</v>
      </c>
      <c r="D46" s="261"/>
      <c r="E46" s="234"/>
      <c r="F46" s="244"/>
      <c r="G46" s="245"/>
    </row>
    <row r="47" spans="1:7" s="212" customFormat="1" ht="13.5" customHeight="1">
      <c r="A47" s="835" t="s">
        <v>792</v>
      </c>
      <c r="B47" s="246" t="s">
        <v>2170</v>
      </c>
      <c r="C47" s="236">
        <f ca="1">ROUND(C40*F27,4)</f>
        <v>6.0000000000000001E-3</v>
      </c>
      <c r="D47" s="261"/>
      <c r="E47" s="234"/>
      <c r="F47" s="244"/>
      <c r="G47" s="245"/>
    </row>
    <row r="48" spans="1:7" s="212" customFormat="1" ht="13.5" customHeight="1">
      <c r="A48" s="253" t="s">
        <v>2132</v>
      </c>
      <c r="B48" s="208" t="s">
        <v>2171</v>
      </c>
      <c r="C48" s="260">
        <f>ROUND(F30/(1+'数据-取费表'!C42),4)</f>
        <v>5.5E-2</v>
      </c>
      <c r="D48" s="234" t="s">
        <v>2159</v>
      </c>
      <c r="E48" s="230"/>
      <c r="F48" s="2310">
        <f>F30</f>
        <v>5.5000000000000007E-2</v>
      </c>
      <c r="G48" s="232" t="s">
        <v>2172</v>
      </c>
    </row>
    <row r="49" spans="1:7" ht="16.5" customHeight="1">
      <c r="A49" s="253" t="s">
        <v>2138</v>
      </c>
      <c r="B49" s="208" t="s">
        <v>2212</v>
      </c>
      <c r="C49" s="230">
        <f ca="1">ROUND((C33+C39+C41+C45)/(1-C40-D41-D45-C48),0)</f>
        <v>379141</v>
      </c>
      <c r="D49" s="230"/>
      <c r="E49" s="230"/>
      <c r="F49" s="262"/>
      <c r="G49" s="232" t="s">
        <v>2174</v>
      </c>
    </row>
    <row r="50" spans="1:7" s="256" customFormat="1">
      <c r="A50" s="253" t="s">
        <v>2175</v>
      </c>
      <c r="B50" s="208" t="s">
        <v>2176</v>
      </c>
      <c r="C50" s="230"/>
      <c r="D50" s="230"/>
      <c r="E50" s="230"/>
      <c r="F50" s="262">
        <f>IF('数据-取费表'!B24=0,'数据-取费表'!N16,1)</f>
        <v>0.76</v>
      </c>
      <c r="G50" s="245"/>
    </row>
    <row r="51" spans="1:7" ht="16.5" customHeight="1">
      <c r="A51" s="253" t="s">
        <v>2178</v>
      </c>
      <c r="B51" s="208" t="s">
        <v>2213</v>
      </c>
      <c r="C51" s="230">
        <f ca="1">ROUND(C49*F50,0)</f>
        <v>288147</v>
      </c>
      <c r="D51" s="230"/>
      <c r="E51" s="230"/>
      <c r="F51" s="262"/>
      <c r="G51" s="232" t="s">
        <v>2180</v>
      </c>
    </row>
    <row r="52" spans="1:7" s="206" customFormat="1" ht="16.5" thickBot="1">
      <c r="A52" s="263" t="s">
        <v>2181</v>
      </c>
      <c r="B52" s="264"/>
      <c r="C52" s="265">
        <f ca="1">C31+C51</f>
        <v>1473085</v>
      </c>
      <c r="D52" s="264"/>
      <c r="E52" s="264"/>
      <c r="F52" s="264"/>
      <c r="G52" s="266"/>
    </row>
    <row r="55" spans="1:7" ht="15">
      <c r="B55" s="268" t="s">
        <v>2182</v>
      </c>
      <c r="C55" s="269"/>
    </row>
    <row r="56" spans="1:7">
      <c r="B56" s="271" t="s">
        <v>1417</v>
      </c>
      <c r="C56" s="273">
        <f ca="1">1-C57</f>
        <v>0.80400000000000005</v>
      </c>
    </row>
    <row r="57" spans="1:7">
      <c r="B57" s="271" t="s">
        <v>1418</v>
      </c>
      <c r="C57" s="272">
        <f ca="1">ROUND(C51/C52,3)</f>
        <v>0.19600000000000001</v>
      </c>
    </row>
  </sheetData>
  <sheetProtection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95" customWidth="1"/>
    <col min="2" max="2" width="25.75" style="836" customWidth="1"/>
    <col min="3" max="3" width="10.375" style="876" customWidth="1"/>
    <col min="4" max="4" width="9.875" style="836" customWidth="1"/>
    <col min="5" max="5" width="9.5" style="695" customWidth="1"/>
    <col min="6" max="6" width="10.125" style="836" customWidth="1"/>
    <col min="7" max="7" width="10.75" style="836" customWidth="1"/>
    <col min="8" max="8" width="10" style="836" customWidth="1"/>
    <col min="9" max="11" width="9.5" style="836" customWidth="1"/>
    <col min="12" max="12" width="9" style="836" customWidth="1"/>
    <col min="13" max="13" width="10.5" style="836" bestFit="1" customWidth="1"/>
    <col min="14" max="254" width="9" style="836" customWidth="1"/>
    <col min="255" max="16384" width="6.625" style="836"/>
  </cols>
  <sheetData>
    <row r="1" spans="1:33" ht="20.25">
      <c r="A1" s="194" t="s">
        <v>2214</v>
      </c>
      <c r="B1" s="126"/>
      <c r="C1" s="1237"/>
      <c r="D1" s="1236"/>
      <c r="E1" s="2745"/>
      <c r="F1" s="2745"/>
      <c r="G1" s="2624"/>
      <c r="H1" s="2745"/>
      <c r="I1" s="2745"/>
      <c r="J1" s="2745"/>
      <c r="K1" s="2746">
        <f>MATCH(C1,'数据-取费表'!A6:A16,0)+5</f>
        <v>7</v>
      </c>
    </row>
    <row r="2" spans="1:33" ht="18" customHeight="1">
      <c r="A2" s="199" t="s">
        <v>2082</v>
      </c>
      <c r="B2" s="202">
        <f ca="1">C32</f>
        <v>0</v>
      </c>
      <c r="C2" s="274" t="s">
        <v>2215</v>
      </c>
      <c r="D2" s="274"/>
      <c r="E2" s="2745"/>
      <c r="F2" s="2745"/>
      <c r="G2" s="2745"/>
      <c r="H2" s="2745"/>
      <c r="I2" s="2745"/>
      <c r="J2" s="2745"/>
      <c r="K2" s="2745"/>
    </row>
    <row r="3" spans="1:33" ht="18" customHeight="1" thickBot="1">
      <c r="A3" s="201" t="s">
        <v>2084</v>
      </c>
      <c r="B3" s="202">
        <f ca="1">ROUND(B2*10000/IF(C1="",'数据-汇总表'!E3,INDIRECT("'数据-取费表'!K"&amp;$K$1)),0)</f>
        <v>0</v>
      </c>
      <c r="C3" s="274" t="s">
        <v>2216</v>
      </c>
      <c r="D3" s="274"/>
      <c r="E3" s="2745"/>
      <c r="F3" s="2745"/>
      <c r="G3" s="2745"/>
      <c r="H3" s="2745"/>
      <c r="I3" s="2745"/>
      <c r="J3" s="2745"/>
      <c r="K3" s="2745"/>
    </row>
    <row r="4" spans="1:33" s="840" customFormat="1" ht="16.5" customHeight="1">
      <c r="A4" s="837" t="s">
        <v>2217</v>
      </c>
      <c r="B4" s="838"/>
      <c r="C4" s="877">
        <f>SUM(C8:K8)</f>
        <v>0</v>
      </c>
      <c r="D4" s="838"/>
      <c r="E4" s="838"/>
      <c r="F4" s="838"/>
      <c r="G4" s="838"/>
      <c r="H4" s="838"/>
      <c r="I4" s="838"/>
      <c r="J4" s="838"/>
      <c r="K4" s="839"/>
    </row>
    <row r="5" spans="1:33" s="844" customFormat="1" ht="24.75">
      <c r="A5" s="841" t="s">
        <v>2218</v>
      </c>
      <c r="B5" s="842" t="s">
        <v>2219</v>
      </c>
      <c r="C5" s="1862" t="s">
        <v>2220</v>
      </c>
      <c r="D5" s="1862" t="s">
        <v>2221</v>
      </c>
      <c r="E5" s="1862" t="s">
        <v>2222</v>
      </c>
      <c r="F5" s="1862"/>
      <c r="G5" s="1862"/>
      <c r="H5" s="1862"/>
      <c r="I5" s="1862"/>
      <c r="J5" s="1862"/>
      <c r="K5" s="1862"/>
      <c r="L5" s="843"/>
      <c r="M5" s="843"/>
      <c r="N5" s="843"/>
      <c r="O5" s="843"/>
      <c r="P5" s="843"/>
      <c r="Q5" s="843"/>
      <c r="R5" s="843"/>
      <c r="S5" s="843"/>
      <c r="T5" s="843"/>
      <c r="U5" s="843"/>
      <c r="V5" s="843"/>
      <c r="W5" s="843"/>
      <c r="X5" s="843"/>
      <c r="Y5" s="843"/>
      <c r="Z5" s="843"/>
      <c r="AA5" s="843"/>
      <c r="AB5" s="843"/>
      <c r="AC5" s="843"/>
      <c r="AD5" s="843"/>
      <c r="AE5" s="843"/>
      <c r="AF5" s="843"/>
      <c r="AG5" s="843"/>
    </row>
    <row r="6" spans="1:33" s="127" customFormat="1" ht="13.5" customHeight="1">
      <c r="A6" s="845" t="s">
        <v>802</v>
      </c>
      <c r="B6" s="128" t="s">
        <v>2223</v>
      </c>
      <c r="C6" s="846"/>
      <c r="D6" s="846"/>
      <c r="E6" s="846"/>
      <c r="F6" s="846"/>
      <c r="G6" s="846"/>
      <c r="H6" s="846"/>
      <c r="I6" s="846"/>
      <c r="J6" s="846"/>
      <c r="K6" s="847"/>
      <c r="L6" s="692"/>
      <c r="M6" s="692"/>
      <c r="N6" s="692"/>
      <c r="O6" s="692"/>
      <c r="P6" s="692"/>
      <c r="Q6" s="692"/>
      <c r="R6" s="692"/>
      <c r="S6" s="692"/>
      <c r="T6" s="692"/>
      <c r="U6" s="692"/>
      <c r="V6" s="692"/>
      <c r="W6" s="692"/>
      <c r="X6" s="692"/>
      <c r="Y6" s="692"/>
      <c r="Z6" s="692"/>
      <c r="AA6" s="692"/>
      <c r="AB6" s="692"/>
      <c r="AC6" s="692"/>
      <c r="AD6" s="692"/>
      <c r="AE6" s="692"/>
      <c r="AF6" s="692"/>
      <c r="AG6" s="692"/>
    </row>
    <row r="7" spans="1:33" s="127" customFormat="1" ht="13.5" customHeight="1">
      <c r="A7" s="845" t="s">
        <v>2224</v>
      </c>
      <c r="B7" s="128" t="s">
        <v>2225</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2"/>
      <c r="M7" s="692"/>
      <c r="N7" s="692"/>
      <c r="O7" s="692"/>
      <c r="P7" s="692"/>
      <c r="Q7" s="692"/>
      <c r="R7" s="692"/>
      <c r="S7" s="692"/>
      <c r="T7" s="692"/>
      <c r="U7" s="692"/>
      <c r="V7" s="692"/>
      <c r="W7" s="692"/>
      <c r="X7" s="692"/>
      <c r="Y7" s="692"/>
      <c r="Z7" s="692"/>
      <c r="AA7" s="692"/>
      <c r="AB7" s="692"/>
      <c r="AC7" s="692"/>
      <c r="AD7" s="692"/>
      <c r="AE7" s="692"/>
      <c r="AF7" s="692"/>
      <c r="AG7" s="692"/>
    </row>
    <row r="8" spans="1:33" s="127" customFormat="1" ht="13.5" customHeight="1" thickBot="1">
      <c r="A8" s="1863" t="s">
        <v>2226</v>
      </c>
      <c r="B8" s="161" t="s">
        <v>2227</v>
      </c>
      <c r="C8" s="878"/>
      <c r="D8" s="878"/>
      <c r="E8" s="878"/>
      <c r="F8" s="879"/>
      <c r="G8" s="879"/>
      <c r="H8" s="879"/>
      <c r="I8" s="879"/>
      <c r="J8" s="879"/>
      <c r="K8" s="880"/>
      <c r="L8" s="692"/>
      <c r="M8" s="692"/>
      <c r="N8" s="692"/>
      <c r="O8" s="692"/>
      <c r="P8" s="692"/>
      <c r="Q8" s="692"/>
      <c r="R8" s="692"/>
      <c r="S8" s="692"/>
      <c r="T8" s="692"/>
      <c r="U8" s="692"/>
      <c r="V8" s="692"/>
      <c r="W8" s="692"/>
      <c r="X8" s="692"/>
      <c r="Y8" s="692"/>
      <c r="Z8" s="692"/>
      <c r="AA8" s="692"/>
      <c r="AB8" s="692"/>
      <c r="AC8" s="692"/>
      <c r="AD8" s="692"/>
      <c r="AE8" s="692"/>
      <c r="AF8" s="692"/>
      <c r="AG8" s="692"/>
    </row>
    <row r="9" spans="1:33" s="840" customFormat="1" ht="16.5" customHeight="1">
      <c r="A9" s="837" t="s">
        <v>2228</v>
      </c>
      <c r="B9" s="838"/>
      <c r="C9" s="838"/>
      <c r="D9" s="838"/>
      <c r="E9" s="838"/>
      <c r="F9" s="838"/>
      <c r="G9" s="838"/>
      <c r="H9" s="838"/>
      <c r="I9" s="838"/>
      <c r="J9" s="838"/>
      <c r="K9" s="839"/>
    </row>
    <row r="10" spans="1:33" s="852" customFormat="1" ht="13.5" customHeight="1">
      <c r="A10" s="841" t="s">
        <v>2229</v>
      </c>
      <c r="B10" s="8" t="s">
        <v>2230</v>
      </c>
      <c r="C10" s="848" t="s">
        <v>2231</v>
      </c>
      <c r="D10" s="849" t="s">
        <v>2232</v>
      </c>
      <c r="E10" s="849" t="s">
        <v>2233</v>
      </c>
      <c r="F10" s="849" t="s">
        <v>2234</v>
      </c>
      <c r="G10" s="8"/>
      <c r="H10" s="850"/>
      <c r="I10" s="850"/>
      <c r="J10" s="850"/>
      <c r="K10" s="851"/>
    </row>
    <row r="11" spans="1:33" s="857" customFormat="1" ht="13.5" customHeight="1">
      <c r="A11" s="853" t="s">
        <v>1241</v>
      </c>
      <c r="B11" s="854" t="s">
        <v>2235</v>
      </c>
      <c r="C11" s="277">
        <f ca="1">IF(C1="",'数据-取费表'!P16,INDIRECT("'数据-取费表'!p"&amp;$K$1)+INDIRECT("'数据-取费表'!ar"&amp;$K$1))</f>
        <v>0</v>
      </c>
      <c r="D11" s="855"/>
      <c r="E11" s="143"/>
      <c r="F11" s="856">
        <f ca="1">1-IF('数据-取费表'!B24=0,1,IF(C1="",'数据-取费表'!N16,INDIRECT("'数据-取费表'!n"&amp;$K$1)))</f>
        <v>0</v>
      </c>
      <c r="G11" s="8"/>
      <c r="H11" s="850"/>
      <c r="I11" s="850"/>
      <c r="J11" s="850"/>
      <c r="K11" s="851"/>
    </row>
    <row r="12" spans="1:33" s="857" customFormat="1" ht="13.5" customHeight="1">
      <c r="A12" s="853" t="s">
        <v>1242</v>
      </c>
      <c r="B12" s="854" t="s">
        <v>2236</v>
      </c>
      <c r="C12" s="24">
        <f ca="1">ROUND(C11*F12,0)</f>
        <v>0</v>
      </c>
      <c r="D12" s="855"/>
      <c r="E12" s="143"/>
      <c r="F12" s="858">
        <f>'数据-取费表'!B33</f>
        <v>0.03</v>
      </c>
      <c r="G12" s="8" t="s">
        <v>2237</v>
      </c>
      <c r="H12" s="850"/>
      <c r="I12" s="850"/>
      <c r="J12" s="850"/>
      <c r="K12" s="851"/>
    </row>
    <row r="13" spans="1:33" s="857" customFormat="1" ht="13.5" customHeight="1">
      <c r="A13" s="853" t="s">
        <v>1243</v>
      </c>
      <c r="B13" s="854" t="s">
        <v>2238</v>
      </c>
      <c r="C13" s="24">
        <f ca="1">ROUND(IF(C1="",SUMIF('数据-取费表'!C:C,"住宅",'数据-取费表'!P:P)*F13,IF(INDIRECT("'数据-取费表'!c"&amp;$K$1)="住宅",INDIRECT("'数据-取费表'!P"&amp;$K$1)*F13,0)),0)</f>
        <v>0</v>
      </c>
      <c r="D13" s="898"/>
      <c r="E13" s="143"/>
      <c r="F13" s="858">
        <f>'数据-取费表'!B34</f>
        <v>0</v>
      </c>
      <c r="G13" s="8" t="s">
        <v>2239</v>
      </c>
      <c r="H13" s="850"/>
      <c r="I13" s="850"/>
      <c r="J13" s="850"/>
      <c r="K13" s="851"/>
    </row>
    <row r="14" spans="1:33" s="859" customFormat="1" ht="13.5" customHeight="1">
      <c r="A14" s="853" t="s">
        <v>1244</v>
      </c>
      <c r="B14" s="854" t="s">
        <v>2240</v>
      </c>
      <c r="C14" s="24">
        <f ca="1">ROUND(D14*E14*F11/10000,0)</f>
        <v>0</v>
      </c>
      <c r="D14" s="898">
        <f ca="1">IF(C1="",'数据-汇总表'!E3,INDIRECT("'数据-取费表'!K"&amp;$K$1)+INDIRECT("'数据-取费表'!S"&amp;$K$1))</f>
        <v>69.52</v>
      </c>
      <c r="E14" s="24">
        <f>'数据-取费表'!B35</f>
        <v>200</v>
      </c>
      <c r="F14" s="858"/>
      <c r="G14" s="8" t="s">
        <v>2241</v>
      </c>
      <c r="H14" s="850"/>
      <c r="I14" s="850"/>
      <c r="J14" s="850"/>
      <c r="K14" s="851"/>
      <c r="L14" s="857"/>
      <c r="M14" s="857"/>
      <c r="N14" s="857"/>
      <c r="O14" s="857"/>
      <c r="P14" s="857"/>
      <c r="Q14" s="857"/>
      <c r="R14" s="857"/>
      <c r="S14" s="857"/>
      <c r="T14" s="857"/>
      <c r="U14" s="857"/>
      <c r="V14" s="857"/>
      <c r="W14" s="857"/>
      <c r="X14" s="857"/>
      <c r="Y14" s="857"/>
      <c r="Z14" s="857"/>
      <c r="AA14" s="857"/>
      <c r="AB14" s="857"/>
      <c r="AC14" s="857"/>
      <c r="AD14" s="857"/>
      <c r="AE14" s="857"/>
      <c r="AF14" s="857"/>
      <c r="AG14" s="857"/>
    </row>
    <row r="15" spans="1:33" s="859" customFormat="1" ht="13.5" customHeight="1">
      <c r="A15" s="853" t="s">
        <v>1245</v>
      </c>
      <c r="B15" s="854" t="s">
        <v>2242</v>
      </c>
      <c r="C15" s="865">
        <f ca="1">ROUND(C11*F15,0)</f>
        <v>0</v>
      </c>
      <c r="D15" s="860"/>
      <c r="E15" s="865"/>
      <c r="F15" s="866">
        <f>'数据-取费表'!B36</f>
        <v>1.4999999999999999E-2</v>
      </c>
      <c r="G15" s="128" t="s">
        <v>2243</v>
      </c>
      <c r="H15" s="861"/>
      <c r="I15" s="861"/>
      <c r="J15" s="861"/>
      <c r="K15" s="862"/>
      <c r="L15" s="857"/>
      <c r="M15" s="857"/>
      <c r="N15" s="857"/>
      <c r="O15" s="857"/>
      <c r="P15" s="857"/>
      <c r="Q15" s="857"/>
      <c r="R15" s="857"/>
      <c r="S15" s="857"/>
      <c r="T15" s="857"/>
      <c r="U15" s="857"/>
      <c r="V15" s="857"/>
      <c r="W15" s="857"/>
      <c r="X15" s="857"/>
      <c r="Y15" s="857"/>
      <c r="Z15" s="857"/>
      <c r="AA15" s="857"/>
      <c r="AB15" s="857"/>
      <c r="AC15" s="857"/>
      <c r="AD15" s="857"/>
      <c r="AE15" s="857"/>
      <c r="AF15" s="857"/>
      <c r="AG15" s="857"/>
    </row>
    <row r="16" spans="1:33" s="859" customFormat="1" ht="13.5" customHeight="1">
      <c r="A16" s="853" t="s">
        <v>803</v>
      </c>
      <c r="B16" s="854" t="s">
        <v>2244</v>
      </c>
      <c r="C16" s="865">
        <f ca="1">SUM(C11:C15)</f>
        <v>0</v>
      </c>
      <c r="D16" s="860"/>
      <c r="E16" s="865"/>
      <c r="F16" s="866"/>
      <c r="G16" s="128"/>
      <c r="H16" s="1234"/>
      <c r="I16" s="861"/>
      <c r="J16" s="861"/>
      <c r="K16" s="862"/>
      <c r="L16" s="857"/>
      <c r="M16" s="857"/>
      <c r="N16" s="857"/>
      <c r="O16" s="857"/>
      <c r="P16" s="857"/>
      <c r="Q16" s="857"/>
      <c r="R16" s="857"/>
      <c r="S16" s="857"/>
      <c r="T16" s="857"/>
      <c r="U16" s="857"/>
      <c r="V16" s="857"/>
      <c r="W16" s="857"/>
      <c r="X16" s="857"/>
      <c r="Y16" s="857"/>
      <c r="Z16" s="857"/>
      <c r="AA16" s="857"/>
      <c r="AB16" s="857"/>
      <c r="AC16" s="857"/>
      <c r="AD16" s="857"/>
      <c r="AE16" s="857"/>
      <c r="AF16" s="857"/>
      <c r="AG16" s="857"/>
    </row>
    <row r="17" spans="1:33" s="859" customFormat="1" ht="13.5" customHeight="1">
      <c r="A17" s="853" t="s">
        <v>804</v>
      </c>
      <c r="B17" s="854" t="s">
        <v>2245</v>
      </c>
      <c r="C17" s="24">
        <f ca="1">ROUND(D17*E17/10000,0)</f>
        <v>0</v>
      </c>
      <c r="D17" s="898">
        <f ca="1">D14</f>
        <v>69.52</v>
      </c>
      <c r="E17" s="24">
        <f>'数据-取费表'!B32</f>
        <v>0</v>
      </c>
      <c r="F17" s="860"/>
      <c r="G17" s="128" t="s">
        <v>2246</v>
      </c>
      <c r="H17" s="1234"/>
      <c r="I17" s="861"/>
      <c r="J17" s="861"/>
      <c r="K17" s="862"/>
      <c r="L17" s="857"/>
      <c r="M17" s="857"/>
      <c r="N17" s="857"/>
      <c r="O17" s="857"/>
      <c r="P17" s="857"/>
      <c r="Q17" s="857"/>
      <c r="R17" s="857"/>
      <c r="S17" s="857"/>
      <c r="T17" s="857"/>
      <c r="U17" s="857"/>
      <c r="V17" s="857"/>
      <c r="W17" s="857"/>
      <c r="X17" s="857"/>
      <c r="Y17" s="857"/>
      <c r="Z17" s="857"/>
      <c r="AA17" s="857"/>
      <c r="AB17" s="857"/>
      <c r="AC17" s="857"/>
      <c r="AD17" s="857"/>
      <c r="AE17" s="857"/>
      <c r="AF17" s="857"/>
      <c r="AG17" s="857"/>
    </row>
    <row r="18" spans="1:33" s="857" customFormat="1" ht="13.5" customHeight="1">
      <c r="A18" s="853" t="s">
        <v>1246</v>
      </c>
      <c r="B18" s="854" t="s">
        <v>2247</v>
      </c>
      <c r="C18" s="24">
        <f ca="1">C19+C20-IF(C1="",'数据-取费表'!B29,IF(G18="已全部缴纳",C19+C20,H18))</f>
        <v>0</v>
      </c>
      <c r="D18" s="898"/>
      <c r="E18" s="24"/>
      <c r="F18" s="858"/>
      <c r="G18" s="1864"/>
      <c r="H18" s="1233"/>
      <c r="I18" s="1865" t="s">
        <v>2248</v>
      </c>
      <c r="J18" s="861"/>
      <c r="K18" s="862"/>
    </row>
    <row r="19" spans="1:33" s="857" customFormat="1" ht="13.5" customHeight="1">
      <c r="A19" s="853" t="s">
        <v>805</v>
      </c>
      <c r="B19" s="854" t="s">
        <v>2249</v>
      </c>
      <c r="C19" s="24">
        <f ca="1">ROUND(D19*E19/10000,0)</f>
        <v>1</v>
      </c>
      <c r="D19" s="898">
        <f ca="1">IF(C1="",'数据-汇总表'!E5,IF(INDIRECT("'数据-取费表'!c"&amp;$K$1)="住宅",INDIRECT("'数据-取费表'!k"&amp;$K$1),0))</f>
        <v>69.52</v>
      </c>
      <c r="E19" s="24">
        <f>'数据-取费表'!B27</f>
        <v>160</v>
      </c>
      <c r="F19" s="858"/>
      <c r="G19" s="15"/>
      <c r="H19" s="1235"/>
      <c r="I19" s="863"/>
      <c r="J19" s="863"/>
      <c r="K19" s="864"/>
    </row>
    <row r="20" spans="1:33" s="857" customFormat="1" ht="13.5" customHeight="1">
      <c r="A20" s="853" t="s">
        <v>806</v>
      </c>
      <c r="B20" s="854" t="s">
        <v>2250</v>
      </c>
      <c r="C20" s="24">
        <f ca="1">ROUND(D20*E20/10000,0)</f>
        <v>0</v>
      </c>
      <c r="D20" s="898">
        <f ca="1">IF(C1="",'数据-汇总表'!E6,IF(INDIRECT("'数据-取费表'!c"&amp;$K$1)="住宅",INDIRECT("'数据-取费表'!s"&amp;$K$1),INDIRECT("'数据-取费表'!k"&amp;$K$1)+INDIRECT("'数据-取费表'!s"&amp;$K$1)))</f>
        <v>0</v>
      </c>
      <c r="E20" s="24">
        <f>'数据-取费表'!B28</f>
        <v>200</v>
      </c>
      <c r="F20" s="858"/>
      <c r="G20" s="15"/>
      <c r="H20" s="863"/>
      <c r="I20" s="863"/>
      <c r="J20" s="863"/>
      <c r="K20" s="864"/>
    </row>
    <row r="21" spans="1:33" s="857" customFormat="1" ht="13.5" customHeight="1">
      <c r="A21" s="845" t="s">
        <v>802</v>
      </c>
      <c r="B21" s="867" t="s">
        <v>2251</v>
      </c>
      <c r="C21" s="868">
        <f ca="1">C16+C17+C18</f>
        <v>0</v>
      </c>
      <c r="D21" s="869"/>
      <c r="E21" s="279"/>
      <c r="F21" s="279"/>
      <c r="G21" s="128" t="s">
        <v>2252</v>
      </c>
      <c r="H21" s="861"/>
      <c r="I21" s="861"/>
      <c r="J21" s="861"/>
      <c r="K21" s="862"/>
    </row>
    <row r="22" spans="1:33" s="857" customFormat="1" ht="13.5" customHeight="1">
      <c r="A22" s="845" t="s">
        <v>2224</v>
      </c>
      <c r="B22" s="867" t="s">
        <v>2253</v>
      </c>
      <c r="C22" s="868">
        <f ca="1">ROUND(C21*F22,0)</f>
        <v>0</v>
      </c>
      <c r="D22" s="279"/>
      <c r="E22" s="279"/>
      <c r="F22" s="870">
        <f>'数据-取费表'!B37</f>
        <v>0.03</v>
      </c>
      <c r="G22" s="8" t="s">
        <v>2254</v>
      </c>
      <c r="H22" s="850"/>
      <c r="I22" s="850"/>
      <c r="J22" s="850"/>
      <c r="K22" s="851"/>
    </row>
    <row r="23" spans="1:33" s="857" customFormat="1" ht="13.5" customHeight="1">
      <c r="A23" s="845" t="s">
        <v>2226</v>
      </c>
      <c r="B23" s="867" t="s">
        <v>2255</v>
      </c>
      <c r="C23" s="868">
        <f ca="1">ROUND(C4*F23*F11,0)</f>
        <v>0</v>
      </c>
      <c r="D23" s="279"/>
      <c r="E23" s="279"/>
      <c r="F23" s="870">
        <f>'数据-取费表'!B38</f>
        <v>0.03</v>
      </c>
      <c r="G23" s="8" t="s">
        <v>2256</v>
      </c>
      <c r="H23" s="850"/>
      <c r="I23" s="850"/>
      <c r="J23" s="850"/>
      <c r="K23" s="851"/>
    </row>
    <row r="24" spans="1:33" s="857" customFormat="1" ht="13.5" customHeight="1">
      <c r="A24" s="845" t="s">
        <v>2257</v>
      </c>
      <c r="B24" s="867" t="s">
        <v>2258</v>
      </c>
      <c r="C24" s="278">
        <f>ROUND(F24/(1+'数据-取费表'!C42),4)</f>
        <v>3.0499999999999999E-2</v>
      </c>
      <c r="D24" s="279" t="s">
        <v>15</v>
      </c>
      <c r="E24" s="279"/>
      <c r="F24" s="870">
        <f>IF(项目基本情况!B8="出让",0,'数据-取费表'!B48+'数据-取费表'!B49)</f>
        <v>3.0499999999999999E-2</v>
      </c>
      <c r="G24" s="8" t="s">
        <v>2259</v>
      </c>
      <c r="H24" s="872"/>
      <c r="I24" s="872"/>
      <c r="J24" s="872"/>
      <c r="K24" s="59"/>
    </row>
    <row r="25" spans="1:33" s="857" customFormat="1" ht="13.5" customHeight="1">
      <c r="A25" s="845" t="s">
        <v>2260</v>
      </c>
      <c r="B25" s="869" t="s">
        <v>2261</v>
      </c>
      <c r="C25" s="1168">
        <f ca="1">C27</f>
        <v>0</v>
      </c>
      <c r="D25" s="278">
        <f ca="1">C26</f>
        <v>0</v>
      </c>
      <c r="E25" s="280" t="s">
        <v>15</v>
      </c>
      <c r="F25" s="281">
        <f ca="1">'数据-取费表'!B40</f>
        <v>6.1500000000000006E-2</v>
      </c>
      <c r="G25" s="128" t="str">
        <f>IF('数据-取费表'!B22&lt;=1,"单利计息。","复利计息。")&amp;"后续开发成本、管理费用及销售费用产生的利息。"</f>
        <v>复利计息。后续开发成本、管理费用及销售费用产生的利息。</v>
      </c>
      <c r="H25" s="872"/>
      <c r="I25" s="872"/>
      <c r="J25" s="872"/>
      <c r="K25" s="59"/>
    </row>
    <row r="26" spans="1:33" s="874" customFormat="1" ht="13.5" customHeight="1">
      <c r="A26" s="853" t="s">
        <v>803</v>
      </c>
      <c r="B26" s="873" t="s">
        <v>2262</v>
      </c>
      <c r="C26" s="1169">
        <f ca="1">ROUND(IF('数据-取费表'!B22&lt;=1,(1+C24)*F25*'数据-取费表'!B24,(1+C24)*(POWER((1+F25),'数据-取费表'!B24)-1)),4)</f>
        <v>0</v>
      </c>
      <c r="D26" s="282"/>
      <c r="E26" s="283"/>
      <c r="F26" s="284"/>
      <c r="G26" s="1866" t="str">
        <f>IF('数据-取费表'!B22&lt;=1,"（(1)+取得税费率/(1+5%)）×年利率×建设期","（(1)+取得税费率）/(1+5%)×((1+年利率)^建设期-1)")</f>
        <v>（(1)+取得税费率）/(1+5%)×((1+年利率)^建设期-1)</v>
      </c>
      <c r="H26" s="861"/>
      <c r="I26" s="861"/>
      <c r="J26" s="861"/>
      <c r="K26" s="862"/>
    </row>
    <row r="27" spans="1:33" s="874" customFormat="1" ht="13.5" customHeight="1">
      <c r="A27" s="853" t="s">
        <v>804</v>
      </c>
      <c r="B27" s="873" t="s">
        <v>2263</v>
      </c>
      <c r="C27" s="1170">
        <f ca="1">ROUND(IF('数据-取费表'!B22&lt;=1,(C21+C22+C23)*F25*'数据-取费表'!B24/2,(C21+C22+C23)*(POWER((1+F25),'数据-取费表'!B24/2)-1)),0)</f>
        <v>0</v>
      </c>
      <c r="D27" s="282"/>
      <c r="E27" s="283"/>
      <c r="F27" s="284"/>
      <c r="G27" s="1866" t="str">
        <f>IF('数据-取费表'!B22&lt;=1,"（1）-（3）项×年利率×建设期÷2","（1）-（3）项×((1+年利率)^(建设期÷2)-1)")</f>
        <v>（1）-（3）项×((1+年利率)^(建设期÷2)-1)</v>
      </c>
      <c r="H27" s="861"/>
      <c r="I27" s="861"/>
      <c r="J27" s="861"/>
      <c r="K27" s="862"/>
    </row>
    <row r="28" spans="1:33" s="287" customFormat="1" ht="13.5" customHeight="1">
      <c r="A28" s="845" t="s">
        <v>2264</v>
      </c>
      <c r="B28" s="1867" t="s">
        <v>2265</v>
      </c>
      <c r="C28" s="285">
        <f ca="1">C30</f>
        <v>0</v>
      </c>
      <c r="D28" s="278">
        <f ca="1">C29</f>
        <v>0</v>
      </c>
      <c r="E28" s="280" t="s">
        <v>15</v>
      </c>
      <c r="F28" s="286">
        <f ca="1">IF(C1="",'数据-取费表'!Q16,INDIRECT("'数据-取费表'!q"&amp;$K$1))</f>
        <v>0.2</v>
      </c>
      <c r="G28" s="871"/>
      <c r="H28" s="872"/>
      <c r="I28" s="872"/>
      <c r="J28" s="872"/>
      <c r="K28" s="59"/>
    </row>
    <row r="29" spans="1:33" s="289" customFormat="1" ht="13.5" customHeight="1">
      <c r="A29" s="853" t="s">
        <v>803</v>
      </c>
      <c r="B29" s="875" t="s">
        <v>2266</v>
      </c>
      <c r="C29" s="282">
        <f ca="1">ROUND((1+C24)*F28*'数据-取费表'!B24/'数据-取费表'!B20,4)</f>
        <v>0</v>
      </c>
      <c r="D29" s="282"/>
      <c r="E29" s="283"/>
      <c r="F29" s="288"/>
      <c r="G29" s="128" t="s">
        <v>2267</v>
      </c>
      <c r="H29" s="861"/>
      <c r="I29" s="861"/>
      <c r="J29" s="861"/>
      <c r="K29" s="862"/>
    </row>
    <row r="30" spans="1:33" s="289" customFormat="1" ht="13.5" customHeight="1">
      <c r="A30" s="853" t="s">
        <v>804</v>
      </c>
      <c r="B30" s="875" t="s">
        <v>2268</v>
      </c>
      <c r="C30" s="290">
        <f ca="1">ROUND((C21+C22+C23)*F28,0)</f>
        <v>0</v>
      </c>
      <c r="D30" s="282"/>
      <c r="E30" s="283"/>
      <c r="F30" s="288"/>
      <c r="G30" s="128"/>
      <c r="H30" s="861"/>
      <c r="I30" s="861"/>
      <c r="J30" s="861"/>
      <c r="K30" s="862"/>
    </row>
    <row r="31" spans="1:33" s="857" customFormat="1" ht="13.5" customHeight="1" thickBot="1">
      <c r="A31" s="1868" t="s">
        <v>2269</v>
      </c>
      <c r="B31" s="885" t="s">
        <v>2270</v>
      </c>
      <c r="C31" s="886">
        <f>ROUND(C4*F31/(1+'数据-取费表'!C42),0)</f>
        <v>0</v>
      </c>
      <c r="D31" s="887"/>
      <c r="E31" s="888"/>
      <c r="F31" s="889">
        <f>'数据-取费表'!B41</f>
        <v>5.5000000000000007E-2</v>
      </c>
      <c r="G31" s="890" t="s">
        <v>2271</v>
      </c>
      <c r="H31" s="891"/>
      <c r="I31" s="891"/>
      <c r="J31" s="891"/>
      <c r="K31" s="892"/>
    </row>
    <row r="32" spans="1:33" s="852" customFormat="1" ht="13.5" customHeight="1" thickBot="1">
      <c r="A32" s="457" t="s">
        <v>2272</v>
      </c>
      <c r="B32" s="881"/>
      <c r="C32" s="882">
        <f ca="1">ROUND((C4-C21-C22-C23-C25-C28-C31)/(1+C24+D25+D28),0)</f>
        <v>0</v>
      </c>
      <c r="D32" s="881"/>
      <c r="E32" s="881"/>
      <c r="F32" s="881"/>
      <c r="G32" s="883" t="s">
        <v>2273</v>
      </c>
      <c r="H32" s="881"/>
      <c r="I32" s="881"/>
      <c r="J32" s="881"/>
      <c r="K32" s="88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B16" zoomScale="90" zoomScaleNormal="70" zoomScaleSheetLayoutView="90" workbookViewId="0">
      <selection activeCell="K120" sqref="K120"/>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76"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950" t="s">
        <v>2439</v>
      </c>
      <c r="C1" s="1273" t="s">
        <v>2285</v>
      </c>
      <c r="D1" s="1274" t="s">
        <v>3152</v>
      </c>
      <c r="E1" s="1283"/>
      <c r="F1" s="1879" t="s">
        <v>3153</v>
      </c>
      <c r="G1" s="1284" t="s">
        <v>2396</v>
      </c>
      <c r="H1" s="1283"/>
      <c r="I1" s="1283"/>
      <c r="J1" s="1283"/>
      <c r="K1" s="1285"/>
      <c r="L1" s="1286"/>
      <c r="M1" s="1287"/>
      <c r="N1" s="1287"/>
      <c r="O1" s="1287"/>
      <c r="P1" s="1273"/>
      <c r="Q1" s="1273"/>
      <c r="R1" s="1273"/>
      <c r="S1" s="1273"/>
      <c r="T1" s="1273"/>
      <c r="U1" s="1273"/>
      <c r="V1" s="1273"/>
      <c r="W1" s="1273"/>
      <c r="X1" s="1273"/>
      <c r="Y1" s="1273"/>
      <c r="Z1" s="1273"/>
      <c r="AA1" s="1273"/>
      <c r="AB1" s="1273"/>
      <c r="AC1" s="1281"/>
    </row>
    <row r="2" spans="1:29" s="348" customFormat="1" ht="28.5" customHeight="1" thickTop="1">
      <c r="A2" s="1270" t="s">
        <v>2082</v>
      </c>
      <c r="B2" s="1212" t="e">
        <f>IF(C2="——",ROUND(C50*D3/10000,0),ROUND(C50*D3/10000,0)-D2)</f>
        <v>#DIV/0!</v>
      </c>
      <c r="C2" s="1881" t="s">
        <v>70</v>
      </c>
      <c r="D2" s="1177" t="e">
        <f ca="1">SUMIF(INDIRECT("'"&amp;F2&amp;"'"&amp;"!A:A"),"承租人权益价值",INDIRECT("'"&amp;F2&amp;"'"&amp;"!c:c"))</f>
        <v>#REF!</v>
      </c>
      <c r="E2" s="1882" t="s">
        <v>2083</v>
      </c>
      <c r="F2" s="1883"/>
      <c r="G2" s="978"/>
      <c r="H2" s="978"/>
      <c r="I2" s="978"/>
      <c r="J2" s="978"/>
      <c r="K2" s="978"/>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IF(C2="——",C50,ROUND(B2*10000/D3,0))</f>
        <v>#DIV/0!</v>
      </c>
      <c r="C3" s="350" t="s">
        <v>2397</v>
      </c>
      <c r="D3" s="349">
        <f>IF(D1="",'数据-汇总表'!E3,SUMIF('数据-汇总表'!$C19:$C33,D1,'数据-汇总表'!$E19:$E33))</f>
        <v>0</v>
      </c>
      <c r="E3" s="1947"/>
      <c r="F3" s="979"/>
      <c r="G3" s="978"/>
      <c r="H3" s="978"/>
      <c r="I3" s="978"/>
      <c r="J3" s="978"/>
      <c r="K3" s="980"/>
      <c r="L3" s="2679"/>
      <c r="M3" s="2680"/>
      <c r="N3" s="2680"/>
      <c r="O3" s="2680"/>
      <c r="P3" s="347"/>
      <c r="Q3" s="347"/>
      <c r="R3" s="347"/>
      <c r="S3" s="347"/>
      <c r="T3" s="347"/>
      <c r="U3" s="347"/>
      <c r="V3" s="347"/>
      <c r="W3" s="347"/>
      <c r="X3" s="347"/>
      <c r="Y3" s="347"/>
      <c r="Z3" s="347"/>
      <c r="AA3" s="347"/>
      <c r="AB3" s="347"/>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372" t="s">
        <v>2404</v>
      </c>
      <c r="Q4" s="3373"/>
      <c r="R4" s="3378" t="s">
        <v>2400</v>
      </c>
      <c r="S4" s="3379"/>
      <c r="T4" s="3378" t="s">
        <v>2401</v>
      </c>
      <c r="U4" s="3379"/>
      <c r="V4" s="3384" t="s">
        <v>2402</v>
      </c>
      <c r="W4" s="3384"/>
      <c r="X4" s="1951"/>
      <c r="Y4" s="3378" t="s">
        <v>2404</v>
      </c>
      <c r="Z4" s="3379"/>
      <c r="AA4" s="3395" t="s">
        <v>2400</v>
      </c>
      <c r="AB4" s="3395" t="s">
        <v>2401</v>
      </c>
      <c r="AC4" s="3365" t="s">
        <v>2402</v>
      </c>
    </row>
    <row r="5" spans="1:29" ht="15">
      <c r="A5" s="354"/>
      <c r="B5" s="355"/>
      <c r="C5" s="3387" t="s">
        <v>2296</v>
      </c>
      <c r="D5" s="3388"/>
      <c r="E5" s="3398" t="s">
        <v>2297</v>
      </c>
      <c r="F5" s="3399"/>
      <c r="G5" s="3387" t="s">
        <v>2298</v>
      </c>
      <c r="H5" s="3388"/>
      <c r="I5" s="3387" t="s">
        <v>2299</v>
      </c>
      <c r="J5" s="3388"/>
      <c r="K5" s="545"/>
      <c r="L5" s="2662"/>
      <c r="M5" s="2663"/>
      <c r="N5" s="2663"/>
      <c r="O5" s="2663"/>
      <c r="P5" s="3374"/>
      <c r="Q5" s="3375"/>
      <c r="R5" s="3380"/>
      <c r="S5" s="3381"/>
      <c r="T5" s="3380"/>
      <c r="U5" s="3381"/>
      <c r="V5" s="3352"/>
      <c r="W5" s="3352"/>
      <c r="X5" s="1409"/>
      <c r="Y5" s="3380"/>
      <c r="Z5" s="3381"/>
      <c r="AA5" s="3396"/>
      <c r="AB5" s="3396"/>
      <c r="AC5" s="336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376"/>
      <c r="Q6" s="3377"/>
      <c r="R6" s="3380"/>
      <c r="S6" s="3381"/>
      <c r="T6" s="3382"/>
      <c r="U6" s="3383"/>
      <c r="V6" s="3352"/>
      <c r="W6" s="3352"/>
      <c r="X6" s="1409"/>
      <c r="Y6" s="3382"/>
      <c r="Z6" s="3383"/>
      <c r="AA6" s="3397"/>
      <c r="AB6" s="3397"/>
      <c r="AC6" s="3367"/>
    </row>
    <row r="7" spans="1:29" s="107" customFormat="1" ht="15.75" thickBot="1">
      <c r="A7" s="358" t="s">
        <v>2302</v>
      </c>
      <c r="B7" s="359"/>
      <c r="C7" s="360">
        <f>'数据-取费表'!B2</f>
        <v>41685</v>
      </c>
      <c r="D7" s="361">
        <v>100</v>
      </c>
      <c r="E7" s="362"/>
      <c r="F7" s="363">
        <f>SUMIF(59:59,YEAR(E7)&amp;"-"&amp;MONTH(E7),60:60)</f>
        <v>0</v>
      </c>
      <c r="G7" s="362"/>
      <c r="H7" s="361">
        <f>SUMIF(59:59,YEAR(G7)&amp;"-"&amp;MONTH(G7),60:60)</f>
        <v>0</v>
      </c>
      <c r="I7" s="362"/>
      <c r="J7" s="361">
        <f>SUMIF(59:59,YEAR(I7)&amp;"-"&amp;MONTH(I7),60:60)</f>
        <v>0</v>
      </c>
      <c r="K7" s="41"/>
      <c r="L7" s="2664"/>
      <c r="M7" s="2613"/>
      <c r="N7" s="2613"/>
      <c r="O7" s="2613"/>
      <c r="P7" s="3389"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904" t="e">
        <f>D7/J7</f>
        <v>#DIV/0!</v>
      </c>
    </row>
    <row r="8" spans="1:29" s="107" customFormat="1" ht="15.75" thickBot="1">
      <c r="A8" s="358" t="s">
        <v>2304</v>
      </c>
      <c r="B8" s="359"/>
      <c r="C8" s="364" t="s">
        <v>2405</v>
      </c>
      <c r="D8" s="361">
        <v>100</v>
      </c>
      <c r="E8" s="364"/>
      <c r="F8" s="363">
        <f>SUMIF(62:62,E8,63:63)-SUMIF(62:62,C8,63:63)+100</f>
        <v>0</v>
      </c>
      <c r="G8" s="364"/>
      <c r="H8" s="361">
        <f>SUMIF(62:62,G8,63:63)-SUMIF(62:62,C8,63:63)+100</f>
        <v>0</v>
      </c>
      <c r="I8" s="364"/>
      <c r="J8" s="361">
        <f>SUMIF(62:62,I8,63:63)-SUMIF(62:62,C8,63:63)+100</f>
        <v>0</v>
      </c>
      <c r="K8" s="41"/>
      <c r="L8" s="2664"/>
      <c r="M8" s="2613"/>
      <c r="N8" s="2613"/>
      <c r="O8" s="2613"/>
      <c r="P8" s="3389" t="s">
        <v>2306</v>
      </c>
      <c r="Q8" s="3390"/>
      <c r="R8" s="672" t="s">
        <v>17</v>
      </c>
      <c r="S8" s="673">
        <f t="shared" si="0"/>
        <v>0</v>
      </c>
      <c r="T8" s="672" t="s">
        <v>17</v>
      </c>
      <c r="U8" s="673">
        <f t="shared" si="1"/>
        <v>0</v>
      </c>
      <c r="V8" s="672" t="s">
        <v>17</v>
      </c>
      <c r="W8" s="673">
        <f t="shared" si="2"/>
        <v>0</v>
      </c>
      <c r="X8" s="674"/>
      <c r="Y8" s="3391" t="s">
        <v>2306</v>
      </c>
      <c r="Z8" s="3390"/>
      <c r="AA8" s="53" t="e">
        <f t="shared" ref="AA8:AA47" si="3">D8/F8</f>
        <v>#DIV/0!</v>
      </c>
      <c r="AB8" s="53" t="e">
        <f t="shared" ref="AB8:AB47" si="4">D8/H8</f>
        <v>#DIV/0!</v>
      </c>
      <c r="AC8" s="904" t="e">
        <f t="shared" ref="AC8:AC47" si="5">D8/J8</f>
        <v>#DIV/0!</v>
      </c>
    </row>
    <row r="9" spans="1:29" s="107" customFormat="1">
      <c r="A9" s="365" t="s">
        <v>2307</v>
      </c>
      <c r="B9" s="64" t="s">
        <v>2308</v>
      </c>
      <c r="C9" s="366"/>
      <c r="D9" s="63">
        <v>100</v>
      </c>
      <c r="E9" s="368"/>
      <c r="F9" s="63">
        <f>SUMIF(64:64,E9,65:65)-SUMIF(64:64,C9,65:65)+100</f>
        <v>100</v>
      </c>
      <c r="G9" s="367"/>
      <c r="H9" s="63">
        <f>SUMIF(64:64,G9,65:65)-SUMIF(64:64,C9,65:65)+100</f>
        <v>100</v>
      </c>
      <c r="I9" s="367"/>
      <c r="J9" s="63">
        <f>SUMIF(64:64,I9,65:65)-SUMIF(64:64,C9,65:65)+100</f>
        <v>100</v>
      </c>
      <c r="K9" s="41"/>
      <c r="L9" s="2664"/>
      <c r="M9" s="2613"/>
      <c r="N9" s="2613"/>
      <c r="O9" s="2613"/>
      <c r="P9" s="3350"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904">
        <f t="shared" si="5"/>
        <v>1</v>
      </c>
    </row>
    <row r="10" spans="1:29" s="374" customFormat="1" ht="27">
      <c r="A10" s="369"/>
      <c r="B10" s="370" t="s">
        <v>2311</v>
      </c>
      <c r="C10" s="371"/>
      <c r="D10" s="124">
        <v>100</v>
      </c>
      <c r="E10" s="371"/>
      <c r="F10" s="124">
        <f>SUMIF(66:66,E10,67:67)-SUMIF(66:66,C10,67:67)+100</f>
        <v>100</v>
      </c>
      <c r="G10" s="372"/>
      <c r="H10" s="124">
        <f>SUMIF(66:66,G10,67:67)-SUMIF(66:66,C10,67:67)+100</f>
        <v>100</v>
      </c>
      <c r="I10" s="371"/>
      <c r="J10" s="124">
        <f>SUMIF(66:66,I10,67:67)-SUMIF(66:66,C10,67:67)+100</f>
        <v>100</v>
      </c>
      <c r="K10" s="546"/>
      <c r="L10" s="2665"/>
      <c r="M10" s="2666"/>
      <c r="N10" s="2666"/>
      <c r="O10" s="2666"/>
      <c r="P10" s="3350"/>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904">
        <f t="shared" si="5"/>
        <v>1</v>
      </c>
    </row>
    <row r="11" spans="1:29" ht="15">
      <c r="A11" s="375"/>
      <c r="B11" s="370" t="s">
        <v>2312</v>
      </c>
      <c r="C11" s="376"/>
      <c r="D11" s="124">
        <v>100</v>
      </c>
      <c r="E11" s="376"/>
      <c r="F11" s="124">
        <f>LOOKUP(E11,69:69,70:70)-LOOKUP(C11,69:69,70:70)+100</f>
        <v>100</v>
      </c>
      <c r="G11" s="377"/>
      <c r="H11" s="124">
        <f>LOOKUP(G11,69:69,70:70)-LOOKUP(C11,69:69,70:70)+100</f>
        <v>100</v>
      </c>
      <c r="I11" s="376"/>
      <c r="J11" s="124">
        <f>LOOKUP(I11,69:69,70:70)-LOOKUP(C11,69:69,70:70)+100</f>
        <v>100</v>
      </c>
      <c r="K11" s="546"/>
      <c r="L11" s="2667"/>
      <c r="M11" s="2663"/>
      <c r="N11" s="2663"/>
      <c r="O11" s="2663"/>
      <c r="P11" s="3350"/>
      <c r="Q11" s="538" t="str">
        <f t="shared" si="6"/>
        <v>容积率</v>
      </c>
      <c r="R11" s="672" t="s">
        <v>17</v>
      </c>
      <c r="S11" s="673">
        <f t="shared" si="0"/>
        <v>100</v>
      </c>
      <c r="T11" s="672" t="s">
        <v>17</v>
      </c>
      <c r="U11" s="673">
        <f t="shared" si="1"/>
        <v>100</v>
      </c>
      <c r="V11" s="672" t="s">
        <v>17</v>
      </c>
      <c r="W11" s="673">
        <f t="shared" si="2"/>
        <v>100</v>
      </c>
      <c r="X11" s="674"/>
      <c r="Y11" s="3225"/>
      <c r="Z11" s="53" t="str">
        <f t="shared" si="7"/>
        <v>容积率</v>
      </c>
      <c r="AA11" s="53">
        <f t="shared" si="3"/>
        <v>1</v>
      </c>
      <c r="AB11" s="53">
        <f t="shared" si="4"/>
        <v>1</v>
      </c>
      <c r="AC11" s="904">
        <f t="shared" si="5"/>
        <v>1</v>
      </c>
    </row>
    <row r="12" spans="1:29" s="107" customFormat="1" ht="15">
      <c r="A12" s="378"/>
      <c r="B12" s="455">
        <v>111</v>
      </c>
      <c r="C12" s="379"/>
      <c r="D12" s="380">
        <v>100</v>
      </c>
      <c r="E12" s="379"/>
      <c r="F12" s="124">
        <f>SUMIF(71:71,E12,72:72)-SUMIF(71:71,C12,72:72)+100</f>
        <v>100</v>
      </c>
      <c r="G12" s="1952"/>
      <c r="H12" s="124">
        <f>SUMIF(71:71,G12,72:72)-SUMIF(71:71,C12,72:72)+100</f>
        <v>100</v>
      </c>
      <c r="I12" s="379"/>
      <c r="J12" s="124">
        <f>SUMIF(71:71,I12,72:72)-SUMIF(71:71,C12,72:72)+100</f>
        <v>100</v>
      </c>
      <c r="K12" s="547"/>
      <c r="L12" s="2664"/>
      <c r="M12" s="2613"/>
      <c r="N12" s="2613"/>
      <c r="O12" s="2613"/>
      <c r="P12" s="3350"/>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904">
        <f>D12/J12</f>
        <v>1</v>
      </c>
    </row>
    <row r="13" spans="1:29" ht="15">
      <c r="A13" s="375"/>
      <c r="B13" s="455">
        <v>111</v>
      </c>
      <c r="C13" s="381"/>
      <c r="D13" s="382">
        <v>100</v>
      </c>
      <c r="E13" s="379"/>
      <c r="F13" s="124">
        <f>SUMIF(73:73,E13,74:74)-SUMIF(73:73,C13,74:74)+100</f>
        <v>100</v>
      </c>
      <c r="G13" s="1952"/>
      <c r="H13" s="382">
        <f>SUMIF(73:73,G13,74:74)-SUMIF(73:73,C13,74:74)+100</f>
        <v>100</v>
      </c>
      <c r="I13" s="379"/>
      <c r="J13" s="382">
        <f>SUMIF(73:73,I13,74:74)-SUMIF(73:73,C13,74:74)+100</f>
        <v>100</v>
      </c>
      <c r="K13" s="547"/>
      <c r="L13" s="2668"/>
      <c r="M13" s="2663"/>
      <c r="N13" s="2663"/>
      <c r="O13" s="2663"/>
      <c r="P13" s="3350"/>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904">
        <f t="shared" si="5"/>
        <v>1</v>
      </c>
    </row>
    <row r="14" spans="1:29" ht="15.75" thickBot="1">
      <c r="A14" s="383"/>
      <c r="B14" s="1893">
        <v>111</v>
      </c>
      <c r="C14" s="384"/>
      <c r="D14" s="385">
        <v>100</v>
      </c>
      <c r="E14" s="561"/>
      <c r="F14" s="385">
        <f>SUMIF(75:75,E14,76:76)-SUMIF(75:75,C14,76:76)+100</f>
        <v>100</v>
      </c>
      <c r="G14" s="1952"/>
      <c r="H14" s="385">
        <f>SUMIF(75:75,G14,76:76)-SUMIF(75:75,C14,76:76)+100</f>
        <v>100</v>
      </c>
      <c r="I14" s="379"/>
      <c r="J14" s="385">
        <f>SUMIF(75:75,I14,76:76)-SUMIF(75:75,C14,76:76)+100</f>
        <v>100</v>
      </c>
      <c r="K14" s="547"/>
      <c r="L14" s="2668"/>
      <c r="M14" s="2663"/>
      <c r="N14" s="2663"/>
      <c r="O14" s="2663"/>
      <c r="P14" s="3350"/>
      <c r="Q14" s="538">
        <f t="shared" si="6"/>
        <v>111</v>
      </c>
      <c r="R14" s="672" t="s">
        <v>17</v>
      </c>
      <c r="S14" s="673">
        <f t="shared" si="0"/>
        <v>100</v>
      </c>
      <c r="T14" s="672" t="s">
        <v>17</v>
      </c>
      <c r="U14" s="673">
        <f t="shared" si="1"/>
        <v>100</v>
      </c>
      <c r="V14" s="672" t="s">
        <v>17</v>
      </c>
      <c r="W14" s="673">
        <f t="shared" si="2"/>
        <v>100</v>
      </c>
      <c r="X14" s="674"/>
      <c r="Y14" s="3225"/>
      <c r="Z14" s="53">
        <f t="shared" si="7"/>
        <v>111</v>
      </c>
      <c r="AA14" s="53">
        <f t="shared" si="3"/>
        <v>1</v>
      </c>
      <c r="AB14" s="53">
        <f t="shared" si="4"/>
        <v>1</v>
      </c>
      <c r="AC14" s="904">
        <f t="shared" si="5"/>
        <v>1</v>
      </c>
    </row>
    <row r="15" spans="1:29" ht="15">
      <c r="A15" s="387" t="s">
        <v>2313</v>
      </c>
      <c r="B15" s="562" t="s">
        <v>2440</v>
      </c>
      <c r="C15" s="1953" t="str">
        <f>估价对象房地状况!C5</f>
        <v>好</v>
      </c>
      <c r="D15" s="388">
        <v>100</v>
      </c>
      <c r="E15" s="391"/>
      <c r="F15" s="388">
        <f>SUMIF(77:77,E16,78:78)-SUMIF(77:77,C16,78:78)+100</f>
        <v>100</v>
      </c>
      <c r="G15" s="389"/>
      <c r="H15" s="388">
        <f>SUMIF(77:77,G16,78:78)-SUMIF(77:77,C16,78:78)+100</f>
        <v>100</v>
      </c>
      <c r="I15" s="389"/>
      <c r="J15" s="388">
        <f>SUMIF(77:77,I16,78:78)-SUMIF(77:77,C16,78:78)+100</f>
        <v>100</v>
      </c>
      <c r="K15" s="548"/>
      <c r="L15" s="2668"/>
      <c r="M15" s="2663"/>
      <c r="N15" s="2663"/>
      <c r="O15" s="2663"/>
      <c r="P15" s="3356" t="s">
        <v>2314</v>
      </c>
      <c r="Q15" s="1407" t="str">
        <f t="shared" si="6"/>
        <v>办公集聚程度</v>
      </c>
      <c r="R15" s="675" t="s">
        <v>17</v>
      </c>
      <c r="S15" s="676">
        <f t="shared" si="0"/>
        <v>100</v>
      </c>
      <c r="T15" s="675" t="s">
        <v>17</v>
      </c>
      <c r="U15" s="676">
        <f t="shared" si="1"/>
        <v>100</v>
      </c>
      <c r="V15" s="675" t="s">
        <v>17</v>
      </c>
      <c r="W15" s="676">
        <f t="shared" si="2"/>
        <v>100</v>
      </c>
      <c r="X15" s="1409"/>
      <c r="Y15" s="3358" t="s">
        <v>2314</v>
      </c>
      <c r="Z15" s="1408" t="str">
        <f t="shared" si="7"/>
        <v>办公集聚程度</v>
      </c>
      <c r="AA15" s="1408">
        <f t="shared" si="3"/>
        <v>1</v>
      </c>
      <c r="AB15" s="1408">
        <f t="shared" si="4"/>
        <v>1</v>
      </c>
      <c r="AC15" s="1954">
        <f t="shared" si="5"/>
        <v>1</v>
      </c>
    </row>
    <row r="16" spans="1:29" ht="15">
      <c r="A16" s="375"/>
      <c r="B16" s="563"/>
      <c r="C16" s="1902"/>
      <c r="D16" s="395"/>
      <c r="E16" s="394"/>
      <c r="F16" s="395"/>
      <c r="G16" s="1902"/>
      <c r="H16" s="397"/>
      <c r="I16" s="394"/>
      <c r="J16" s="395"/>
      <c r="K16" s="549"/>
      <c r="L16" s="2668"/>
      <c r="M16" s="2663"/>
      <c r="N16" s="2663"/>
      <c r="O16" s="2663"/>
      <c r="P16" s="3357"/>
      <c r="Q16" s="1407"/>
      <c r="R16" s="675"/>
      <c r="S16" s="676"/>
      <c r="T16" s="675"/>
      <c r="U16" s="676"/>
      <c r="V16" s="675"/>
      <c r="W16" s="676"/>
      <c r="X16" s="1409"/>
      <c r="Y16" s="3359"/>
      <c r="Z16" s="1408"/>
      <c r="AA16" s="1408">
        <v>1</v>
      </c>
      <c r="AB16" s="1408">
        <v>1</v>
      </c>
      <c r="AC16" s="1954">
        <v>1</v>
      </c>
    </row>
    <row r="17" spans="1:29" ht="85.5">
      <c r="A17" s="375"/>
      <c r="B17" s="564" t="s">
        <v>1883</v>
      </c>
      <c r="C17" s="1955" t="str">
        <f>估价对象房地状况!C6</f>
        <v>周边有315路、607路、629路等多条公交线路及地铁8号线育新站，综合评价交通便捷度较好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68"/>
      <c r="M17" s="2663"/>
      <c r="N17" s="2663"/>
      <c r="O17" s="2663"/>
      <c r="P17" s="3357"/>
      <c r="Q17" s="1407" t="str">
        <f>B17</f>
        <v>交通便捷度</v>
      </c>
      <c r="R17" s="675" t="s">
        <v>17</v>
      </c>
      <c r="S17" s="676">
        <f>F17</f>
        <v>100</v>
      </c>
      <c r="T17" s="675" t="s">
        <v>17</v>
      </c>
      <c r="U17" s="676">
        <f>H17</f>
        <v>100</v>
      </c>
      <c r="V17" s="675" t="s">
        <v>17</v>
      </c>
      <c r="W17" s="676">
        <f>J17</f>
        <v>100</v>
      </c>
      <c r="X17" s="1409"/>
      <c r="Y17" s="3359"/>
      <c r="Z17" s="1408" t="str">
        <f>Q17</f>
        <v>交通便捷度</v>
      </c>
      <c r="AA17" s="1408">
        <f t="shared" si="3"/>
        <v>1</v>
      </c>
      <c r="AB17" s="1408">
        <f t="shared" si="4"/>
        <v>1</v>
      </c>
      <c r="AC17" s="1954">
        <f t="shared" si="5"/>
        <v>1</v>
      </c>
    </row>
    <row r="18" spans="1:29" ht="15">
      <c r="A18" s="375"/>
      <c r="B18" s="409"/>
      <c r="C18" s="1956"/>
      <c r="D18" s="397"/>
      <c r="E18" s="1900"/>
      <c r="F18" s="397"/>
      <c r="G18" s="1901"/>
      <c r="H18" s="395"/>
      <c r="I18" s="1901"/>
      <c r="J18" s="395"/>
      <c r="K18" s="549"/>
      <c r="L18" s="2668"/>
      <c r="M18" s="2663"/>
      <c r="N18" s="2663"/>
      <c r="O18" s="2663"/>
      <c r="P18" s="3357"/>
      <c r="Q18" s="1407"/>
      <c r="R18" s="675"/>
      <c r="S18" s="676"/>
      <c r="T18" s="675"/>
      <c r="U18" s="676"/>
      <c r="V18" s="675"/>
      <c r="W18" s="676"/>
      <c r="X18" s="1409"/>
      <c r="Y18" s="3359"/>
      <c r="Z18" s="1408"/>
      <c r="AA18" s="1408">
        <v>1</v>
      </c>
      <c r="AB18" s="1408">
        <v>1</v>
      </c>
      <c r="AC18" s="1954">
        <v>1</v>
      </c>
    </row>
    <row r="19" spans="1:29" ht="256.5">
      <c r="A19" s="375"/>
      <c r="B19" s="564" t="s">
        <v>2441</v>
      </c>
      <c r="C19" s="1955" t="str">
        <f>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9" s="402">
        <v>100</v>
      </c>
      <c r="E19" s="406"/>
      <c r="F19" s="402">
        <f>SUMIF(81:81,E20,82:82)-SUMIF(81:81,C20,82:82)+100</f>
        <v>100</v>
      </c>
      <c r="G19" s="404"/>
      <c r="H19" s="397">
        <f>SUMIF(81:81,G20,82:82)-SUMIF(81:81,C20,82:82)+100</f>
        <v>100</v>
      </c>
      <c r="I19" s="404"/>
      <c r="J19" s="397">
        <f>SUMIF(81:81,I20,82:82)-SUMIF(81:81,C20,82:82)+100</f>
        <v>100</v>
      </c>
      <c r="K19" s="548"/>
      <c r="L19" s="2668"/>
      <c r="M19" s="2663"/>
      <c r="N19" s="2663"/>
      <c r="O19" s="2663"/>
      <c r="P19" s="3357"/>
      <c r="Q19" s="1407" t="str">
        <f>B19</f>
        <v>公共配套设施</v>
      </c>
      <c r="R19" s="675" t="s">
        <v>17</v>
      </c>
      <c r="S19" s="676">
        <f>F19</f>
        <v>100</v>
      </c>
      <c r="T19" s="675" t="s">
        <v>17</v>
      </c>
      <c r="U19" s="676">
        <f>H19</f>
        <v>100</v>
      </c>
      <c r="V19" s="675" t="s">
        <v>17</v>
      </c>
      <c r="W19" s="676">
        <f>J19</f>
        <v>100</v>
      </c>
      <c r="X19" s="1409"/>
      <c r="Y19" s="3359"/>
      <c r="Z19" s="1408" t="str">
        <f>Q19</f>
        <v>公共配套设施</v>
      </c>
      <c r="AA19" s="1408">
        <f t="shared" si="3"/>
        <v>1</v>
      </c>
      <c r="AB19" s="1408">
        <f t="shared" si="4"/>
        <v>1</v>
      </c>
      <c r="AC19" s="1954">
        <f t="shared" si="5"/>
        <v>1</v>
      </c>
    </row>
    <row r="20" spans="1:29" ht="15">
      <c r="A20" s="375"/>
      <c r="B20" s="409"/>
      <c r="C20" s="1902"/>
      <c r="D20" s="395"/>
      <c r="E20" s="1895"/>
      <c r="F20" s="395"/>
      <c r="G20" s="1896"/>
      <c r="H20" s="395"/>
      <c r="I20" s="1896"/>
      <c r="J20" s="395"/>
      <c r="K20" s="549"/>
      <c r="L20" s="2668"/>
      <c r="M20" s="2663"/>
      <c r="N20" s="2663"/>
      <c r="O20" s="2663"/>
      <c r="P20" s="3357"/>
      <c r="Q20" s="1407"/>
      <c r="R20" s="675"/>
      <c r="S20" s="676"/>
      <c r="T20" s="675"/>
      <c r="U20" s="676"/>
      <c r="V20" s="675"/>
      <c r="W20" s="676"/>
      <c r="X20" s="1409"/>
      <c r="Y20" s="3359"/>
      <c r="Z20" s="1408"/>
      <c r="AA20" s="1408">
        <v>1</v>
      </c>
      <c r="AB20" s="1408">
        <v>1</v>
      </c>
      <c r="AC20" s="1954">
        <v>1</v>
      </c>
    </row>
    <row r="21" spans="1:29" ht="15">
      <c r="A21" s="375"/>
      <c r="B21" s="565" t="s">
        <v>2442</v>
      </c>
      <c r="C21" s="1955" t="str">
        <f>估价对象房地状况!C8</f>
        <v>七通</v>
      </c>
      <c r="D21" s="397">
        <v>100</v>
      </c>
      <c r="E21" s="406"/>
      <c r="F21" s="402">
        <f>SUMIF(83:83,E22,84:84)-SUMIF(83:83,C22,84:84)+100</f>
        <v>100</v>
      </c>
      <c r="G21" s="404"/>
      <c r="H21" s="397">
        <f>SUMIF(83:83,G22,84:84)-SUMIF(83:83,C22,84:84)+100</f>
        <v>100</v>
      </c>
      <c r="I21" s="404"/>
      <c r="J21" s="397">
        <f>SUMIF(83:83,I22,84:84)-SUMIF(83:83,C22,84:84)+100</f>
        <v>100</v>
      </c>
      <c r="K21" s="548"/>
      <c r="L21" s="2668"/>
      <c r="M21" s="2663"/>
      <c r="N21" s="2663"/>
      <c r="O21" s="2663"/>
      <c r="P21" s="3357"/>
      <c r="Q21" s="1407" t="str">
        <f>B21</f>
        <v>基础设施水平</v>
      </c>
      <c r="R21" s="675" t="s">
        <v>17</v>
      </c>
      <c r="S21" s="676">
        <f>F21</f>
        <v>100</v>
      </c>
      <c r="T21" s="675" t="s">
        <v>17</v>
      </c>
      <c r="U21" s="676">
        <f>H21</f>
        <v>100</v>
      </c>
      <c r="V21" s="675" t="s">
        <v>17</v>
      </c>
      <c r="W21" s="676">
        <f>J21</f>
        <v>100</v>
      </c>
      <c r="X21" s="1409"/>
      <c r="Y21" s="3359"/>
      <c r="Z21" s="1408" t="str">
        <f>Q21</f>
        <v>基础设施水平</v>
      </c>
      <c r="AA21" s="1408">
        <f t="shared" ref="AA21" si="8">D21/F21</f>
        <v>1</v>
      </c>
      <c r="AB21" s="1408">
        <f t="shared" ref="AB21" si="9">D21/H21</f>
        <v>1</v>
      </c>
      <c r="AC21" s="1954">
        <f t="shared" ref="AC21" si="10">D21/J21</f>
        <v>1</v>
      </c>
    </row>
    <row r="22" spans="1:29" ht="15">
      <c r="A22" s="375"/>
      <c r="B22" s="565"/>
      <c r="C22" s="1956"/>
      <c r="D22" s="395"/>
      <c r="E22" s="394"/>
      <c r="F22" s="395"/>
      <c r="G22" s="1902"/>
      <c r="H22" s="395"/>
      <c r="I22" s="1902"/>
      <c r="J22" s="395"/>
      <c r="K22" s="1191"/>
      <c r="L22" s="2668"/>
      <c r="M22" s="2663"/>
      <c r="N22" s="2663"/>
      <c r="O22" s="2663"/>
      <c r="P22" s="3357"/>
      <c r="Q22" s="1407"/>
      <c r="R22" s="675"/>
      <c r="S22" s="676"/>
      <c r="T22" s="675"/>
      <c r="U22" s="676"/>
      <c r="V22" s="675"/>
      <c r="W22" s="676"/>
      <c r="X22" s="1409"/>
      <c r="Y22" s="3359"/>
      <c r="Z22" s="1408"/>
      <c r="AA22" s="1408">
        <v>1</v>
      </c>
      <c r="AB22" s="1408">
        <v>1</v>
      </c>
      <c r="AC22" s="1954">
        <v>1</v>
      </c>
    </row>
    <row r="23" spans="1:29" ht="42.75">
      <c r="A23" s="375"/>
      <c r="B23" s="564" t="s">
        <v>2443</v>
      </c>
      <c r="C23" s="1955" t="str">
        <f>估价对象房地状况!C9</f>
        <v>周边绿化以街区级绿化为主，一般</v>
      </c>
      <c r="D23" s="397">
        <v>100</v>
      </c>
      <c r="E23" s="401"/>
      <c r="F23" s="397">
        <f>SUMIF(85:85,E24,86:86)-SUMIF(85:85,C24,86:86)+100</f>
        <v>100</v>
      </c>
      <c r="G23" s="399"/>
      <c r="H23" s="397">
        <f>SUMIF(85:85,G24,86:86)-SUMIF(85:85,C24,86:86)+100</f>
        <v>100</v>
      </c>
      <c r="I23" s="399"/>
      <c r="J23" s="397">
        <f>SUMIF(85:85,I24,86:86)-SUMIF(85:85,C24,86:86)+100</f>
        <v>100</v>
      </c>
      <c r="K23" s="548"/>
      <c r="L23" s="2668"/>
      <c r="M23" s="2663"/>
      <c r="N23" s="2663"/>
      <c r="O23" s="2663"/>
      <c r="P23" s="3357"/>
      <c r="Q23" s="1407" t="str">
        <f>B23</f>
        <v>环境质量</v>
      </c>
      <c r="R23" s="675" t="s">
        <v>17</v>
      </c>
      <c r="S23" s="676">
        <f>F23</f>
        <v>100</v>
      </c>
      <c r="T23" s="675" t="s">
        <v>17</v>
      </c>
      <c r="U23" s="676">
        <f>H23</f>
        <v>100</v>
      </c>
      <c r="V23" s="675" t="s">
        <v>17</v>
      </c>
      <c r="W23" s="676">
        <f>J23</f>
        <v>100</v>
      </c>
      <c r="X23" s="1409"/>
      <c r="Y23" s="3359"/>
      <c r="Z23" s="1408" t="str">
        <f>Q23</f>
        <v>环境质量</v>
      </c>
      <c r="AA23" s="1408">
        <f t="shared" si="3"/>
        <v>1</v>
      </c>
      <c r="AB23" s="1408">
        <f t="shared" si="4"/>
        <v>1</v>
      </c>
      <c r="AC23" s="1954">
        <f t="shared" si="5"/>
        <v>1</v>
      </c>
    </row>
    <row r="24" spans="1:29" ht="15">
      <c r="A24" s="375"/>
      <c r="B24" s="565"/>
      <c r="C24" s="1902"/>
      <c r="D24" s="395"/>
      <c r="E24" s="1895"/>
      <c r="F24" s="395"/>
      <c r="G24" s="1896"/>
      <c r="H24" s="395"/>
      <c r="I24" s="1896"/>
      <c r="J24" s="395"/>
      <c r="K24" s="549"/>
      <c r="L24" s="2668"/>
      <c r="M24" s="2663"/>
      <c r="N24" s="2663"/>
      <c r="O24" s="2663"/>
      <c r="P24" s="3357"/>
      <c r="Q24" s="1407"/>
      <c r="R24" s="675"/>
      <c r="S24" s="676"/>
      <c r="T24" s="675"/>
      <c r="U24" s="676"/>
      <c r="V24" s="675"/>
      <c r="W24" s="676"/>
      <c r="X24" s="1409"/>
      <c r="Y24" s="3359"/>
      <c r="Z24" s="1408"/>
      <c r="AA24" s="1408">
        <v>1</v>
      </c>
      <c r="AB24" s="1408">
        <v>1</v>
      </c>
      <c r="AC24" s="1954">
        <v>1</v>
      </c>
    </row>
    <row r="25" spans="1:29" ht="28.5">
      <c r="A25" s="354"/>
      <c r="B25" s="564" t="s">
        <v>2444</v>
      </c>
      <c r="C25" s="1906"/>
      <c r="D25" s="382">
        <v>100</v>
      </c>
      <c r="E25" s="381"/>
      <c r="F25" s="382">
        <f>SUMIF(87:87,E26,88:88)-SUMIF(87:87,C26,88:88)+100</f>
        <v>100</v>
      </c>
      <c r="G25" s="1906"/>
      <c r="H25" s="382">
        <f>SUMIF(87:87,G26,88:88)-SUMIF(87:87,C26,88:88)+100</f>
        <v>100</v>
      </c>
      <c r="I25" s="381"/>
      <c r="J25" s="382">
        <f>SUMIF(87:87,I26,88:88)-SUMIF(87:87,C26,88:88)+100</f>
        <v>100</v>
      </c>
      <c r="K25" s="548"/>
      <c r="L25" s="2668"/>
      <c r="M25" s="2663"/>
      <c r="N25" s="2663"/>
      <c r="O25" s="2663"/>
      <c r="P25" s="3357"/>
      <c r="Q25" s="1407" t="str">
        <f>B25</f>
        <v>毗邻道路的类型与等级</v>
      </c>
      <c r="R25" s="675" t="s">
        <v>17</v>
      </c>
      <c r="S25" s="676">
        <f>F25</f>
        <v>100</v>
      </c>
      <c r="T25" s="675" t="s">
        <v>17</v>
      </c>
      <c r="U25" s="676">
        <f>H25</f>
        <v>100</v>
      </c>
      <c r="V25" s="675" t="s">
        <v>17</v>
      </c>
      <c r="W25" s="676">
        <f>J25</f>
        <v>100</v>
      </c>
      <c r="X25" s="1409"/>
      <c r="Y25" s="3359"/>
      <c r="Z25" s="1408" t="str">
        <f>Q25</f>
        <v>毗邻道路的类型与等级</v>
      </c>
      <c r="AA25" s="1408">
        <f t="shared" si="3"/>
        <v>1</v>
      </c>
      <c r="AB25" s="1408">
        <f t="shared" si="4"/>
        <v>1</v>
      </c>
      <c r="AC25" s="1954">
        <f t="shared" si="5"/>
        <v>1</v>
      </c>
    </row>
    <row r="26" spans="1:29" ht="15">
      <c r="A26" s="354"/>
      <c r="B26" s="409"/>
      <c r="C26" s="566"/>
      <c r="D26" s="382"/>
      <c r="E26" s="550"/>
      <c r="F26" s="382"/>
      <c r="G26" s="566"/>
      <c r="H26" s="382"/>
      <c r="I26" s="550"/>
      <c r="J26" s="382"/>
      <c r="K26" s="549"/>
      <c r="L26" s="2668"/>
      <c r="M26" s="2663"/>
      <c r="N26" s="2663"/>
      <c r="O26" s="2663"/>
      <c r="P26" s="3357"/>
      <c r="Q26" s="1407"/>
      <c r="R26" s="675"/>
      <c r="S26" s="676"/>
      <c r="T26" s="675"/>
      <c r="U26" s="676"/>
      <c r="V26" s="675"/>
      <c r="W26" s="676"/>
      <c r="X26" s="1409"/>
      <c r="Y26" s="3359"/>
      <c r="Z26" s="1408"/>
      <c r="AA26" s="1408">
        <v>1</v>
      </c>
      <c r="AB26" s="1408">
        <v>1</v>
      </c>
      <c r="AC26" s="1954">
        <v>1</v>
      </c>
    </row>
    <row r="27" spans="1:29" ht="15">
      <c r="A27" s="375"/>
      <c r="B27" s="409" t="s">
        <v>2412</v>
      </c>
      <c r="C27" s="566"/>
      <c r="D27" s="382">
        <v>100</v>
      </c>
      <c r="E27" s="550"/>
      <c r="F27" s="382">
        <f>SUMIF(89:89,E27,90:90)-SUMIF(89:89,C27,90:90)+100</f>
        <v>100</v>
      </c>
      <c r="G27" s="566"/>
      <c r="H27" s="382">
        <f>SUMIF(89:89,G27,90:90)-SUMIF(89:89,C27,90:90)+100</f>
        <v>100</v>
      </c>
      <c r="I27" s="550"/>
      <c r="J27" s="382">
        <f>SUMIF(89:89,I27,90:90)-SUMIF(89:89,C27,90:90)+100</f>
        <v>100</v>
      </c>
      <c r="K27" s="546"/>
      <c r="L27" s="2668"/>
      <c r="M27" s="2663"/>
      <c r="N27" s="2663"/>
      <c r="O27" s="2663"/>
      <c r="P27" s="3357"/>
      <c r="Q27" s="1407" t="str">
        <f t="shared" ref="Q27:Q47" si="11">B27</f>
        <v>楼层</v>
      </c>
      <c r="R27" s="675" t="s">
        <v>17</v>
      </c>
      <c r="S27" s="676">
        <f>F27</f>
        <v>100</v>
      </c>
      <c r="T27" s="675" t="s">
        <v>17</v>
      </c>
      <c r="U27" s="676">
        <f>H27</f>
        <v>100</v>
      </c>
      <c r="V27" s="675" t="s">
        <v>17</v>
      </c>
      <c r="W27" s="676">
        <f>J27</f>
        <v>100</v>
      </c>
      <c r="X27" s="1409"/>
      <c r="Y27" s="3359"/>
      <c r="Z27" s="1408" t="str">
        <f>Q27</f>
        <v>楼层</v>
      </c>
      <c r="AA27" s="1408">
        <f t="shared" si="3"/>
        <v>1</v>
      </c>
      <c r="AB27" s="1408">
        <f t="shared" si="4"/>
        <v>1</v>
      </c>
      <c r="AC27" s="1954">
        <f t="shared" si="5"/>
        <v>1</v>
      </c>
    </row>
    <row r="28" spans="1:29" s="107" customFormat="1" ht="15">
      <c r="A28" s="378"/>
      <c r="B28" s="564" t="s">
        <v>2445</v>
      </c>
      <c r="C28" s="1957"/>
      <c r="D28" s="409">
        <v>100</v>
      </c>
      <c r="E28" s="1949"/>
      <c r="F28" s="409">
        <f>SUMIF(91:91,E28,92:92)-SUMIF(91:91,C28,92:92)+100</f>
        <v>100</v>
      </c>
      <c r="G28" s="1957"/>
      <c r="H28" s="409">
        <f>SUMIF(91:91,G28,92:92)-SUMIF(91:91,C28,92:92)+100</f>
        <v>100</v>
      </c>
      <c r="I28" s="1949"/>
      <c r="J28" s="409">
        <f>SUMIF(91:91,I28,92:92)-SUMIF(91:91,C28,92:92)+100</f>
        <v>100</v>
      </c>
      <c r="K28" s="546"/>
      <c r="L28" s="2664"/>
      <c r="M28" s="2613"/>
      <c r="N28" s="2613"/>
      <c r="O28" s="2613"/>
      <c r="P28" s="3357"/>
      <c r="Q28" s="538" t="str">
        <f t="shared" si="11"/>
        <v>朝向</v>
      </c>
      <c r="R28" s="672" t="s">
        <v>17</v>
      </c>
      <c r="S28" s="673">
        <f>F28</f>
        <v>100</v>
      </c>
      <c r="T28" s="672" t="s">
        <v>17</v>
      </c>
      <c r="U28" s="673">
        <f>H28</f>
        <v>100</v>
      </c>
      <c r="V28" s="672" t="s">
        <v>17</v>
      </c>
      <c r="W28" s="673">
        <f>J28</f>
        <v>100</v>
      </c>
      <c r="X28" s="674"/>
      <c r="Y28" s="3359"/>
      <c r="Z28" s="53" t="str">
        <f>Q28</f>
        <v>朝向</v>
      </c>
      <c r="AA28" s="1408">
        <f>D28/F28</f>
        <v>1</v>
      </c>
      <c r="AB28" s="1408">
        <f>D28/H28</f>
        <v>1</v>
      </c>
      <c r="AC28" s="1954">
        <f>D28/J28</f>
        <v>1</v>
      </c>
    </row>
    <row r="29" spans="1:29" ht="15">
      <c r="A29" s="375"/>
      <c r="B29" s="1226">
        <v>111</v>
      </c>
      <c r="C29" s="1906"/>
      <c r="D29" s="382">
        <v>100</v>
      </c>
      <c r="E29" s="379"/>
      <c r="F29" s="382">
        <f>SUMIF(93:93,E29,94:94)-SUMIF(93:93,C29,94:94)+100</f>
        <v>100</v>
      </c>
      <c r="G29" s="1952"/>
      <c r="H29" s="382">
        <f>SUMIF(93:93,G29,94:94)-SUMIF(93:93,C29,94:94)+100</f>
        <v>100</v>
      </c>
      <c r="I29" s="379"/>
      <c r="J29" s="382">
        <f>SUMIF(93:93,I29,94:94)-SUMIF(93:93,C29,94:94)+100</f>
        <v>100</v>
      </c>
      <c r="K29" s="547"/>
      <c r="L29" s="2668"/>
      <c r="M29" s="2663"/>
      <c r="N29" s="2663"/>
      <c r="O29" s="2663"/>
      <c r="P29" s="3357"/>
      <c r="Q29" s="1407">
        <f t="shared" si="11"/>
        <v>111</v>
      </c>
      <c r="R29" s="675" t="s">
        <v>17</v>
      </c>
      <c r="S29" s="676">
        <f t="shared" ref="S29:S47" si="12">F29</f>
        <v>100</v>
      </c>
      <c r="T29" s="675" t="s">
        <v>17</v>
      </c>
      <c r="U29" s="676">
        <f t="shared" ref="U29:U47" si="13">H29</f>
        <v>100</v>
      </c>
      <c r="V29" s="675" t="s">
        <v>17</v>
      </c>
      <c r="W29" s="676">
        <f t="shared" ref="W29:W47" si="14">J29</f>
        <v>100</v>
      </c>
      <c r="X29" s="1409"/>
      <c r="Y29" s="3359"/>
      <c r="Z29" s="1408">
        <f t="shared" ref="Z29:Z47" si="15">Q29</f>
        <v>111</v>
      </c>
      <c r="AA29" s="1408">
        <f t="shared" si="3"/>
        <v>1</v>
      </c>
      <c r="AB29" s="1408">
        <f t="shared" si="4"/>
        <v>1</v>
      </c>
      <c r="AC29" s="1954">
        <f t="shared" si="5"/>
        <v>1</v>
      </c>
    </row>
    <row r="30" spans="1:29" ht="15">
      <c r="A30" s="375"/>
      <c r="B30" s="1226">
        <v>111</v>
      </c>
      <c r="C30" s="1906"/>
      <c r="D30" s="382">
        <v>100</v>
      </c>
      <c r="E30" s="379"/>
      <c r="F30" s="382">
        <f>SUMIF(95:95,E30,96:96)-SUMIF(95:95,C30,96:96)+100</f>
        <v>100</v>
      </c>
      <c r="G30" s="1952"/>
      <c r="H30" s="382">
        <f>SUMIF(95:95,G30,96:96)-SUMIF(95:95,C30,96:96)+100</f>
        <v>100</v>
      </c>
      <c r="I30" s="379"/>
      <c r="J30" s="382">
        <f>SUMIF(95:95,I30,96:96)-SUMIF(95:95,C30,96:96)+100</f>
        <v>100</v>
      </c>
      <c r="K30" s="547"/>
      <c r="L30" s="2668"/>
      <c r="M30" s="2663"/>
      <c r="N30" s="2663"/>
      <c r="O30" s="2663"/>
      <c r="P30" s="3357"/>
      <c r="Q30" s="1407">
        <f t="shared" si="11"/>
        <v>111</v>
      </c>
      <c r="R30" s="675" t="s">
        <v>17</v>
      </c>
      <c r="S30" s="676">
        <f t="shared" si="12"/>
        <v>100</v>
      </c>
      <c r="T30" s="675" t="s">
        <v>17</v>
      </c>
      <c r="U30" s="676">
        <f t="shared" si="13"/>
        <v>100</v>
      </c>
      <c r="V30" s="675" t="s">
        <v>17</v>
      </c>
      <c r="W30" s="676">
        <f t="shared" si="14"/>
        <v>100</v>
      </c>
      <c r="X30" s="1409"/>
      <c r="Y30" s="3359"/>
      <c r="Z30" s="1408">
        <f t="shared" si="15"/>
        <v>111</v>
      </c>
      <c r="AA30" s="1408">
        <f t="shared" si="3"/>
        <v>1</v>
      </c>
      <c r="AB30" s="1408">
        <f t="shared" si="4"/>
        <v>1</v>
      </c>
      <c r="AC30" s="1954">
        <f t="shared" si="5"/>
        <v>1</v>
      </c>
    </row>
    <row r="31" spans="1:29" ht="15">
      <c r="A31" s="375"/>
      <c r="B31" s="1226">
        <v>111</v>
      </c>
      <c r="C31" s="1906"/>
      <c r="D31" s="382">
        <v>100</v>
      </c>
      <c r="E31" s="379"/>
      <c r="F31" s="382">
        <f>SUMIF(97:97,E31,98:98)-SUMIF(97:97,C31,98:98)+100</f>
        <v>100</v>
      </c>
      <c r="G31" s="1952"/>
      <c r="H31" s="382">
        <f>SUMIF(97:97,G31,98:98)-SUMIF(97:97,C31,98:98)+100</f>
        <v>100</v>
      </c>
      <c r="I31" s="379"/>
      <c r="J31" s="382">
        <f>SUMIF(97:97,I31,98:98)-SUMIF(97:97,C31,98:98)+100</f>
        <v>100</v>
      </c>
      <c r="K31" s="547"/>
      <c r="L31" s="2668"/>
      <c r="M31" s="2663"/>
      <c r="N31" s="2663"/>
      <c r="O31" s="2663"/>
      <c r="P31" s="3357"/>
      <c r="Q31" s="1407">
        <f t="shared" si="11"/>
        <v>111</v>
      </c>
      <c r="R31" s="675" t="s">
        <v>17</v>
      </c>
      <c r="S31" s="676">
        <f t="shared" si="12"/>
        <v>100</v>
      </c>
      <c r="T31" s="675" t="s">
        <v>17</v>
      </c>
      <c r="U31" s="676">
        <f t="shared" si="13"/>
        <v>100</v>
      </c>
      <c r="V31" s="675" t="s">
        <v>17</v>
      </c>
      <c r="W31" s="676">
        <f t="shared" si="14"/>
        <v>100</v>
      </c>
      <c r="X31" s="1409"/>
      <c r="Y31" s="3359"/>
      <c r="Z31" s="1408">
        <f t="shared" si="15"/>
        <v>111</v>
      </c>
      <c r="AA31" s="1408">
        <f t="shared" si="3"/>
        <v>1</v>
      </c>
      <c r="AB31" s="1408">
        <f t="shared" si="4"/>
        <v>1</v>
      </c>
      <c r="AC31" s="1954">
        <f t="shared" si="5"/>
        <v>1</v>
      </c>
    </row>
    <row r="32" spans="1:29" ht="15.75" thickBot="1">
      <c r="A32" s="383"/>
      <c r="B32" s="567">
        <v>111</v>
      </c>
      <c r="C32" s="1907"/>
      <c r="D32" s="385">
        <v>100</v>
      </c>
      <c r="E32" s="561"/>
      <c r="F32" s="385">
        <f>SUMIF(99:99,E32,100:100)-SUMIF(99:99,C32,100:100)+100</f>
        <v>100</v>
      </c>
      <c r="G32" s="1952"/>
      <c r="H32" s="385">
        <f>SUMIF(99:99,G32,100:100)-SUMIF(99:99,C32,100:100)+100</f>
        <v>100</v>
      </c>
      <c r="I32" s="379"/>
      <c r="J32" s="385">
        <f>SUMIF(99:99,I32,100:100)-SUMIF(99:99,C32,100:100)+100</f>
        <v>100</v>
      </c>
      <c r="K32" s="547"/>
      <c r="L32" s="2668"/>
      <c r="M32" s="2663"/>
      <c r="N32" s="2663"/>
      <c r="O32" s="2663"/>
      <c r="P32" s="3357"/>
      <c r="Q32" s="1407">
        <f t="shared" si="11"/>
        <v>111</v>
      </c>
      <c r="R32" s="675" t="s">
        <v>17</v>
      </c>
      <c r="S32" s="676">
        <f t="shared" si="12"/>
        <v>100</v>
      </c>
      <c r="T32" s="675" t="s">
        <v>17</v>
      </c>
      <c r="U32" s="676">
        <f t="shared" si="13"/>
        <v>100</v>
      </c>
      <c r="V32" s="675" t="s">
        <v>17</v>
      </c>
      <c r="W32" s="676">
        <f t="shared" si="14"/>
        <v>100</v>
      </c>
      <c r="X32" s="1409"/>
      <c r="Y32" s="3359"/>
      <c r="Z32" s="1408">
        <f t="shared" si="15"/>
        <v>111</v>
      </c>
      <c r="AA32" s="1408">
        <f t="shared" si="3"/>
        <v>1</v>
      </c>
      <c r="AB32" s="1408">
        <f t="shared" si="4"/>
        <v>1</v>
      </c>
      <c r="AC32" s="1954">
        <f t="shared" si="5"/>
        <v>1</v>
      </c>
    </row>
    <row r="33" spans="1:29" ht="15">
      <c r="A33" s="387" t="s">
        <v>2317</v>
      </c>
      <c r="B33" s="64" t="s">
        <v>2446</v>
      </c>
      <c r="C33" s="1908"/>
      <c r="D33" s="413">
        <v>100</v>
      </c>
      <c r="E33" s="1908"/>
      <c r="F33" s="408">
        <f>SUMIF(101:101,E33,102:102)-SUMIF(101:101,C33,102:102)+100</f>
        <v>100</v>
      </c>
      <c r="G33" s="1908"/>
      <c r="H33" s="382">
        <f>SUMIF(101:101,G33,102:102)-SUMIF(101:101,C33,102:102)+100</f>
        <v>100</v>
      </c>
      <c r="I33" s="1908"/>
      <c r="J33" s="413">
        <f>SUMIF(101:101,I33,102:102)-SUMIF(101:101,C33,102:102)+100</f>
        <v>100</v>
      </c>
      <c r="K33" s="546"/>
      <c r="L33" s="2668"/>
      <c r="M33" s="2663"/>
      <c r="N33" s="2663"/>
      <c r="O33" s="2663"/>
      <c r="P33" s="3360" t="s">
        <v>2319</v>
      </c>
      <c r="Q33" s="1407" t="str">
        <f t="shared" si="11"/>
        <v>建筑类型</v>
      </c>
      <c r="R33" s="675" t="s">
        <v>17</v>
      </c>
      <c r="S33" s="676">
        <f t="shared" si="12"/>
        <v>100</v>
      </c>
      <c r="T33" s="675" t="s">
        <v>17</v>
      </c>
      <c r="U33" s="676">
        <f t="shared" si="13"/>
        <v>100</v>
      </c>
      <c r="V33" s="675" t="s">
        <v>17</v>
      </c>
      <c r="W33" s="676">
        <f t="shared" si="14"/>
        <v>100</v>
      </c>
      <c r="X33" s="1409"/>
      <c r="Y33" s="3363" t="s">
        <v>2319</v>
      </c>
      <c r="Z33" s="1408" t="str">
        <f t="shared" si="15"/>
        <v>建筑类型</v>
      </c>
      <c r="AA33" s="1408">
        <f t="shared" si="3"/>
        <v>1</v>
      </c>
      <c r="AB33" s="1408">
        <f t="shared" si="4"/>
        <v>1</v>
      </c>
      <c r="AC33" s="1954">
        <f t="shared" si="5"/>
        <v>1</v>
      </c>
    </row>
    <row r="34" spans="1:29" s="416" customFormat="1" ht="15">
      <c r="A34" s="414"/>
      <c r="B34" s="370" t="s">
        <v>2320</v>
      </c>
      <c r="C34" s="415"/>
      <c r="D34" s="124">
        <v>100</v>
      </c>
      <c r="E34" s="377"/>
      <c r="F34" s="370">
        <f>LOOKUP(E34,104:104,105:105)-LOOKUP(C34,104:104,105:105)+100</f>
        <v>100</v>
      </c>
      <c r="G34" s="376"/>
      <c r="H34" s="124">
        <f>LOOKUP(G34,104:104,105:105)-LOOKUP(C34,104:104,105:105)+100</f>
        <v>100</v>
      </c>
      <c r="I34" s="376"/>
      <c r="J34" s="124">
        <f>LOOKUP(I34,104:104,105:105)-LOOKUP(C34,104:104,105:105)+100</f>
        <v>100</v>
      </c>
      <c r="K34" s="547"/>
      <c r="L34" s="2667"/>
      <c r="M34" s="2669"/>
      <c r="N34" s="2669"/>
      <c r="O34" s="2669"/>
      <c r="P34" s="3361"/>
      <c r="Q34" s="539" t="str">
        <f t="shared" si="11"/>
        <v>项目建筑规模</v>
      </c>
      <c r="R34" s="677" t="s">
        <v>17</v>
      </c>
      <c r="S34" s="678">
        <f t="shared" si="12"/>
        <v>100</v>
      </c>
      <c r="T34" s="677" t="s">
        <v>17</v>
      </c>
      <c r="U34" s="678">
        <f t="shared" si="13"/>
        <v>100</v>
      </c>
      <c r="V34" s="677" t="s">
        <v>17</v>
      </c>
      <c r="W34" s="678">
        <f t="shared" si="14"/>
        <v>100</v>
      </c>
      <c r="X34" s="679"/>
      <c r="Y34" s="3363"/>
      <c r="Z34" s="680" t="str">
        <f t="shared" si="15"/>
        <v>项目建筑规模</v>
      </c>
      <c r="AA34" s="1408">
        <f t="shared" si="3"/>
        <v>1</v>
      </c>
      <c r="AB34" s="1408">
        <f t="shared" si="4"/>
        <v>1</v>
      </c>
      <c r="AC34" s="1954">
        <f t="shared" si="5"/>
        <v>1</v>
      </c>
    </row>
    <row r="35" spans="1:29" ht="15">
      <c r="A35" s="417"/>
      <c r="B35" s="370" t="s">
        <v>2321</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68"/>
      <c r="M35" s="2663"/>
      <c r="N35" s="2663"/>
      <c r="O35" s="2663"/>
      <c r="P35" s="3361"/>
      <c r="Q35" s="1407" t="str">
        <f t="shared" si="11"/>
        <v>建筑结构</v>
      </c>
      <c r="R35" s="675" t="s">
        <v>17</v>
      </c>
      <c r="S35" s="676">
        <f t="shared" si="12"/>
        <v>100</v>
      </c>
      <c r="T35" s="675" t="s">
        <v>17</v>
      </c>
      <c r="U35" s="676">
        <f t="shared" si="13"/>
        <v>100</v>
      </c>
      <c r="V35" s="675" t="s">
        <v>17</v>
      </c>
      <c r="W35" s="676">
        <f t="shared" si="14"/>
        <v>100</v>
      </c>
      <c r="X35" s="1409"/>
      <c r="Y35" s="3363"/>
      <c r="Z35" s="1408" t="str">
        <f t="shared" si="15"/>
        <v>建筑结构</v>
      </c>
      <c r="AA35" s="1408">
        <f t="shared" si="3"/>
        <v>1</v>
      </c>
      <c r="AB35" s="1408">
        <f t="shared" si="4"/>
        <v>1</v>
      </c>
      <c r="AC35" s="1954">
        <f t="shared" si="5"/>
        <v>1</v>
      </c>
    </row>
    <row r="36" spans="1:29" ht="15">
      <c r="A36" s="417"/>
      <c r="B36" s="370" t="s">
        <v>2414</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68"/>
      <c r="M36" s="2663"/>
      <c r="N36" s="2663"/>
      <c r="O36" s="2663"/>
      <c r="P36" s="3361"/>
      <c r="Q36" s="1407" t="str">
        <f t="shared" si="11"/>
        <v>公共部分装修</v>
      </c>
      <c r="R36" s="675" t="s">
        <v>17</v>
      </c>
      <c r="S36" s="676">
        <f t="shared" si="12"/>
        <v>100</v>
      </c>
      <c r="T36" s="675" t="s">
        <v>17</v>
      </c>
      <c r="U36" s="676">
        <f t="shared" si="13"/>
        <v>100</v>
      </c>
      <c r="V36" s="675" t="s">
        <v>17</v>
      </c>
      <c r="W36" s="676">
        <f t="shared" si="14"/>
        <v>100</v>
      </c>
      <c r="X36" s="1409"/>
      <c r="Y36" s="3363"/>
      <c r="Z36" s="1408" t="str">
        <f t="shared" si="15"/>
        <v>公共部分装修</v>
      </c>
      <c r="AA36" s="1408">
        <f t="shared" si="3"/>
        <v>1</v>
      </c>
      <c r="AB36" s="1408">
        <f t="shared" si="4"/>
        <v>1</v>
      </c>
      <c r="AC36" s="1954">
        <f t="shared" si="5"/>
        <v>1</v>
      </c>
    </row>
    <row r="37" spans="1:29" ht="15">
      <c r="A37" s="417"/>
      <c r="B37" s="370" t="s">
        <v>2415</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68"/>
      <c r="M37" s="2663"/>
      <c r="N37" s="2663"/>
      <c r="O37" s="2663"/>
      <c r="P37" s="3361"/>
      <c r="Q37" s="1407" t="str">
        <f t="shared" si="11"/>
        <v>成新度</v>
      </c>
      <c r="R37" s="675" t="s">
        <v>17</v>
      </c>
      <c r="S37" s="676" t="e">
        <f t="shared" si="12"/>
        <v>#N/A</v>
      </c>
      <c r="T37" s="675" t="s">
        <v>17</v>
      </c>
      <c r="U37" s="676" t="e">
        <f t="shared" si="13"/>
        <v>#N/A</v>
      </c>
      <c r="V37" s="675" t="s">
        <v>17</v>
      </c>
      <c r="W37" s="676" t="e">
        <f t="shared" si="14"/>
        <v>#N/A</v>
      </c>
      <c r="X37" s="1409"/>
      <c r="Y37" s="3363"/>
      <c r="Z37" s="1408" t="str">
        <f t="shared" si="15"/>
        <v>成新度</v>
      </c>
      <c r="AA37" s="1408" t="e">
        <f t="shared" si="3"/>
        <v>#N/A</v>
      </c>
      <c r="AB37" s="1408" t="e">
        <f t="shared" si="4"/>
        <v>#N/A</v>
      </c>
      <c r="AC37" s="1954" t="e">
        <f t="shared" si="5"/>
        <v>#N/A</v>
      </c>
    </row>
    <row r="38" spans="1:29" s="107" customFormat="1" ht="15">
      <c r="A38" s="418"/>
      <c r="B38" s="370" t="s">
        <v>2447</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64"/>
      <c r="M38" s="2613"/>
      <c r="N38" s="2613"/>
      <c r="O38" s="2613"/>
      <c r="P38" s="3361"/>
      <c r="Q38" s="538" t="str">
        <f t="shared" si="11"/>
        <v>写字楼等级</v>
      </c>
      <c r="R38" s="672" t="s">
        <v>17</v>
      </c>
      <c r="S38" s="673">
        <f t="shared" si="12"/>
        <v>100</v>
      </c>
      <c r="T38" s="672" t="s">
        <v>17</v>
      </c>
      <c r="U38" s="673">
        <f t="shared" si="13"/>
        <v>100</v>
      </c>
      <c r="V38" s="672" t="s">
        <v>17</v>
      </c>
      <c r="W38" s="673">
        <f t="shared" si="14"/>
        <v>100</v>
      </c>
      <c r="X38" s="674"/>
      <c r="Y38" s="3363"/>
      <c r="Z38" s="53" t="str">
        <f t="shared" si="15"/>
        <v>写字楼等级</v>
      </c>
      <c r="AA38" s="53">
        <f t="shared" si="3"/>
        <v>1</v>
      </c>
      <c r="AB38" s="53">
        <f t="shared" si="4"/>
        <v>1</v>
      </c>
      <c r="AC38" s="904">
        <f t="shared" si="5"/>
        <v>1</v>
      </c>
    </row>
    <row r="39" spans="1:29" ht="15">
      <c r="A39" s="417"/>
      <c r="B39" s="370" t="s">
        <v>2448</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68"/>
      <c r="M39" s="2663"/>
      <c r="N39" s="2663"/>
      <c r="O39" s="2663"/>
      <c r="P39" s="3361" t="s">
        <v>2319</v>
      </c>
      <c r="Q39" s="1407" t="str">
        <f t="shared" si="11"/>
        <v>物业管理</v>
      </c>
      <c r="R39" s="675" t="s">
        <v>17</v>
      </c>
      <c r="S39" s="676">
        <f t="shared" si="12"/>
        <v>100</v>
      </c>
      <c r="T39" s="675" t="s">
        <v>17</v>
      </c>
      <c r="U39" s="676">
        <f t="shared" si="13"/>
        <v>100</v>
      </c>
      <c r="V39" s="675" t="s">
        <v>17</v>
      </c>
      <c r="W39" s="676">
        <f t="shared" si="14"/>
        <v>100</v>
      </c>
      <c r="X39" s="1409"/>
      <c r="Y39" s="3363" t="s">
        <v>2319</v>
      </c>
      <c r="Z39" s="1408" t="str">
        <f t="shared" si="15"/>
        <v>物业管理</v>
      </c>
      <c r="AA39" s="1408">
        <f t="shared" si="3"/>
        <v>1</v>
      </c>
      <c r="AB39" s="1408">
        <f t="shared" si="4"/>
        <v>1</v>
      </c>
      <c r="AC39" s="1954">
        <f t="shared" si="5"/>
        <v>1</v>
      </c>
    </row>
    <row r="40" spans="1:29" ht="15">
      <c r="A40" s="417"/>
      <c r="B40" s="370" t="s">
        <v>2416</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68"/>
      <c r="M40" s="2663"/>
      <c r="N40" s="2663"/>
      <c r="O40" s="2663"/>
      <c r="P40" s="3361"/>
      <c r="Q40" s="1407" t="str">
        <f t="shared" si="11"/>
        <v>市政基础设施</v>
      </c>
      <c r="R40" s="675" t="s">
        <v>17</v>
      </c>
      <c r="S40" s="676">
        <f t="shared" si="12"/>
        <v>100</v>
      </c>
      <c r="T40" s="675" t="s">
        <v>17</v>
      </c>
      <c r="U40" s="676">
        <f t="shared" si="13"/>
        <v>100</v>
      </c>
      <c r="V40" s="675" t="s">
        <v>17</v>
      </c>
      <c r="W40" s="676">
        <f t="shared" si="14"/>
        <v>100</v>
      </c>
      <c r="X40" s="1409"/>
      <c r="Y40" s="3363"/>
      <c r="Z40" s="1408" t="str">
        <f t="shared" si="15"/>
        <v>市政基础设施</v>
      </c>
      <c r="AA40" s="1408">
        <f t="shared" si="3"/>
        <v>1</v>
      </c>
      <c r="AB40" s="1408">
        <f t="shared" si="4"/>
        <v>1</v>
      </c>
      <c r="AC40" s="1954">
        <f t="shared" si="5"/>
        <v>1</v>
      </c>
    </row>
    <row r="41" spans="1:29" ht="15">
      <c r="A41" s="417"/>
      <c r="B41" s="370" t="s">
        <v>2418</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68"/>
      <c r="M41" s="2663"/>
      <c r="N41" s="2663"/>
      <c r="O41" s="2663"/>
      <c r="P41" s="3361"/>
      <c r="Q41" s="1407" t="str">
        <f t="shared" si="11"/>
        <v>层高</v>
      </c>
      <c r="R41" s="675" t="s">
        <v>17</v>
      </c>
      <c r="S41" s="676">
        <f t="shared" si="12"/>
        <v>100</v>
      </c>
      <c r="T41" s="675" t="s">
        <v>17</v>
      </c>
      <c r="U41" s="676">
        <f t="shared" si="13"/>
        <v>100</v>
      </c>
      <c r="V41" s="675" t="s">
        <v>17</v>
      </c>
      <c r="W41" s="676">
        <f t="shared" si="14"/>
        <v>100</v>
      </c>
      <c r="X41" s="1409"/>
      <c r="Y41" s="3363"/>
      <c r="Z41" s="1408" t="str">
        <f t="shared" si="15"/>
        <v>层高</v>
      </c>
      <c r="AA41" s="1408">
        <f t="shared" si="3"/>
        <v>1</v>
      </c>
      <c r="AB41" s="1408">
        <f t="shared" si="4"/>
        <v>1</v>
      </c>
      <c r="AC41" s="1954">
        <f t="shared" si="5"/>
        <v>1</v>
      </c>
    </row>
    <row r="42" spans="1:29" s="416" customFormat="1" ht="15">
      <c r="A42" s="414"/>
      <c r="B42" s="408" t="s">
        <v>2449</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67"/>
      <c r="M42" s="2669"/>
      <c r="N42" s="2669"/>
      <c r="O42" s="2669"/>
      <c r="P42" s="3361"/>
      <c r="Q42" s="539" t="str">
        <f t="shared" si="11"/>
        <v>单套建筑面积</v>
      </c>
      <c r="R42" s="677" t="s">
        <v>17</v>
      </c>
      <c r="S42" s="678">
        <f t="shared" si="12"/>
        <v>100</v>
      </c>
      <c r="T42" s="677" t="s">
        <v>17</v>
      </c>
      <c r="U42" s="678">
        <f t="shared" si="13"/>
        <v>100</v>
      </c>
      <c r="V42" s="677" t="s">
        <v>17</v>
      </c>
      <c r="W42" s="678">
        <f t="shared" si="14"/>
        <v>100</v>
      </c>
      <c r="X42" s="679"/>
      <c r="Y42" s="3363"/>
      <c r="Z42" s="680" t="str">
        <f t="shared" si="15"/>
        <v>单套建筑面积</v>
      </c>
      <c r="AA42" s="1408">
        <f t="shared" si="3"/>
        <v>1</v>
      </c>
      <c r="AB42" s="1408">
        <f t="shared" si="4"/>
        <v>1</v>
      </c>
      <c r="AC42" s="1954">
        <f t="shared" si="5"/>
        <v>1</v>
      </c>
    </row>
    <row r="43" spans="1:29" ht="15">
      <c r="A43" s="417"/>
      <c r="B43" s="370" t="s">
        <v>2421</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68"/>
      <c r="M43" s="2663"/>
      <c r="N43" s="2663"/>
      <c r="O43" s="2663"/>
      <c r="P43" s="3361"/>
      <c r="Q43" s="1407" t="str">
        <f t="shared" si="11"/>
        <v>内部装修</v>
      </c>
      <c r="R43" s="675" t="s">
        <v>17</v>
      </c>
      <c r="S43" s="676">
        <f t="shared" si="12"/>
        <v>100</v>
      </c>
      <c r="T43" s="675" t="s">
        <v>17</v>
      </c>
      <c r="U43" s="676">
        <f t="shared" si="13"/>
        <v>100</v>
      </c>
      <c r="V43" s="675" t="s">
        <v>17</v>
      </c>
      <c r="W43" s="676">
        <f t="shared" si="14"/>
        <v>100</v>
      </c>
      <c r="X43" s="1409"/>
      <c r="Y43" s="3363"/>
      <c r="Z43" s="1408" t="str">
        <f t="shared" si="15"/>
        <v>内部装修</v>
      </c>
      <c r="AA43" s="1408">
        <f t="shared" si="3"/>
        <v>1</v>
      </c>
      <c r="AB43" s="1408">
        <f t="shared" si="4"/>
        <v>1</v>
      </c>
      <c r="AC43" s="1954">
        <f t="shared" si="5"/>
        <v>1</v>
      </c>
    </row>
    <row r="44" spans="1:29" ht="15">
      <c r="A44" s="417"/>
      <c r="B44" s="370" t="s">
        <v>2329</v>
      </c>
      <c r="C44" s="407"/>
      <c r="D44" s="382">
        <v>100</v>
      </c>
      <c r="E44" s="1904"/>
      <c r="F44" s="408">
        <f>SUMIF(125:125,E44,126:126)-SUMIF(125:125,C44,126:126)+100</f>
        <v>100</v>
      </c>
      <c r="G44" s="1904"/>
      <c r="H44" s="382">
        <f>SUMIF(125:125,G44,126:126)-SUMIF(125:125,C44,126:126)+100</f>
        <v>100</v>
      </c>
      <c r="I44" s="1904"/>
      <c r="J44" s="382">
        <f>SUMIF(125:125,I44,126:126)-SUMIF(125:125,C44,126:126)+100</f>
        <v>100</v>
      </c>
      <c r="K44" s="546"/>
      <c r="L44" s="2668"/>
      <c r="M44" s="2663"/>
      <c r="N44" s="2663"/>
      <c r="O44" s="2663"/>
      <c r="P44" s="3361"/>
      <c r="Q44" s="1407" t="str">
        <f t="shared" si="11"/>
        <v>内部装修维护情况</v>
      </c>
      <c r="R44" s="675" t="s">
        <v>17</v>
      </c>
      <c r="S44" s="676">
        <f t="shared" si="12"/>
        <v>100</v>
      </c>
      <c r="T44" s="675" t="s">
        <v>17</v>
      </c>
      <c r="U44" s="676">
        <f t="shared" si="13"/>
        <v>100</v>
      </c>
      <c r="V44" s="675" t="s">
        <v>17</v>
      </c>
      <c r="W44" s="676">
        <f t="shared" si="14"/>
        <v>100</v>
      </c>
      <c r="X44" s="1409"/>
      <c r="Y44" s="3363"/>
      <c r="Z44" s="1408" t="str">
        <f t="shared" si="15"/>
        <v>内部装修维护情况</v>
      </c>
      <c r="AA44" s="1408">
        <f t="shared" si="3"/>
        <v>1</v>
      </c>
      <c r="AB44" s="1408">
        <f t="shared" si="4"/>
        <v>1</v>
      </c>
      <c r="AC44" s="1954">
        <f t="shared" si="5"/>
        <v>1</v>
      </c>
    </row>
    <row r="45" spans="1:29" s="107" customFormat="1" ht="15">
      <c r="A45" s="418"/>
      <c r="B45" s="1193">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64"/>
      <c r="M45" s="2613"/>
      <c r="N45" s="2613"/>
      <c r="O45" s="2613"/>
      <c r="P45" s="3361"/>
      <c r="Q45" s="538">
        <f t="shared" si="11"/>
        <v>111</v>
      </c>
      <c r="R45" s="672" t="s">
        <v>17</v>
      </c>
      <c r="S45" s="673">
        <f t="shared" si="12"/>
        <v>100</v>
      </c>
      <c r="T45" s="672" t="s">
        <v>17</v>
      </c>
      <c r="U45" s="673">
        <f t="shared" si="13"/>
        <v>100</v>
      </c>
      <c r="V45" s="672" t="s">
        <v>17</v>
      </c>
      <c r="W45" s="673">
        <f t="shared" si="14"/>
        <v>100</v>
      </c>
      <c r="X45" s="674"/>
      <c r="Y45" s="3363"/>
      <c r="Z45" s="53">
        <f t="shared" si="15"/>
        <v>111</v>
      </c>
      <c r="AA45" s="53">
        <f t="shared" si="3"/>
        <v>1</v>
      </c>
      <c r="AB45" s="53">
        <f t="shared" si="4"/>
        <v>1</v>
      </c>
      <c r="AC45" s="904">
        <f t="shared" si="5"/>
        <v>1</v>
      </c>
    </row>
    <row r="46" spans="1:29" ht="15">
      <c r="A46" s="417"/>
      <c r="B46" s="1193">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68"/>
      <c r="M46" s="2663"/>
      <c r="N46" s="2663"/>
      <c r="O46" s="2663"/>
      <c r="P46" s="3361"/>
      <c r="Q46" s="1407">
        <f t="shared" si="11"/>
        <v>111</v>
      </c>
      <c r="R46" s="675" t="s">
        <v>17</v>
      </c>
      <c r="S46" s="676">
        <f t="shared" si="12"/>
        <v>100</v>
      </c>
      <c r="T46" s="675" t="s">
        <v>17</v>
      </c>
      <c r="U46" s="676">
        <f t="shared" si="13"/>
        <v>100</v>
      </c>
      <c r="V46" s="675" t="s">
        <v>17</v>
      </c>
      <c r="W46" s="676">
        <f t="shared" si="14"/>
        <v>100</v>
      </c>
      <c r="X46" s="1409"/>
      <c r="Y46" s="3363"/>
      <c r="Z46" s="1408">
        <f t="shared" si="15"/>
        <v>111</v>
      </c>
      <c r="AA46" s="1408">
        <f t="shared" si="3"/>
        <v>1</v>
      </c>
      <c r="AB46" s="1408">
        <f t="shared" si="4"/>
        <v>1</v>
      </c>
      <c r="AC46" s="1954">
        <f t="shared" si="5"/>
        <v>1</v>
      </c>
    </row>
    <row r="47" spans="1:29" ht="15.75" thickBot="1">
      <c r="A47" s="423"/>
      <c r="B47" s="1893">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68"/>
      <c r="M47" s="2663"/>
      <c r="N47" s="2663"/>
      <c r="O47" s="2663"/>
      <c r="P47" s="3362"/>
      <c r="Q47" s="1407">
        <f t="shared" si="11"/>
        <v>111</v>
      </c>
      <c r="R47" s="675" t="s">
        <v>17</v>
      </c>
      <c r="S47" s="676">
        <f t="shared" si="12"/>
        <v>100</v>
      </c>
      <c r="T47" s="675" t="s">
        <v>17</v>
      </c>
      <c r="U47" s="676">
        <f t="shared" si="13"/>
        <v>100</v>
      </c>
      <c r="V47" s="675" t="s">
        <v>17</v>
      </c>
      <c r="W47" s="676">
        <f t="shared" si="14"/>
        <v>100</v>
      </c>
      <c r="X47" s="1409"/>
      <c r="Y47" s="3364"/>
      <c r="Z47" s="1408">
        <f t="shared" si="15"/>
        <v>111</v>
      </c>
      <c r="AA47" s="1408">
        <f t="shared" si="3"/>
        <v>1</v>
      </c>
      <c r="AB47" s="1408">
        <f t="shared" si="4"/>
        <v>1</v>
      </c>
      <c r="AC47" s="1954">
        <f t="shared" si="5"/>
        <v>1</v>
      </c>
    </row>
    <row r="48" spans="1:29" ht="15">
      <c r="A48" s="424" t="s">
        <v>2330</v>
      </c>
      <c r="B48" s="425"/>
      <c r="C48" s="1208" t="s">
        <v>1</v>
      </c>
      <c r="D48" s="426"/>
      <c r="E48" s="427"/>
      <c r="F48" s="428"/>
      <c r="G48" s="429"/>
      <c r="H48" s="430"/>
      <c r="I48" s="427"/>
      <c r="J48" s="430"/>
      <c r="K48" s="682"/>
      <c r="L48" s="2670"/>
      <c r="M48" s="2663"/>
      <c r="N48" s="2663"/>
      <c r="O48" s="2663"/>
      <c r="P48" s="3350" t="str">
        <f>A48</f>
        <v>成交单价（元/平方米）</v>
      </c>
      <c r="Q48" s="3351"/>
      <c r="R48" s="3352">
        <f>E48</f>
        <v>0</v>
      </c>
      <c r="S48" s="3352"/>
      <c r="T48" s="3352">
        <f>G48</f>
        <v>0</v>
      </c>
      <c r="U48" s="3352"/>
      <c r="V48" s="3352">
        <f>I48</f>
        <v>0</v>
      </c>
      <c r="W48" s="3352"/>
      <c r="X48" s="393"/>
      <c r="Y48" s="681"/>
      <c r="Z48" s="393"/>
      <c r="AA48" s="393"/>
      <c r="AB48" s="393"/>
      <c r="AC48" s="563"/>
    </row>
    <row r="49" spans="1:29" ht="15.75" thickBot="1">
      <c r="A49" s="431" t="s">
        <v>2422</v>
      </c>
      <c r="B49" s="432"/>
      <c r="C49" s="1209" t="e">
        <f>R50</f>
        <v>#DIV/0!</v>
      </c>
      <c r="D49" s="2312" t="s">
        <v>2807</v>
      </c>
      <c r="E49" s="1210" t="e">
        <f>R49</f>
        <v>#DIV/0!</v>
      </c>
      <c r="F49" s="2313"/>
      <c r="G49" s="1209" t="e">
        <f>T49</f>
        <v>#DIV/0!</v>
      </c>
      <c r="H49" s="2313"/>
      <c r="I49" s="1210" t="e">
        <f>V49</f>
        <v>#DIV/0!</v>
      </c>
      <c r="J49" s="2313"/>
      <c r="K49" s="2315">
        <f>F49+H49+J49</f>
        <v>0</v>
      </c>
      <c r="L49" s="2670"/>
      <c r="M49" s="2663"/>
      <c r="N49" s="2663"/>
      <c r="O49" s="2663"/>
      <c r="P49" s="3350"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393"/>
      <c r="Y49" s="393"/>
      <c r="Z49" s="393"/>
      <c r="AA49" s="393"/>
      <c r="AB49" s="393"/>
      <c r="AC49" s="563"/>
    </row>
    <row r="50" spans="1:29" ht="15.75" thickBot="1">
      <c r="A50" s="435" t="s">
        <v>2423</v>
      </c>
      <c r="B50" s="436"/>
      <c r="C50" s="357" t="e">
        <f>R50</f>
        <v>#DIV/0!</v>
      </c>
      <c r="D50" s="357"/>
      <c r="E50" s="357"/>
      <c r="F50" s="357"/>
      <c r="G50" s="357"/>
      <c r="H50" s="357"/>
      <c r="I50" s="357"/>
      <c r="J50" s="437"/>
      <c r="K50" s="683"/>
      <c r="L50" s="2670"/>
      <c r="M50" s="2663"/>
      <c r="N50" s="2663"/>
      <c r="O50" s="2663"/>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1940"/>
      <c r="Y50" s="1940"/>
      <c r="Z50" s="1940"/>
      <c r="AA50" s="1940"/>
      <c r="AB50" s="1940"/>
      <c r="AC50" s="1941"/>
    </row>
    <row r="51" spans="1:29">
      <c r="A51" s="2663"/>
      <c r="B51" s="2663"/>
      <c r="C51" s="2663">
        <v>73387</v>
      </c>
      <c r="D51" s="2663"/>
      <c r="E51" s="2663"/>
      <c r="F51" s="2663"/>
      <c r="G51" s="2674"/>
      <c r="H51" s="2663"/>
      <c r="I51" s="2663"/>
      <c r="J51" s="2663"/>
      <c r="K51" s="2675"/>
      <c r="L51" s="2671"/>
      <c r="M51" s="2663"/>
      <c r="N51" s="2663"/>
      <c r="O51" s="2663"/>
      <c r="P51" s="2700"/>
      <c r="Q51" s="2663"/>
      <c r="R51" s="2663"/>
      <c r="S51" s="2663"/>
      <c r="T51" s="2663"/>
      <c r="U51" s="2663"/>
      <c r="V51" s="2663"/>
      <c r="W51" s="2663"/>
      <c r="X51" s="2663"/>
      <c r="Y51" s="2663"/>
      <c r="Z51" s="2663"/>
      <c r="AA51" s="2663"/>
      <c r="AB51" s="2663"/>
      <c r="AC51" s="2663"/>
    </row>
    <row r="52" spans="1:29">
      <c r="A52" s="2663"/>
      <c r="B52" s="2663"/>
      <c r="C52" s="2663"/>
      <c r="D52" s="2663"/>
      <c r="E52" s="2663"/>
      <c r="F52" s="2663"/>
      <c r="G52" s="2663"/>
      <c r="H52" s="2663"/>
      <c r="I52" s="2663"/>
      <c r="J52" s="2663"/>
      <c r="K52" s="2675"/>
      <c r="L52" s="2671"/>
      <c r="M52" s="2663"/>
      <c r="N52" s="2663"/>
      <c r="O52" s="2663"/>
      <c r="P52" s="2700"/>
      <c r="Q52" s="2663"/>
      <c r="R52" s="2663"/>
      <c r="S52" s="2663"/>
      <c r="T52" s="2663"/>
      <c r="U52" s="2663"/>
      <c r="V52" s="2663"/>
      <c r="W52" s="2663"/>
      <c r="X52" s="2663"/>
      <c r="Y52" s="2663"/>
      <c r="Z52" s="2663"/>
      <c r="AA52" s="2663"/>
      <c r="AB52" s="2663"/>
      <c r="AC52" s="2663"/>
    </row>
    <row r="53" spans="1:29" ht="13.5" customHeight="1">
      <c r="A53" s="2663"/>
      <c r="B53" s="2663"/>
      <c r="C53" s="440" t="s">
        <v>2424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75"/>
      <c r="L53" s="2671"/>
      <c r="M53" s="2663"/>
      <c r="N53" s="2663"/>
      <c r="O53" s="2663"/>
      <c r="P53" s="2700"/>
      <c r="Q53" s="2663"/>
      <c r="R53" s="2663"/>
      <c r="S53" s="2663"/>
      <c r="T53" s="2663"/>
      <c r="U53" s="2663"/>
      <c r="V53" s="2663"/>
      <c r="W53" s="2663"/>
      <c r="X53" s="2663"/>
      <c r="Y53" s="2663"/>
      <c r="Z53" s="2663"/>
      <c r="AA53" s="2663"/>
      <c r="AB53" s="2663"/>
      <c r="AC53" s="2663"/>
    </row>
    <row r="54" spans="1:29" ht="13.5" customHeight="1">
      <c r="A54" s="2663"/>
      <c r="B54" s="2663"/>
      <c r="C54" s="440" t="s">
        <v>2425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75"/>
      <c r="L54" s="2671"/>
      <c r="M54" s="2663"/>
      <c r="N54" s="2663"/>
      <c r="O54" s="2663"/>
      <c r="P54" s="2700"/>
      <c r="Q54" s="2663"/>
      <c r="R54" s="2663"/>
      <c r="S54" s="2663"/>
      <c r="T54" s="2663"/>
      <c r="U54" s="2663"/>
      <c r="V54" s="2663"/>
      <c r="W54" s="2663"/>
      <c r="X54" s="2663"/>
      <c r="Y54" s="2663"/>
      <c r="Z54" s="2663"/>
      <c r="AA54" s="2663"/>
      <c r="AB54" s="2663"/>
      <c r="AC54" s="2663"/>
    </row>
    <row r="55" spans="1:29" s="445" customFormat="1" ht="13.5" customHeight="1">
      <c r="A55" s="2673"/>
      <c r="B55" s="2673"/>
      <c r="C55" s="440" t="s">
        <v>2426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78"/>
      <c r="L55" s="2672"/>
      <c r="M55" s="2673"/>
      <c r="N55" s="2673"/>
      <c r="O55" s="2673"/>
      <c r="P55" s="2701"/>
      <c r="Q55" s="2673"/>
      <c r="R55" s="2673"/>
      <c r="S55" s="2673"/>
      <c r="T55" s="2673"/>
      <c r="U55" s="2673"/>
      <c r="V55" s="2673"/>
      <c r="W55" s="2673"/>
      <c r="X55" s="2673"/>
      <c r="Y55" s="2673"/>
      <c r="Z55" s="2673"/>
      <c r="AA55" s="2673"/>
      <c r="AB55" s="2673"/>
      <c r="AC55" s="2673"/>
    </row>
    <row r="56" spans="1:29" s="445" customFormat="1">
      <c r="A56" s="2673"/>
      <c r="B56" s="2676"/>
      <c r="C56" s="2677"/>
      <c r="D56" s="2673"/>
      <c r="E56" s="2673"/>
      <c r="F56" s="2673"/>
      <c r="G56" s="2673"/>
      <c r="H56" s="2673"/>
      <c r="I56" s="2673"/>
      <c r="J56" s="2673"/>
      <c r="K56" s="2678"/>
      <c r="L56" s="2672"/>
      <c r="M56" s="2673"/>
      <c r="N56" s="2673"/>
      <c r="O56" s="2673"/>
      <c r="P56" s="2701"/>
      <c r="Q56" s="2673"/>
      <c r="R56" s="2673"/>
      <c r="S56" s="2673"/>
      <c r="T56" s="2673"/>
      <c r="U56" s="2673"/>
      <c r="V56" s="2673"/>
      <c r="W56" s="2673"/>
      <c r="X56" s="2673"/>
      <c r="Y56" s="2673"/>
      <c r="Z56" s="2673"/>
      <c r="AA56" s="2673"/>
      <c r="AB56" s="2673"/>
      <c r="AC56" s="2673"/>
    </row>
    <row r="57" spans="1:29">
      <c r="A57" s="2663"/>
      <c r="B57" s="2676"/>
      <c r="C57" s="2677"/>
      <c r="D57" s="2663"/>
      <c r="E57" s="2663"/>
      <c r="F57" s="2663"/>
      <c r="G57" s="2663"/>
      <c r="H57" s="2663"/>
      <c r="I57" s="2663"/>
      <c r="J57" s="2663"/>
      <c r="K57" s="2675"/>
      <c r="L57" s="2671"/>
      <c r="M57" s="2663"/>
      <c r="N57" s="2663"/>
      <c r="O57" s="2663"/>
      <c r="P57" s="2700"/>
      <c r="Q57" s="2663"/>
      <c r="R57" s="2663"/>
      <c r="S57" s="2663"/>
      <c r="T57" s="2663"/>
      <c r="U57" s="2663"/>
      <c r="V57" s="2663"/>
      <c r="W57" s="2663"/>
      <c r="X57" s="2663"/>
      <c r="Y57" s="2663"/>
      <c r="Z57" s="2663"/>
      <c r="AA57" s="2663"/>
      <c r="AB57" s="2663"/>
      <c r="AC57" s="2663"/>
    </row>
    <row r="58" spans="1:29" ht="21.75" thickBot="1">
      <c r="A58" s="666" t="s">
        <v>2427</v>
      </c>
      <c r="B58" s="393"/>
      <c r="C58" s="667"/>
      <c r="D58" s="667"/>
      <c r="E58" s="667"/>
      <c r="F58" s="668"/>
      <c r="G58" s="668"/>
      <c r="H58" s="667"/>
      <c r="I58" s="667"/>
      <c r="J58" s="667"/>
      <c r="K58" s="669"/>
      <c r="L58" s="1011"/>
      <c r="M58" s="1009"/>
      <c r="N58" s="2713"/>
      <c r="O58" s="2713"/>
      <c r="P58" s="2702"/>
      <c r="Q58" s="2684"/>
      <c r="R58" s="2663"/>
      <c r="S58" s="2663"/>
      <c r="T58" s="2663"/>
      <c r="U58" s="2663"/>
      <c r="V58" s="2663"/>
      <c r="W58" s="2663"/>
      <c r="X58" s="2663"/>
      <c r="Y58" s="2663"/>
      <c r="Z58" s="2663"/>
      <c r="AA58" s="2663"/>
      <c r="AB58" s="2663"/>
      <c r="AC58" s="2663"/>
    </row>
    <row r="59" spans="1:29" s="450" customFormat="1" ht="15">
      <c r="A59" s="448" t="s">
        <v>2302</v>
      </c>
      <c r="B59" s="449"/>
      <c r="C59" s="1230" t="str">
        <f>YEAR(C7)&amp;"-"&amp;MONTH(C7)</f>
        <v>2014-2</v>
      </c>
      <c r="D59" s="1231">
        <f>EDATE(C59,-1)</f>
        <v>41640</v>
      </c>
      <c r="E59" s="1231">
        <f>EDATE(D59,-1)</f>
        <v>41609</v>
      </c>
      <c r="F59" s="1231">
        <f t="shared" ref="F59:O59" si="16">EDATE(E59,-1)</f>
        <v>41579</v>
      </c>
      <c r="G59" s="1231">
        <f t="shared" si="16"/>
        <v>41548</v>
      </c>
      <c r="H59" s="1231">
        <f t="shared" si="16"/>
        <v>41518</v>
      </c>
      <c r="I59" s="1231">
        <f t="shared" si="16"/>
        <v>41487</v>
      </c>
      <c r="J59" s="1231">
        <f t="shared" si="16"/>
        <v>41456</v>
      </c>
      <c r="K59" s="1231">
        <f t="shared" si="16"/>
        <v>41426</v>
      </c>
      <c r="L59" s="1231">
        <f t="shared" si="16"/>
        <v>41395</v>
      </c>
      <c r="M59" s="1231">
        <f t="shared" si="16"/>
        <v>41365</v>
      </c>
      <c r="N59" s="1231">
        <f t="shared" si="16"/>
        <v>41334</v>
      </c>
      <c r="O59" s="1231">
        <f t="shared" si="16"/>
        <v>41306</v>
      </c>
      <c r="P59" s="2703"/>
      <c r="Q59" s="2686"/>
      <c r="R59" s="2686"/>
      <c r="S59" s="2686"/>
      <c r="T59" s="2686"/>
      <c r="U59" s="2686"/>
      <c r="V59" s="2686"/>
      <c r="W59" s="2686"/>
      <c r="X59" s="2686"/>
      <c r="Y59" s="2686"/>
      <c r="Z59" s="2686"/>
      <c r="AA59" s="2686"/>
      <c r="AB59" s="2686"/>
      <c r="AC59" s="2686"/>
    </row>
    <row r="60" spans="1:29" s="107" customFormat="1" ht="15">
      <c r="A60" s="451"/>
      <c r="B60" s="452"/>
      <c r="C60" s="1229">
        <v>100</v>
      </c>
      <c r="D60" s="454">
        <v>100</v>
      </c>
      <c r="E60" s="454">
        <v>100</v>
      </c>
      <c r="F60" s="454">
        <v>100</v>
      </c>
      <c r="G60" s="454"/>
      <c r="H60" s="454"/>
      <c r="I60" s="454"/>
      <c r="J60" s="454"/>
      <c r="K60" s="454"/>
      <c r="L60" s="454"/>
      <c r="M60" s="455"/>
      <c r="N60" s="454"/>
      <c r="O60" s="455"/>
      <c r="P60" s="2704"/>
      <c r="Q60" s="2613"/>
      <c r="R60" s="2613"/>
      <c r="S60" s="2613"/>
      <c r="T60" s="2613"/>
      <c r="U60" s="2613"/>
      <c r="V60" s="2613"/>
      <c r="W60" s="2613"/>
      <c r="X60" s="2613"/>
      <c r="Y60" s="2613"/>
      <c r="Z60" s="2613"/>
      <c r="AA60" s="2613"/>
      <c r="AB60" s="2613"/>
      <c r="AC60" s="2613"/>
    </row>
    <row r="61" spans="1:29" s="107" customFormat="1" ht="15.75" thickBot="1">
      <c r="A61" s="457" t="s">
        <v>2338</v>
      </c>
      <c r="B61" s="458"/>
      <c r="C61" s="459"/>
      <c r="D61" s="460"/>
      <c r="E61" s="460"/>
      <c r="F61" s="460"/>
      <c r="G61" s="460"/>
      <c r="H61" s="460"/>
      <c r="I61" s="460"/>
      <c r="J61" s="460"/>
      <c r="K61" s="460"/>
      <c r="L61" s="460"/>
      <c r="M61" s="461"/>
      <c r="N61" s="460"/>
      <c r="O61" s="461"/>
      <c r="P61" s="2704"/>
      <c r="Q61" s="2684"/>
      <c r="R61" s="2613"/>
      <c r="S61" s="2613"/>
      <c r="T61" s="2613"/>
      <c r="U61" s="2613"/>
      <c r="V61" s="2613"/>
      <c r="W61" s="2613"/>
      <c r="X61" s="2613"/>
      <c r="Y61" s="2613"/>
      <c r="Z61" s="2613"/>
      <c r="AA61" s="2613"/>
      <c r="AB61" s="2613"/>
      <c r="AC61" s="2613"/>
    </row>
    <row r="62" spans="1:29" s="107" customFormat="1" ht="15">
      <c r="A62" s="463" t="s">
        <v>2304</v>
      </c>
      <c r="B62" s="452"/>
      <c r="C62" s="464" t="s">
        <v>2405</v>
      </c>
      <c r="D62" s="34"/>
      <c r="E62" s="34"/>
      <c r="F62" s="34"/>
      <c r="G62" s="34"/>
      <c r="H62" s="34"/>
      <c r="I62" s="34"/>
      <c r="J62" s="34"/>
      <c r="K62" s="34"/>
      <c r="L62" s="465"/>
      <c r="M62" s="466"/>
      <c r="N62" s="2696"/>
      <c r="O62" s="2696"/>
      <c r="P62" s="2705"/>
      <c r="Q62" s="2684"/>
      <c r="R62" s="2613"/>
      <c r="S62" s="2613"/>
      <c r="T62" s="2613"/>
      <c r="U62" s="2613"/>
      <c r="V62" s="2613"/>
      <c r="W62" s="2613"/>
      <c r="X62" s="2613"/>
      <c r="Y62" s="2613"/>
      <c r="Z62" s="2613"/>
      <c r="AA62" s="2613"/>
      <c r="AB62" s="2613"/>
      <c r="AC62" s="2613"/>
    </row>
    <row r="63" spans="1:29" s="107" customFormat="1" ht="15.75" thickBot="1">
      <c r="A63" s="463"/>
      <c r="B63" s="452"/>
      <c r="C63" s="453">
        <v>100</v>
      </c>
      <c r="D63" s="454"/>
      <c r="E63" s="454"/>
      <c r="F63" s="454"/>
      <c r="G63" s="454"/>
      <c r="H63" s="454"/>
      <c r="I63" s="454"/>
      <c r="J63" s="454"/>
      <c r="K63" s="454"/>
      <c r="L63" s="454"/>
      <c r="M63" s="456"/>
      <c r="N63" s="2696"/>
      <c r="O63" s="2696"/>
      <c r="P63" s="2704"/>
      <c r="Q63" s="2684"/>
      <c r="R63" s="2613"/>
      <c r="S63" s="2613"/>
      <c r="T63" s="2613"/>
      <c r="U63" s="2613"/>
      <c r="V63" s="2613"/>
      <c r="W63" s="2613"/>
      <c r="X63" s="2613"/>
      <c r="Y63" s="2613"/>
      <c r="Z63" s="2613"/>
      <c r="AA63" s="2613"/>
      <c r="AB63" s="2613"/>
      <c r="AC63" s="2613"/>
    </row>
    <row r="64" spans="1:29">
      <c r="A64" s="387" t="s">
        <v>2341</v>
      </c>
      <c r="B64" s="468" t="s">
        <v>2308</v>
      </c>
      <c r="C64" s="469">
        <f>C9</f>
        <v>0</v>
      </c>
      <c r="D64" s="470"/>
      <c r="E64" s="470"/>
      <c r="F64" s="470"/>
      <c r="G64" s="470"/>
      <c r="H64" s="470"/>
      <c r="I64" s="470"/>
      <c r="J64" s="470"/>
      <c r="K64" s="471"/>
      <c r="L64" s="472"/>
      <c r="M64" s="473"/>
      <c r="N64" s="2697"/>
      <c r="O64" s="2697"/>
      <c r="P64" s="2706"/>
      <c r="Q64" s="2684"/>
      <c r="R64" s="2663"/>
      <c r="S64" s="2663"/>
      <c r="T64" s="2663"/>
      <c r="U64" s="2663"/>
      <c r="V64" s="2663"/>
      <c r="W64" s="2663"/>
      <c r="X64" s="2663"/>
      <c r="Y64" s="2663"/>
      <c r="Z64" s="2663"/>
      <c r="AA64" s="2663"/>
      <c r="AB64" s="2663"/>
      <c r="AC64" s="2663"/>
    </row>
    <row r="65" spans="1:29" ht="15.75" thickBot="1">
      <c r="A65" s="375"/>
      <c r="B65" s="474"/>
      <c r="C65" s="475">
        <v>100</v>
      </c>
      <c r="D65" s="475"/>
      <c r="E65" s="475"/>
      <c r="F65" s="475"/>
      <c r="G65" s="475"/>
      <c r="H65" s="475"/>
      <c r="I65" s="475"/>
      <c r="J65" s="475"/>
      <c r="K65" s="475"/>
      <c r="L65" s="475"/>
      <c r="M65" s="476"/>
      <c r="N65" s="2698"/>
      <c r="O65" s="2698"/>
      <c r="P65" s="2706"/>
      <c r="Q65" s="2684"/>
      <c r="R65" s="2663"/>
      <c r="S65" s="2663"/>
      <c r="T65" s="2663"/>
      <c r="U65" s="2663"/>
      <c r="V65" s="2663"/>
      <c r="W65" s="2663"/>
      <c r="X65" s="2663"/>
      <c r="Y65" s="2663"/>
      <c r="Z65" s="2663"/>
      <c r="AA65" s="2663"/>
      <c r="AB65" s="2663"/>
      <c r="AC65" s="2663"/>
    </row>
    <row r="66" spans="1:29" ht="27.75" thickTop="1">
      <c r="A66" s="375"/>
      <c r="B66" s="477" t="s">
        <v>2311</v>
      </c>
      <c r="C66" s="478" t="s">
        <v>2342</v>
      </c>
      <c r="D66" s="478" t="s">
        <v>2343</v>
      </c>
      <c r="E66" s="478" t="s">
        <v>2344</v>
      </c>
      <c r="F66" s="478" t="s">
        <v>2345</v>
      </c>
      <c r="G66" s="478" t="s">
        <v>2346</v>
      </c>
      <c r="H66" s="478" t="s">
        <v>2347</v>
      </c>
      <c r="I66" s="478" t="s">
        <v>2348</v>
      </c>
      <c r="J66" s="478"/>
      <c r="K66" s="479"/>
      <c r="L66" s="480"/>
      <c r="M66" s="481"/>
      <c r="N66" s="2697"/>
      <c r="O66" s="2697"/>
      <c r="P66" s="2706"/>
      <c r="Q66" s="2684"/>
      <c r="R66" s="2663"/>
      <c r="S66" s="2663"/>
      <c r="T66" s="2663"/>
      <c r="U66" s="2663"/>
      <c r="V66" s="2663"/>
      <c r="W66" s="2663"/>
      <c r="X66" s="2663"/>
      <c r="Y66" s="2663"/>
      <c r="Z66" s="2663"/>
      <c r="AA66" s="2663"/>
      <c r="AB66" s="2663"/>
      <c r="AC66" s="2663"/>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98"/>
      <c r="O67" s="2698"/>
      <c r="P67" s="2706"/>
      <c r="Q67" s="2684"/>
      <c r="R67" s="2663"/>
      <c r="S67" s="2663"/>
      <c r="T67" s="2663"/>
      <c r="U67" s="2663"/>
      <c r="V67" s="2663"/>
      <c r="W67" s="2663"/>
      <c r="X67" s="2663"/>
      <c r="Y67" s="2663"/>
      <c r="Z67" s="2663"/>
      <c r="AA67" s="2663"/>
      <c r="AB67" s="2663"/>
      <c r="AC67" s="2663"/>
    </row>
    <row r="68" spans="1:29" ht="15.75" thickTop="1">
      <c r="A68" s="375"/>
      <c r="B68" s="485" t="s">
        <v>2312</v>
      </c>
      <c r="C68" s="486" t="str">
        <f>C69&amp;"（含）"&amp;"-"&amp;D69</f>
        <v>0（含）-1</v>
      </c>
      <c r="D68" s="486" t="str">
        <f t="shared" ref="D68:L68" si="17">D69&amp;"（含）"&amp;"-"&amp;E69</f>
        <v>1（含）-2</v>
      </c>
      <c r="E68" s="486" t="str">
        <f t="shared" si="17"/>
        <v>2（含）-3</v>
      </c>
      <c r="F68" s="486" t="str">
        <f t="shared" si="17"/>
        <v>3（含）-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98"/>
      <c r="O68" s="2698"/>
      <c r="P68" s="2706"/>
      <c r="Q68" s="2684"/>
      <c r="R68" s="2663"/>
      <c r="S68" s="2663"/>
      <c r="T68" s="2663"/>
      <c r="U68" s="2663"/>
      <c r="V68" s="2663"/>
      <c r="W68" s="2663"/>
      <c r="X68" s="2663"/>
      <c r="Y68" s="2663"/>
      <c r="Z68" s="2663"/>
      <c r="AA68" s="2663"/>
      <c r="AB68" s="2663"/>
      <c r="AC68" s="2663"/>
    </row>
    <row r="69" spans="1:29" ht="15">
      <c r="A69" s="375"/>
      <c r="B69" s="487"/>
      <c r="C69" s="488">
        <v>0</v>
      </c>
      <c r="D69" s="488">
        <v>1</v>
      </c>
      <c r="E69" s="488">
        <v>2</v>
      </c>
      <c r="F69" s="488">
        <v>3</v>
      </c>
      <c r="G69" s="488"/>
      <c r="H69" s="488"/>
      <c r="I69" s="488"/>
      <c r="J69" s="488"/>
      <c r="K69" s="489"/>
      <c r="L69" s="490"/>
      <c r="M69" s="491"/>
      <c r="N69" s="2697"/>
      <c r="O69" s="2697"/>
      <c r="P69" s="2706"/>
      <c r="Q69" s="2684"/>
      <c r="R69" s="2663"/>
      <c r="S69" s="2663"/>
      <c r="T69" s="2663"/>
      <c r="U69" s="2663"/>
      <c r="V69" s="2663"/>
      <c r="W69" s="2663"/>
      <c r="X69" s="2663"/>
      <c r="Y69" s="2663"/>
      <c r="Z69" s="2663"/>
      <c r="AA69" s="2663"/>
      <c r="AB69" s="2663"/>
      <c r="AC69" s="2663"/>
    </row>
    <row r="70" spans="1:29" ht="15.7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98"/>
      <c r="O70" s="2698"/>
      <c r="P70" s="2706"/>
      <c r="Q70" s="2684"/>
      <c r="R70" s="2663"/>
      <c r="S70" s="2663"/>
      <c r="T70" s="2663"/>
      <c r="U70" s="2663"/>
      <c r="V70" s="2663"/>
      <c r="W70" s="2663"/>
      <c r="X70" s="2663"/>
      <c r="Y70" s="2663"/>
      <c r="Z70" s="2663"/>
      <c r="AA70" s="2663"/>
      <c r="AB70" s="2663"/>
      <c r="AC70" s="2663"/>
    </row>
    <row r="71" spans="1:29" s="416" customFormat="1" ht="15.75" thickTop="1">
      <c r="A71" s="492"/>
      <c r="B71" s="477">
        <f>B12</f>
        <v>111</v>
      </c>
      <c r="C71" s="493"/>
      <c r="D71" s="493"/>
      <c r="E71" s="493"/>
      <c r="F71" s="493"/>
      <c r="G71" s="493"/>
      <c r="H71" s="494"/>
      <c r="I71" s="494"/>
      <c r="J71" s="494"/>
      <c r="K71" s="494"/>
      <c r="L71" s="495"/>
      <c r="M71" s="496"/>
      <c r="N71" s="2699"/>
      <c r="O71" s="2699"/>
      <c r="P71" s="2707"/>
      <c r="Q71" s="2691"/>
      <c r="R71" s="2669"/>
      <c r="S71" s="2669"/>
      <c r="T71" s="2669"/>
      <c r="U71" s="2669"/>
      <c r="V71" s="2669"/>
      <c r="W71" s="2669"/>
      <c r="X71" s="2669"/>
      <c r="Y71" s="2669"/>
      <c r="Z71" s="2669"/>
      <c r="AA71" s="2669"/>
      <c r="AB71" s="2669"/>
      <c r="AC71" s="2669"/>
    </row>
    <row r="72" spans="1:29" s="416" customFormat="1" ht="15.75" thickBot="1">
      <c r="A72" s="492"/>
      <c r="B72" s="482"/>
      <c r="C72" s="499"/>
      <c r="D72" s="475"/>
      <c r="E72" s="475"/>
      <c r="F72" s="475"/>
      <c r="G72" s="475"/>
      <c r="H72" s="475"/>
      <c r="I72" s="475"/>
      <c r="J72" s="475"/>
      <c r="K72" s="475"/>
      <c r="L72" s="475"/>
      <c r="M72" s="476"/>
      <c r="N72" s="2698"/>
      <c r="O72" s="2698"/>
      <c r="P72" s="2707"/>
      <c r="Q72" s="2691"/>
      <c r="R72" s="2669"/>
      <c r="S72" s="2669"/>
      <c r="T72" s="2669"/>
      <c r="U72" s="2669"/>
      <c r="V72" s="2669"/>
      <c r="W72" s="2669"/>
      <c r="X72" s="2669"/>
      <c r="Y72" s="2669"/>
      <c r="Z72" s="2669"/>
      <c r="AA72" s="2669"/>
      <c r="AB72" s="2669"/>
      <c r="AC72" s="2669"/>
    </row>
    <row r="73" spans="1:29" s="416" customFormat="1" ht="15.75" thickTop="1">
      <c r="A73" s="492"/>
      <c r="B73" s="477">
        <f>B13</f>
        <v>111</v>
      </c>
      <c r="C73" s="493"/>
      <c r="D73" s="493"/>
      <c r="E73" s="493"/>
      <c r="F73" s="493"/>
      <c r="G73" s="493"/>
      <c r="H73" s="494"/>
      <c r="I73" s="494"/>
      <c r="J73" s="494"/>
      <c r="K73" s="494"/>
      <c r="L73" s="495"/>
      <c r="M73" s="496"/>
      <c r="N73" s="2699"/>
      <c r="O73" s="2699"/>
      <c r="P73" s="2708"/>
      <c r="Q73" s="2693"/>
      <c r="R73" s="2669"/>
      <c r="S73" s="2669"/>
      <c r="T73" s="2669"/>
      <c r="U73" s="2669"/>
      <c r="V73" s="2669"/>
      <c r="W73" s="2669"/>
      <c r="X73" s="2669"/>
      <c r="Y73" s="2669"/>
      <c r="Z73" s="2669"/>
      <c r="AA73" s="2669"/>
      <c r="AB73" s="2669"/>
      <c r="AC73" s="2669"/>
    </row>
    <row r="74" spans="1:29" s="416" customFormat="1" ht="15.75" thickBot="1">
      <c r="A74" s="492"/>
      <c r="B74" s="482"/>
      <c r="C74" s="499"/>
      <c r="D74" s="499"/>
      <c r="E74" s="499"/>
      <c r="F74" s="499"/>
      <c r="G74" s="499"/>
      <c r="H74" s="501"/>
      <c r="I74" s="501"/>
      <c r="J74" s="501"/>
      <c r="K74" s="501"/>
      <c r="L74" s="501"/>
      <c r="M74" s="502"/>
      <c r="N74" s="2699"/>
      <c r="O74" s="2699"/>
      <c r="P74" s="2707"/>
      <c r="Q74" s="2691"/>
      <c r="R74" s="2669"/>
      <c r="S74" s="2669"/>
      <c r="T74" s="2669"/>
      <c r="U74" s="2669"/>
      <c r="V74" s="2669"/>
      <c r="W74" s="2669"/>
      <c r="X74" s="2669"/>
      <c r="Y74" s="2669"/>
      <c r="Z74" s="2669"/>
      <c r="AA74" s="2669"/>
      <c r="AB74" s="2669"/>
      <c r="AC74" s="2669"/>
    </row>
    <row r="75" spans="1:29" s="416" customFormat="1" ht="15.75" thickTop="1">
      <c r="A75" s="492"/>
      <c r="B75" s="485">
        <f>B14</f>
        <v>111</v>
      </c>
      <c r="C75" s="34"/>
      <c r="D75" s="34"/>
      <c r="E75" s="34"/>
      <c r="F75" s="34"/>
      <c r="G75" s="34"/>
      <c r="H75" s="503"/>
      <c r="I75" s="503"/>
      <c r="J75" s="503"/>
      <c r="K75" s="503"/>
      <c r="L75" s="504"/>
      <c r="M75" s="505"/>
      <c r="N75" s="2699"/>
      <c r="O75" s="2699"/>
      <c r="P75" s="2709"/>
      <c r="Q75" s="2691"/>
      <c r="R75" s="2669"/>
      <c r="S75" s="2669"/>
      <c r="T75" s="2669"/>
      <c r="U75" s="2669"/>
      <c r="V75" s="2669"/>
      <c r="W75" s="2669"/>
      <c r="X75" s="2669"/>
      <c r="Y75" s="2669"/>
      <c r="Z75" s="2669"/>
      <c r="AA75" s="2669"/>
      <c r="AB75" s="2669"/>
      <c r="AC75" s="2669"/>
    </row>
    <row r="76" spans="1:29" s="416" customFormat="1" ht="15.75" thickBot="1">
      <c r="A76" s="507"/>
      <c r="B76" s="508"/>
      <c r="C76" s="509"/>
      <c r="D76" s="509"/>
      <c r="E76" s="509"/>
      <c r="F76" s="509"/>
      <c r="G76" s="509"/>
      <c r="H76" s="510"/>
      <c r="I76" s="510"/>
      <c r="J76" s="510"/>
      <c r="K76" s="510"/>
      <c r="L76" s="510"/>
      <c r="M76" s="511"/>
      <c r="N76" s="2699"/>
      <c r="O76" s="2699"/>
      <c r="P76" s="2707"/>
      <c r="Q76" s="2691"/>
      <c r="R76" s="2669"/>
      <c r="S76" s="2669"/>
      <c r="T76" s="2669"/>
      <c r="U76" s="2669"/>
      <c r="V76" s="2669"/>
      <c r="W76" s="2669"/>
      <c r="X76" s="2669"/>
      <c r="Y76" s="2669"/>
      <c r="Z76" s="2669"/>
      <c r="AA76" s="2669"/>
      <c r="AB76" s="2669"/>
      <c r="AC76" s="2669"/>
    </row>
    <row r="77" spans="1:29">
      <c r="A77" s="387" t="s">
        <v>2313</v>
      </c>
      <c r="B77" s="468" t="s">
        <v>2450</v>
      </c>
      <c r="C77" s="512" t="s">
        <v>2350</v>
      </c>
      <c r="D77" s="512" t="s">
        <v>2351</v>
      </c>
      <c r="E77" s="512" t="s">
        <v>2352</v>
      </c>
      <c r="F77" s="512" t="s">
        <v>2353</v>
      </c>
      <c r="G77" s="512" t="s">
        <v>2354</v>
      </c>
      <c r="H77" s="469"/>
      <c r="I77" s="469"/>
      <c r="J77" s="469"/>
      <c r="K77" s="513"/>
      <c r="L77" s="514"/>
      <c r="M77" s="515"/>
      <c r="N77" s="2697"/>
      <c r="O77" s="2697"/>
      <c r="P77" s="2710"/>
      <c r="Q77" s="2684"/>
      <c r="R77" s="2663"/>
      <c r="S77" s="2663"/>
      <c r="T77" s="2663"/>
      <c r="U77" s="2663"/>
      <c r="V77" s="2663"/>
      <c r="W77" s="2663"/>
      <c r="X77" s="2663"/>
      <c r="Y77" s="2663"/>
      <c r="Z77" s="2663"/>
      <c r="AA77" s="2663"/>
      <c r="AB77" s="2663"/>
      <c r="AC77" s="2663"/>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98"/>
      <c r="O78" s="2698"/>
      <c r="P78" s="2706"/>
      <c r="Q78" s="2684"/>
      <c r="R78" s="2663"/>
      <c r="S78" s="2663"/>
      <c r="T78" s="2663"/>
      <c r="U78" s="2663"/>
      <c r="V78" s="2663"/>
      <c r="W78" s="2663"/>
      <c r="X78" s="2663"/>
      <c r="Y78" s="2663"/>
      <c r="Z78" s="2663"/>
      <c r="AA78" s="2663"/>
      <c r="AB78" s="2663"/>
      <c r="AC78" s="2663"/>
    </row>
    <row r="79" spans="1:29" ht="15.75" thickTop="1">
      <c r="A79" s="375"/>
      <c r="B79" s="477" t="s">
        <v>2355</v>
      </c>
      <c r="C79" s="517" t="s">
        <v>2350</v>
      </c>
      <c r="D79" s="517" t="s">
        <v>2351</v>
      </c>
      <c r="E79" s="517" t="s">
        <v>2352</v>
      </c>
      <c r="F79" s="517" t="s">
        <v>2353</v>
      </c>
      <c r="G79" s="517" t="s">
        <v>2354</v>
      </c>
      <c r="H79" s="478"/>
      <c r="I79" s="478"/>
      <c r="J79" s="478"/>
      <c r="K79" s="479"/>
      <c r="L79" s="480"/>
      <c r="M79" s="481"/>
      <c r="N79" s="2697"/>
      <c r="O79" s="2697"/>
      <c r="P79" s="2706"/>
      <c r="Q79" s="2684"/>
      <c r="R79" s="2663"/>
      <c r="S79" s="2663"/>
      <c r="T79" s="2663"/>
      <c r="U79" s="2663"/>
      <c r="V79" s="2663"/>
      <c r="W79" s="2663"/>
      <c r="X79" s="2663"/>
      <c r="Y79" s="2663"/>
      <c r="Z79" s="2663"/>
      <c r="AA79" s="2663"/>
      <c r="AB79" s="2663"/>
      <c r="AC79" s="2663"/>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98"/>
      <c r="O80" s="2698"/>
      <c r="P80" s="2706"/>
      <c r="Q80" s="2684"/>
      <c r="R80" s="2663"/>
      <c r="S80" s="2663"/>
      <c r="T80" s="2663"/>
      <c r="U80" s="2663"/>
      <c r="V80" s="2663"/>
      <c r="W80" s="2663"/>
      <c r="X80" s="2663"/>
      <c r="Y80" s="2663"/>
      <c r="Z80" s="2663"/>
      <c r="AA80" s="2663"/>
      <c r="AB80" s="2663"/>
      <c r="AC80" s="2663"/>
    </row>
    <row r="81" spans="1:29" ht="15.75" thickTop="1">
      <c r="A81" s="375"/>
      <c r="B81" s="477" t="s">
        <v>2356</v>
      </c>
      <c r="C81" s="517" t="s">
        <v>2350</v>
      </c>
      <c r="D81" s="517" t="s">
        <v>2351</v>
      </c>
      <c r="E81" s="517" t="s">
        <v>2352</v>
      </c>
      <c r="F81" s="517" t="s">
        <v>2353</v>
      </c>
      <c r="G81" s="517" t="s">
        <v>2354</v>
      </c>
      <c r="H81" s="478"/>
      <c r="I81" s="478"/>
      <c r="J81" s="478"/>
      <c r="K81" s="479"/>
      <c r="L81" s="480"/>
      <c r="M81" s="481"/>
      <c r="N81" s="2697"/>
      <c r="O81" s="2697"/>
      <c r="P81" s="2706"/>
      <c r="Q81" s="2684"/>
      <c r="R81" s="2663"/>
      <c r="S81" s="2663"/>
      <c r="T81" s="2663"/>
      <c r="U81" s="2663"/>
      <c r="V81" s="2663"/>
      <c r="W81" s="2663"/>
      <c r="X81" s="2663"/>
      <c r="Y81" s="2663"/>
      <c r="Z81" s="2663"/>
      <c r="AA81" s="2663"/>
      <c r="AB81" s="2663"/>
      <c r="AC81" s="2663"/>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98"/>
      <c r="O82" s="2698"/>
      <c r="P82" s="2706"/>
      <c r="Q82" s="2684"/>
      <c r="R82" s="2663"/>
      <c r="S82" s="2663"/>
      <c r="T82" s="2663"/>
      <c r="U82" s="2663"/>
      <c r="V82" s="2663"/>
      <c r="W82" s="2663"/>
      <c r="X82" s="2663"/>
      <c r="Y82" s="2663"/>
      <c r="Z82" s="2663"/>
      <c r="AA82" s="2663"/>
      <c r="AB82" s="2663"/>
      <c r="AC82" s="2663"/>
    </row>
    <row r="83" spans="1:29" ht="15.75" thickTop="1">
      <c r="A83" s="375"/>
      <c r="B83" s="485" t="s">
        <v>2442</v>
      </c>
      <c r="C83" s="589" t="s">
        <v>2428</v>
      </c>
      <c r="D83" s="589" t="s">
        <v>2429</v>
      </c>
      <c r="E83" s="589" t="s">
        <v>2430</v>
      </c>
      <c r="F83" s="589" t="s">
        <v>2431</v>
      </c>
      <c r="G83" s="589" t="s">
        <v>2432</v>
      </c>
      <c r="H83" s="478"/>
      <c r="I83" s="478"/>
      <c r="J83" s="478"/>
      <c r="K83" s="478"/>
      <c r="L83" s="478"/>
      <c r="M83" s="1190"/>
      <c r="N83" s="2698"/>
      <c r="O83" s="2698"/>
      <c r="P83" s="2706"/>
      <c r="Q83" s="2684"/>
      <c r="R83" s="2663"/>
      <c r="S83" s="2663"/>
      <c r="T83" s="2663"/>
      <c r="U83" s="2663"/>
      <c r="V83" s="2663"/>
      <c r="W83" s="2663"/>
      <c r="X83" s="2663"/>
      <c r="Y83" s="2663"/>
      <c r="Z83" s="2663"/>
      <c r="AA83" s="2663"/>
      <c r="AB83" s="2663"/>
      <c r="AC83" s="2663"/>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98"/>
      <c r="O84" s="2698"/>
      <c r="P84" s="2706"/>
      <c r="Q84" s="2684"/>
      <c r="R84" s="2663"/>
      <c r="S84" s="2663"/>
      <c r="T84" s="2663"/>
      <c r="U84" s="2663"/>
      <c r="V84" s="2663"/>
      <c r="W84" s="2663"/>
      <c r="X84" s="2663"/>
      <c r="Y84" s="2663"/>
      <c r="Z84" s="2663"/>
      <c r="AA84" s="2663"/>
      <c r="AB84" s="2663"/>
      <c r="AC84" s="2663"/>
    </row>
    <row r="85" spans="1:29" ht="15.75" thickTop="1">
      <c r="A85" s="375"/>
      <c r="B85" s="477" t="s">
        <v>2451</v>
      </c>
      <c r="C85" s="517" t="s">
        <v>2350</v>
      </c>
      <c r="D85" s="517" t="s">
        <v>2351</v>
      </c>
      <c r="E85" s="517" t="s">
        <v>2352</v>
      </c>
      <c r="F85" s="517" t="s">
        <v>2353</v>
      </c>
      <c r="G85" s="517" t="s">
        <v>2354</v>
      </c>
      <c r="H85" s="478"/>
      <c r="I85" s="478"/>
      <c r="J85" s="478"/>
      <c r="K85" s="479"/>
      <c r="L85" s="480"/>
      <c r="M85" s="481"/>
      <c r="N85" s="2697"/>
      <c r="O85" s="2697"/>
      <c r="P85" s="2706"/>
      <c r="Q85" s="2684"/>
      <c r="R85" s="2663"/>
      <c r="S85" s="2663"/>
      <c r="T85" s="2663"/>
      <c r="U85" s="2663"/>
      <c r="V85" s="2663"/>
      <c r="W85" s="2663"/>
      <c r="X85" s="2663"/>
      <c r="Y85" s="2663"/>
      <c r="Z85" s="2663"/>
      <c r="AA85" s="2663"/>
      <c r="AB85" s="2663"/>
      <c r="AC85" s="2663"/>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98"/>
      <c r="O86" s="2698"/>
      <c r="P86" s="2706"/>
      <c r="Q86" s="2684"/>
      <c r="R86" s="2663"/>
      <c r="S86" s="2663"/>
      <c r="T86" s="2663"/>
      <c r="U86" s="2663"/>
      <c r="V86" s="2663"/>
      <c r="W86" s="2663"/>
      <c r="X86" s="2663"/>
      <c r="Y86" s="2663"/>
      <c r="Z86" s="2663"/>
      <c r="AA86" s="2663"/>
      <c r="AB86" s="2663"/>
      <c r="AC86" s="2663"/>
    </row>
    <row r="87" spans="1:29" s="107" customFormat="1" ht="27.75" thickTop="1">
      <c r="A87" s="378"/>
      <c r="B87" s="477" t="s">
        <v>2452</v>
      </c>
      <c r="C87" s="493" t="s">
        <v>3163</v>
      </c>
      <c r="D87" s="493" t="s">
        <v>3164</v>
      </c>
      <c r="E87" s="493" t="s">
        <v>3165</v>
      </c>
      <c r="F87" s="493" t="s">
        <v>3166</v>
      </c>
      <c r="G87" s="493" t="s">
        <v>3167</v>
      </c>
      <c r="H87" s="493"/>
      <c r="I87" s="493"/>
      <c r="J87" s="493"/>
      <c r="K87" s="493"/>
      <c r="L87" s="518"/>
      <c r="M87" s="519"/>
      <c r="N87" s="2696"/>
      <c r="O87" s="2696"/>
      <c r="P87" s="2706"/>
      <c r="Q87" s="2684"/>
      <c r="R87" s="2613"/>
      <c r="S87" s="2613"/>
      <c r="T87" s="2613"/>
      <c r="U87" s="2613"/>
      <c r="V87" s="2613"/>
      <c r="W87" s="2613"/>
      <c r="X87" s="2613"/>
      <c r="Y87" s="2613"/>
      <c r="Z87" s="2613"/>
      <c r="AA87" s="2613"/>
      <c r="AB87" s="2613"/>
      <c r="AC87" s="2613"/>
    </row>
    <row r="88" spans="1:29" s="107" customFormat="1" ht="15.7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98"/>
      <c r="O88" s="2698"/>
      <c r="P88" s="2706"/>
      <c r="Q88" s="2684"/>
      <c r="R88" s="2613"/>
      <c r="S88" s="2613"/>
      <c r="T88" s="2613"/>
      <c r="U88" s="2613"/>
      <c r="V88" s="2613"/>
      <c r="W88" s="2613"/>
      <c r="X88" s="2613"/>
      <c r="Y88" s="2613"/>
      <c r="Z88" s="2613"/>
      <c r="AA88" s="2613"/>
      <c r="AB88" s="2613"/>
      <c r="AC88" s="2613"/>
    </row>
    <row r="89" spans="1:29" s="107" customFormat="1" ht="15.75" thickTop="1">
      <c r="A89" s="378"/>
      <c r="B89" s="477" t="str">
        <f>B27</f>
        <v>楼层</v>
      </c>
      <c r="C89" s="493" t="s">
        <v>3160</v>
      </c>
      <c r="D89" s="493" t="s">
        <v>3158</v>
      </c>
      <c r="E89" s="493" t="s">
        <v>3159</v>
      </c>
      <c r="F89" s="1922"/>
      <c r="G89" s="493"/>
      <c r="H89" s="493"/>
      <c r="I89" s="493"/>
      <c r="J89" s="493"/>
      <c r="K89" s="493"/>
      <c r="L89" s="493"/>
      <c r="M89" s="519"/>
      <c r="N89" s="2696"/>
      <c r="O89" s="2696"/>
      <c r="P89" s="2706"/>
      <c r="Q89" s="2684"/>
      <c r="R89" s="2613"/>
      <c r="S89" s="2613"/>
      <c r="T89" s="2613"/>
      <c r="U89" s="2613"/>
      <c r="V89" s="2613"/>
      <c r="W89" s="2613"/>
      <c r="X89" s="2613"/>
      <c r="Y89" s="2613"/>
      <c r="Z89" s="2613"/>
      <c r="AA89" s="2613"/>
      <c r="AB89" s="2613"/>
      <c r="AC89" s="2613"/>
    </row>
    <row r="90" spans="1:29" s="107" customFormat="1" ht="15.7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98"/>
      <c r="O90" s="2698"/>
      <c r="P90" s="2706"/>
      <c r="Q90" s="2684"/>
      <c r="R90" s="2613"/>
      <c r="S90" s="2613"/>
      <c r="T90" s="2613"/>
      <c r="U90" s="2613"/>
      <c r="V90" s="2613"/>
      <c r="W90" s="2613"/>
      <c r="X90" s="2613"/>
      <c r="Y90" s="2613"/>
      <c r="Z90" s="2613"/>
      <c r="AA90" s="2613"/>
      <c r="AB90" s="2613"/>
      <c r="AC90" s="2613"/>
    </row>
    <row r="91" spans="1:29" s="416" customFormat="1" ht="15.75" thickTop="1">
      <c r="A91" s="492"/>
      <c r="B91" s="477" t="str">
        <f>B28</f>
        <v>朝向</v>
      </c>
      <c r="C91" s="493"/>
      <c r="D91" s="493"/>
      <c r="E91" s="493"/>
      <c r="F91" s="493"/>
      <c r="G91" s="493"/>
      <c r="H91" s="494"/>
      <c r="I91" s="494"/>
      <c r="J91" s="494"/>
      <c r="K91" s="494"/>
      <c r="L91" s="495"/>
      <c r="M91" s="496"/>
      <c r="N91" s="2699"/>
      <c r="O91" s="2699"/>
      <c r="P91" s="2707"/>
      <c r="Q91" s="2691"/>
      <c r="R91" s="2669"/>
      <c r="S91" s="2669"/>
      <c r="T91" s="2669"/>
      <c r="U91" s="2669"/>
      <c r="V91" s="2669"/>
      <c r="W91" s="2669"/>
      <c r="X91" s="2669"/>
      <c r="Y91" s="2669"/>
      <c r="Z91" s="2669"/>
      <c r="AA91" s="2669"/>
      <c r="AB91" s="2669"/>
      <c r="AC91" s="2669"/>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99"/>
      <c r="O92" s="2699"/>
      <c r="P92" s="2707"/>
      <c r="Q92" s="2691"/>
      <c r="R92" s="2669"/>
      <c r="S92" s="2669"/>
      <c r="T92" s="2669"/>
      <c r="U92" s="2669"/>
      <c r="V92" s="2669"/>
      <c r="W92" s="2669"/>
      <c r="X92" s="2669"/>
      <c r="Y92" s="2669"/>
      <c r="Z92" s="2669"/>
      <c r="AA92" s="2669"/>
      <c r="AB92" s="2669"/>
      <c r="AC92" s="2669"/>
    </row>
    <row r="93" spans="1:29" ht="15.75" thickTop="1">
      <c r="A93" s="375"/>
      <c r="B93" s="477">
        <f>B29</f>
        <v>111</v>
      </c>
      <c r="C93" s="493"/>
      <c r="D93" s="493"/>
      <c r="E93" s="493"/>
      <c r="F93" s="493"/>
      <c r="G93" s="493"/>
      <c r="H93" s="493"/>
      <c r="I93" s="493"/>
      <c r="J93" s="493"/>
      <c r="K93" s="493"/>
      <c r="L93" s="518"/>
      <c r="M93" s="519"/>
      <c r="N93" s="2697"/>
      <c r="O93" s="2697"/>
      <c r="P93" s="2706"/>
      <c r="Q93" s="2684"/>
      <c r="R93" s="2663"/>
      <c r="S93" s="2663"/>
      <c r="T93" s="2663"/>
      <c r="U93" s="2663"/>
      <c r="V93" s="2663"/>
      <c r="W93" s="2663"/>
      <c r="X93" s="2663"/>
      <c r="Y93" s="2663"/>
      <c r="Z93" s="2663"/>
      <c r="AA93" s="2663"/>
      <c r="AB93" s="2663"/>
      <c r="AC93" s="2663"/>
    </row>
    <row r="94" spans="1:29" ht="15.75" thickBot="1">
      <c r="A94" s="375"/>
      <c r="B94" s="482"/>
      <c r="C94" s="499"/>
      <c r="D94" s="475"/>
      <c r="E94" s="475"/>
      <c r="F94" s="475"/>
      <c r="G94" s="475"/>
      <c r="H94" s="475"/>
      <c r="I94" s="475"/>
      <c r="J94" s="475"/>
      <c r="K94" s="475"/>
      <c r="L94" s="475"/>
      <c r="M94" s="476"/>
      <c r="N94" s="2698"/>
      <c r="O94" s="2698"/>
      <c r="P94" s="2706"/>
      <c r="Q94" s="2684"/>
      <c r="R94" s="2663"/>
      <c r="S94" s="2663"/>
      <c r="T94" s="2663"/>
      <c r="U94" s="2663"/>
      <c r="V94" s="2663"/>
      <c r="W94" s="2663"/>
      <c r="X94" s="2663"/>
      <c r="Y94" s="2663"/>
      <c r="Z94" s="2663"/>
      <c r="AA94" s="2663"/>
      <c r="AB94" s="2663"/>
      <c r="AC94" s="2663"/>
    </row>
    <row r="95" spans="1:29" ht="15.75" thickTop="1">
      <c r="A95" s="375"/>
      <c r="B95" s="477">
        <f>B30</f>
        <v>111</v>
      </c>
      <c r="C95" s="493"/>
      <c r="D95" s="493"/>
      <c r="E95" s="493"/>
      <c r="F95" s="493"/>
      <c r="G95" s="521"/>
      <c r="H95" s="521"/>
      <c r="I95" s="521"/>
      <c r="J95" s="521"/>
      <c r="K95" s="522"/>
      <c r="L95" s="523"/>
      <c r="M95" s="524"/>
      <c r="N95" s="2697"/>
      <c r="O95" s="2697"/>
      <c r="P95" s="2706"/>
      <c r="Q95" s="2684"/>
      <c r="R95" s="2663"/>
      <c r="S95" s="2663"/>
      <c r="T95" s="2663"/>
      <c r="U95" s="2663"/>
      <c r="V95" s="2663"/>
      <c r="W95" s="2663"/>
      <c r="X95" s="2663"/>
      <c r="Y95" s="2663"/>
      <c r="Z95" s="2663"/>
      <c r="AA95" s="2663"/>
      <c r="AB95" s="2663"/>
      <c r="AC95" s="2663"/>
    </row>
    <row r="96" spans="1:29" ht="15.75" thickBot="1">
      <c r="A96" s="375"/>
      <c r="B96" s="482"/>
      <c r="C96" s="499"/>
      <c r="D96" s="499"/>
      <c r="E96" s="499"/>
      <c r="F96" s="499"/>
      <c r="G96" s="475"/>
      <c r="H96" s="475"/>
      <c r="I96" s="475"/>
      <c r="J96" s="475"/>
      <c r="K96" s="475"/>
      <c r="L96" s="475"/>
      <c r="M96" s="476"/>
      <c r="N96" s="2698"/>
      <c r="O96" s="2698"/>
      <c r="P96" s="2706"/>
      <c r="Q96" s="2684"/>
      <c r="R96" s="2663"/>
      <c r="S96" s="2663"/>
      <c r="T96" s="2663"/>
      <c r="U96" s="2663"/>
      <c r="V96" s="2663"/>
      <c r="W96" s="2663"/>
      <c r="X96" s="2663"/>
      <c r="Y96" s="2663"/>
      <c r="Z96" s="2663"/>
      <c r="AA96" s="2663"/>
      <c r="AB96" s="2663"/>
      <c r="AC96" s="2663"/>
    </row>
    <row r="97" spans="1:29" ht="15.75" thickTop="1">
      <c r="A97" s="375"/>
      <c r="B97" s="477">
        <f>B31</f>
        <v>111</v>
      </c>
      <c r="C97" s="493"/>
      <c r="D97" s="493"/>
      <c r="E97" s="493"/>
      <c r="F97" s="493"/>
      <c r="G97" s="521"/>
      <c r="H97" s="521"/>
      <c r="I97" s="521"/>
      <c r="J97" s="521"/>
      <c r="K97" s="522"/>
      <c r="L97" s="523"/>
      <c r="M97" s="524"/>
      <c r="N97" s="2697"/>
      <c r="O97" s="2697"/>
      <c r="P97" s="2706"/>
      <c r="Q97" s="2684"/>
      <c r="R97" s="2663"/>
      <c r="S97" s="2663"/>
      <c r="T97" s="2663"/>
      <c r="U97" s="2663"/>
      <c r="V97" s="2663"/>
      <c r="W97" s="2663"/>
      <c r="X97" s="2663"/>
      <c r="Y97" s="2663"/>
      <c r="Z97" s="2663"/>
      <c r="AA97" s="2663"/>
      <c r="AB97" s="2663"/>
      <c r="AC97" s="2663"/>
    </row>
    <row r="98" spans="1:29" ht="15.75" thickBot="1">
      <c r="A98" s="375"/>
      <c r="B98" s="482"/>
      <c r="C98" s="499"/>
      <c r="D98" s="475"/>
      <c r="E98" s="475"/>
      <c r="F98" s="475"/>
      <c r="G98" s="475"/>
      <c r="H98" s="475"/>
      <c r="I98" s="475"/>
      <c r="J98" s="475"/>
      <c r="K98" s="475"/>
      <c r="L98" s="475"/>
      <c r="M98" s="476"/>
      <c r="N98" s="2698"/>
      <c r="O98" s="2698"/>
      <c r="P98" s="2706"/>
      <c r="Q98" s="2684"/>
      <c r="R98" s="2663"/>
      <c r="S98" s="2663"/>
      <c r="T98" s="2663"/>
      <c r="U98" s="2663"/>
      <c r="V98" s="2663"/>
      <c r="W98" s="2663"/>
      <c r="X98" s="2663"/>
      <c r="Y98" s="2663"/>
      <c r="Z98" s="2663"/>
      <c r="AA98" s="2663"/>
      <c r="AB98" s="2663"/>
      <c r="AC98" s="2663"/>
    </row>
    <row r="99" spans="1:29" ht="15.75" thickTop="1">
      <c r="A99" s="375"/>
      <c r="B99" s="485">
        <f>B32</f>
        <v>111</v>
      </c>
      <c r="C99" s="34"/>
      <c r="D99" s="34"/>
      <c r="E99" s="34"/>
      <c r="F99" s="34"/>
      <c r="G99" s="525"/>
      <c r="H99" s="525"/>
      <c r="I99" s="525"/>
      <c r="J99" s="525"/>
      <c r="K99" s="526"/>
      <c r="L99" s="527"/>
      <c r="M99" s="528"/>
      <c r="N99" s="2697"/>
      <c r="O99" s="2697"/>
      <c r="P99" s="2706"/>
      <c r="Q99" s="2684"/>
      <c r="R99" s="2663"/>
      <c r="S99" s="2663"/>
      <c r="T99" s="2663"/>
      <c r="U99" s="2663"/>
      <c r="V99" s="2663"/>
      <c r="W99" s="2663"/>
      <c r="X99" s="2663"/>
      <c r="Y99" s="2663"/>
      <c r="Z99" s="2663"/>
      <c r="AA99" s="2663"/>
      <c r="AB99" s="2663"/>
      <c r="AC99" s="2663"/>
    </row>
    <row r="100" spans="1:29" ht="15.75" thickBot="1">
      <c r="A100" s="383"/>
      <c r="B100" s="508"/>
      <c r="C100" s="509"/>
      <c r="D100" s="509"/>
      <c r="E100" s="509"/>
      <c r="F100" s="509"/>
      <c r="G100" s="529"/>
      <c r="H100" s="529"/>
      <c r="I100" s="529"/>
      <c r="J100" s="529"/>
      <c r="K100" s="529"/>
      <c r="L100" s="529"/>
      <c r="M100" s="530"/>
      <c r="N100" s="2698"/>
      <c r="O100" s="2698"/>
      <c r="P100" s="2706"/>
      <c r="Q100" s="2684"/>
      <c r="R100" s="2663"/>
      <c r="S100" s="2663"/>
      <c r="T100" s="2663"/>
      <c r="U100" s="2663"/>
      <c r="V100" s="2663"/>
      <c r="W100" s="2663"/>
      <c r="X100" s="2663"/>
      <c r="Y100" s="2663"/>
      <c r="Z100" s="2663"/>
      <c r="AA100" s="2663"/>
      <c r="AB100" s="2663"/>
      <c r="AC100" s="2663"/>
    </row>
    <row r="101" spans="1:29">
      <c r="A101" s="387" t="s">
        <v>2317</v>
      </c>
      <c r="B101" s="468" t="s">
        <v>2365</v>
      </c>
      <c r="C101" s="2937" t="s">
        <v>3168</v>
      </c>
      <c r="D101" s="470"/>
      <c r="E101" s="470"/>
      <c r="F101" s="470"/>
      <c r="G101" s="470"/>
      <c r="H101" s="470"/>
      <c r="I101" s="470"/>
      <c r="J101" s="470"/>
      <c r="K101" s="471"/>
      <c r="L101" s="472"/>
      <c r="M101" s="473"/>
      <c r="N101" s="2697"/>
      <c r="O101" s="2697"/>
      <c r="P101" s="2706"/>
      <c r="Q101" s="2684"/>
      <c r="R101" s="2663"/>
      <c r="S101" s="2663"/>
      <c r="T101" s="2663"/>
      <c r="U101" s="2663"/>
      <c r="V101" s="2663"/>
      <c r="W101" s="2663"/>
      <c r="X101" s="2663"/>
      <c r="Y101" s="2663"/>
      <c r="Z101" s="2663"/>
      <c r="AA101" s="2663"/>
      <c r="AB101" s="2663"/>
      <c r="AC101" s="2663"/>
    </row>
    <row r="102" spans="1:29" ht="15.7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98"/>
      <c r="O102" s="2698"/>
      <c r="P102" s="2706"/>
      <c r="Q102" s="2684"/>
      <c r="R102" s="2663"/>
      <c r="S102" s="2663"/>
      <c r="T102" s="2663"/>
      <c r="U102" s="2663"/>
      <c r="V102" s="2663"/>
      <c r="W102" s="2663"/>
      <c r="X102" s="2663"/>
      <c r="Y102" s="2663"/>
      <c r="Z102" s="2663"/>
      <c r="AA102" s="2663"/>
      <c r="AB102" s="2663"/>
      <c r="AC102" s="2663"/>
    </row>
    <row r="103" spans="1:29" ht="29.25" thickTop="1">
      <c r="A103" s="375"/>
      <c r="B103" s="477" t="s">
        <v>2366</v>
      </c>
      <c r="C103" s="517" t="str">
        <f>C104&amp;"(含)"&amp;"-"&amp;D104</f>
        <v>0(含)-100</v>
      </c>
      <c r="D103" s="517" t="str">
        <f t="shared" ref="D103:L103" si="23">D104&amp;"(含)"&amp;"-"&amp;E104</f>
        <v>100(含)-300</v>
      </c>
      <c r="E103" s="517" t="str">
        <f t="shared" si="23"/>
        <v>300(含)-500</v>
      </c>
      <c r="F103" s="517" t="str">
        <f t="shared" si="23"/>
        <v>500(含)-1000</v>
      </c>
      <c r="G103" s="517" t="str">
        <f t="shared" si="23"/>
        <v>1000(含)-1500</v>
      </c>
      <c r="H103" s="517" t="str">
        <f t="shared" si="23"/>
        <v>1500(含)-2000</v>
      </c>
      <c r="I103" s="517" t="str">
        <f t="shared" si="23"/>
        <v>2000(含)-2500</v>
      </c>
      <c r="J103" s="517" t="str">
        <f t="shared" si="23"/>
        <v>2500(含)-3000</v>
      </c>
      <c r="K103" s="517" t="str">
        <f t="shared" si="23"/>
        <v>3000(含)-</v>
      </c>
      <c r="L103" s="517" t="str">
        <f t="shared" si="23"/>
        <v>(含)-</v>
      </c>
      <c r="M103" s="555" t="str">
        <f>M104&amp;"(含)"&amp;"-"&amp;P104</f>
        <v>(含)-</v>
      </c>
      <c r="N103" s="2696"/>
      <c r="O103" s="2696"/>
      <c r="P103" s="2706"/>
      <c r="Q103" s="2684"/>
      <c r="R103" s="2663"/>
      <c r="S103" s="2663"/>
      <c r="T103" s="2663"/>
      <c r="U103" s="2663"/>
      <c r="V103" s="2663"/>
      <c r="W103" s="2663"/>
      <c r="X103" s="2663"/>
      <c r="Y103" s="2663"/>
      <c r="Z103" s="2663"/>
      <c r="AA103" s="2663"/>
      <c r="AB103" s="2663"/>
      <c r="AC103" s="2663"/>
    </row>
    <row r="104" spans="1:29" s="416" customFormat="1">
      <c r="A104" s="414"/>
      <c r="B104" s="531"/>
      <c r="C104" s="9">
        <v>0</v>
      </c>
      <c r="D104" s="9">
        <v>100</v>
      </c>
      <c r="E104" s="9">
        <v>300</v>
      </c>
      <c r="F104" s="9">
        <v>500</v>
      </c>
      <c r="G104" s="9">
        <v>1000</v>
      </c>
      <c r="H104" s="9">
        <v>1500</v>
      </c>
      <c r="I104" s="9">
        <v>2000</v>
      </c>
      <c r="J104" s="532">
        <v>2500</v>
      </c>
      <c r="K104" s="532">
        <v>3000</v>
      </c>
      <c r="L104" s="533"/>
      <c r="M104" s="534"/>
      <c r="N104" s="2699"/>
      <c r="O104" s="2699"/>
      <c r="P104" s="2707"/>
      <c r="Q104" s="2691"/>
      <c r="R104" s="2669"/>
      <c r="S104" s="2669"/>
      <c r="T104" s="2669"/>
      <c r="U104" s="2669"/>
      <c r="V104" s="2669"/>
      <c r="W104" s="2669"/>
      <c r="X104" s="2669"/>
      <c r="Y104" s="2669"/>
      <c r="Z104" s="2669"/>
      <c r="AA104" s="2669"/>
      <c r="AB104" s="2669"/>
      <c r="AC104" s="2669"/>
    </row>
    <row r="105" spans="1:29" s="416" customFormat="1" ht="15.75" thickBot="1">
      <c r="A105" s="492"/>
      <c r="B105" s="482"/>
      <c r="C105" s="475">
        <f>D105-2</f>
        <v>96</v>
      </c>
      <c r="D105" s="475">
        <f>E105-2</f>
        <v>98</v>
      </c>
      <c r="E105" s="475">
        <v>100</v>
      </c>
      <c r="F105" s="475">
        <f>E105-2</f>
        <v>98</v>
      </c>
      <c r="G105" s="475">
        <f t="shared" ref="G105:J105" si="24">F105-2</f>
        <v>96</v>
      </c>
      <c r="H105" s="475">
        <f t="shared" si="24"/>
        <v>94</v>
      </c>
      <c r="I105" s="475">
        <f t="shared" si="24"/>
        <v>92</v>
      </c>
      <c r="J105" s="475">
        <f t="shared" si="24"/>
        <v>90</v>
      </c>
      <c r="K105" s="475"/>
      <c r="L105" s="475"/>
      <c r="M105" s="476"/>
      <c r="N105" s="2698"/>
      <c r="O105" s="2698"/>
      <c r="P105" s="2707"/>
      <c r="Q105" s="2691"/>
      <c r="R105" s="2669"/>
      <c r="S105" s="2669"/>
      <c r="T105" s="2669"/>
      <c r="U105" s="2669"/>
      <c r="V105" s="2669"/>
      <c r="W105" s="2669"/>
      <c r="X105" s="2669"/>
      <c r="Y105" s="2669"/>
      <c r="Z105" s="2669"/>
      <c r="AA105" s="2669"/>
      <c r="AB105" s="2669"/>
      <c r="AC105" s="2669"/>
    </row>
    <row r="106" spans="1:29" ht="15" thickTop="1">
      <c r="A106" s="417"/>
      <c r="B106" s="477" t="s">
        <v>2367</v>
      </c>
      <c r="C106" s="2938" t="s">
        <v>3169</v>
      </c>
      <c r="D106" s="493"/>
      <c r="E106" s="521"/>
      <c r="F106" s="521"/>
      <c r="G106" s="521"/>
      <c r="H106" s="521"/>
      <c r="I106" s="521"/>
      <c r="J106" s="521"/>
      <c r="K106" s="522"/>
      <c r="L106" s="523"/>
      <c r="M106" s="524"/>
      <c r="N106" s="2697"/>
      <c r="O106" s="2697"/>
      <c r="P106" s="2706"/>
      <c r="Q106" s="2684"/>
      <c r="R106" s="2663"/>
      <c r="S106" s="2663"/>
      <c r="T106" s="2663"/>
      <c r="U106" s="2663"/>
      <c r="V106" s="2663"/>
      <c r="W106" s="2663"/>
      <c r="X106" s="2663"/>
      <c r="Y106" s="2663"/>
      <c r="Z106" s="2663"/>
      <c r="AA106" s="2663"/>
      <c r="AB106" s="2663"/>
      <c r="AC106" s="2663"/>
    </row>
    <row r="107" spans="1:29" ht="15.75" thickBot="1">
      <c r="A107" s="375"/>
      <c r="B107" s="482"/>
      <c r="C107" s="483">
        <v>100</v>
      </c>
      <c r="D107" s="483">
        <f t="shared" ref="D107:M107" si="25">C107-$K35</f>
        <v>100</v>
      </c>
      <c r="E107" s="483">
        <f t="shared" si="25"/>
        <v>100</v>
      </c>
      <c r="F107" s="483">
        <f t="shared" si="25"/>
        <v>100</v>
      </c>
      <c r="G107" s="483">
        <f t="shared" si="25"/>
        <v>100</v>
      </c>
      <c r="H107" s="483">
        <f t="shared" si="25"/>
        <v>100</v>
      </c>
      <c r="I107" s="483">
        <f t="shared" si="25"/>
        <v>100</v>
      </c>
      <c r="J107" s="483">
        <f t="shared" si="25"/>
        <v>100</v>
      </c>
      <c r="K107" s="483">
        <f t="shared" si="25"/>
        <v>100</v>
      </c>
      <c r="L107" s="483">
        <f t="shared" si="25"/>
        <v>100</v>
      </c>
      <c r="M107" s="484">
        <f t="shared" si="25"/>
        <v>100</v>
      </c>
      <c r="N107" s="2698"/>
      <c r="O107" s="2698"/>
      <c r="P107" s="2706"/>
      <c r="Q107" s="2684"/>
      <c r="R107" s="2663"/>
      <c r="S107" s="2663"/>
      <c r="T107" s="2663"/>
      <c r="U107" s="2663"/>
      <c r="V107" s="2663"/>
      <c r="W107" s="2663"/>
      <c r="X107" s="2663"/>
      <c r="Y107" s="2663"/>
      <c r="Z107" s="2663"/>
      <c r="AA107" s="2663"/>
      <c r="AB107" s="2663"/>
      <c r="AC107" s="2663"/>
    </row>
    <row r="108" spans="1:29" ht="15" thickTop="1">
      <c r="A108" s="417"/>
      <c r="B108" s="477" t="s">
        <v>2369</v>
      </c>
      <c r="C108" s="2938" t="s">
        <v>3170</v>
      </c>
      <c r="D108" s="493"/>
      <c r="E108" s="493"/>
      <c r="F108" s="521"/>
      <c r="G108" s="521"/>
      <c r="H108" s="521"/>
      <c r="I108" s="521"/>
      <c r="J108" s="521"/>
      <c r="K108" s="522"/>
      <c r="L108" s="523"/>
      <c r="M108" s="524"/>
      <c r="N108" s="2697"/>
      <c r="O108" s="2697"/>
      <c r="P108" s="2706"/>
      <c r="Q108" s="2684"/>
      <c r="R108" s="2663"/>
      <c r="S108" s="2663"/>
      <c r="T108" s="2663"/>
      <c r="U108" s="2663"/>
      <c r="V108" s="2663"/>
      <c r="W108" s="2663"/>
      <c r="X108" s="2663"/>
      <c r="Y108" s="2663"/>
      <c r="Z108" s="2663"/>
      <c r="AA108" s="2663"/>
      <c r="AB108" s="2663"/>
      <c r="AC108" s="2663"/>
    </row>
    <row r="109" spans="1:29" ht="15.75" thickBot="1">
      <c r="A109" s="375"/>
      <c r="B109" s="482"/>
      <c r="C109" s="483">
        <v>100</v>
      </c>
      <c r="D109" s="483">
        <f t="shared" ref="D109:M109" si="26">C109-$K36</f>
        <v>100</v>
      </c>
      <c r="E109" s="483">
        <f t="shared" si="26"/>
        <v>100</v>
      </c>
      <c r="F109" s="483">
        <f t="shared" si="26"/>
        <v>100</v>
      </c>
      <c r="G109" s="483">
        <f t="shared" si="26"/>
        <v>100</v>
      </c>
      <c r="H109" s="483">
        <f t="shared" si="26"/>
        <v>100</v>
      </c>
      <c r="I109" s="483">
        <f t="shared" si="26"/>
        <v>100</v>
      </c>
      <c r="J109" s="483">
        <f t="shared" si="26"/>
        <v>100</v>
      </c>
      <c r="K109" s="483">
        <f t="shared" si="26"/>
        <v>100</v>
      </c>
      <c r="L109" s="483">
        <f t="shared" si="26"/>
        <v>100</v>
      </c>
      <c r="M109" s="484">
        <f t="shared" si="26"/>
        <v>100</v>
      </c>
      <c r="N109" s="2698"/>
      <c r="O109" s="2698"/>
      <c r="P109" s="2706"/>
      <c r="Q109" s="2684"/>
      <c r="R109" s="2663"/>
      <c r="S109" s="2663"/>
      <c r="T109" s="2663"/>
      <c r="U109" s="2663"/>
      <c r="V109" s="2663"/>
      <c r="W109" s="2663"/>
      <c r="X109" s="2663"/>
      <c r="Y109" s="2663"/>
      <c r="Z109" s="2663"/>
      <c r="AA109" s="2663"/>
      <c r="AB109" s="2663"/>
      <c r="AC109" s="2663"/>
    </row>
    <row r="110" spans="1:29" ht="1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97"/>
      <c r="O110" s="2697"/>
      <c r="P110" s="2706"/>
      <c r="Q110" s="2684"/>
      <c r="R110" s="2663"/>
      <c r="S110" s="2663"/>
      <c r="T110" s="2663"/>
      <c r="U110" s="2663"/>
      <c r="V110" s="2663"/>
      <c r="W110" s="2663"/>
      <c r="X110" s="2663"/>
      <c r="Y110" s="2663"/>
      <c r="Z110" s="2663"/>
      <c r="AA110" s="2663"/>
      <c r="AB110" s="2663"/>
      <c r="AC110" s="2663"/>
    </row>
    <row r="111" spans="1:29">
      <c r="A111" s="417"/>
      <c r="B111" s="485"/>
      <c r="C111" s="538">
        <v>0.5</v>
      </c>
      <c r="D111" s="538">
        <v>0.6</v>
      </c>
      <c r="E111" s="538">
        <v>0.7</v>
      </c>
      <c r="F111" s="538">
        <v>0.8</v>
      </c>
      <c r="G111" s="538">
        <v>0.9</v>
      </c>
      <c r="H111" s="538">
        <v>1.0001</v>
      </c>
      <c r="I111" s="556"/>
      <c r="J111" s="556"/>
      <c r="K111" s="557"/>
      <c r="L111" s="558"/>
      <c r="M111" s="559"/>
      <c r="N111" s="2697"/>
      <c r="O111" s="2697"/>
      <c r="P111" s="2706"/>
      <c r="Q111" s="2684"/>
      <c r="R111" s="2663"/>
      <c r="S111" s="2663"/>
      <c r="T111" s="2663"/>
      <c r="U111" s="2663"/>
      <c r="V111" s="2663"/>
      <c r="W111" s="2663"/>
      <c r="X111" s="2663"/>
      <c r="Y111" s="2663"/>
      <c r="Z111" s="2663"/>
      <c r="AA111" s="2663"/>
      <c r="AB111" s="2663"/>
      <c r="AC111" s="2663"/>
    </row>
    <row r="112" spans="1:29" ht="15.75" thickBot="1">
      <c r="A112" s="375"/>
      <c r="B112" s="482"/>
      <c r="C112" s="520">
        <v>100</v>
      </c>
      <c r="D112" s="483">
        <f>C112+$K37</f>
        <v>100</v>
      </c>
      <c r="E112" s="483">
        <f t="shared" ref="E112:M112" si="27">D112+$K37</f>
        <v>100</v>
      </c>
      <c r="F112" s="483">
        <f t="shared" si="27"/>
        <v>100</v>
      </c>
      <c r="G112" s="483">
        <f t="shared" si="27"/>
        <v>100</v>
      </c>
      <c r="H112" s="483">
        <f t="shared" si="27"/>
        <v>100</v>
      </c>
      <c r="I112" s="483">
        <f t="shared" si="27"/>
        <v>100</v>
      </c>
      <c r="J112" s="483">
        <f t="shared" si="27"/>
        <v>100</v>
      </c>
      <c r="K112" s="483">
        <f t="shared" si="27"/>
        <v>100</v>
      </c>
      <c r="L112" s="483">
        <f t="shared" si="27"/>
        <v>100</v>
      </c>
      <c r="M112" s="483">
        <f t="shared" si="27"/>
        <v>100</v>
      </c>
      <c r="N112" s="2698"/>
      <c r="O112" s="2698"/>
      <c r="P112" s="2706"/>
      <c r="Q112" s="2684"/>
      <c r="R112" s="2663"/>
      <c r="S112" s="2663"/>
      <c r="T112" s="2663"/>
      <c r="U112" s="2663"/>
      <c r="V112" s="2663"/>
      <c r="W112" s="2663"/>
      <c r="X112" s="2663"/>
      <c r="Y112" s="2663"/>
      <c r="Z112" s="2663"/>
      <c r="AA112" s="2663"/>
      <c r="AB112" s="2663"/>
      <c r="AC112" s="2663"/>
    </row>
    <row r="113" spans="1:29" s="416" customFormat="1" ht="15" thickTop="1">
      <c r="A113" s="414"/>
      <c r="B113" s="477" t="s">
        <v>2453</v>
      </c>
      <c r="C113" s="2938" t="s">
        <v>3171</v>
      </c>
      <c r="D113" s="493"/>
      <c r="E113" s="493"/>
      <c r="F113" s="493"/>
      <c r="G113" s="493"/>
      <c r="H113" s="521"/>
      <c r="I113" s="521"/>
      <c r="J113" s="521"/>
      <c r="K113" s="522"/>
      <c r="L113" s="523"/>
      <c r="M113" s="524"/>
      <c r="N113" s="2699"/>
      <c r="O113" s="2699"/>
      <c r="P113" s="2707"/>
      <c r="Q113" s="2691"/>
      <c r="R113" s="2669"/>
      <c r="S113" s="2669"/>
      <c r="T113" s="2669"/>
      <c r="U113" s="2669"/>
      <c r="V113" s="2669"/>
      <c r="W113" s="2669"/>
      <c r="X113" s="2669"/>
      <c r="Y113" s="2669"/>
      <c r="Z113" s="2669"/>
      <c r="AA113" s="2669"/>
      <c r="AB113" s="2669"/>
      <c r="AC113" s="2669"/>
    </row>
    <row r="114" spans="1:29" s="416" customFormat="1" ht="15.75" thickBot="1">
      <c r="A114" s="492"/>
      <c r="B114" s="482"/>
      <c r="C114" s="483">
        <v>100</v>
      </c>
      <c r="D114" s="483">
        <f>C114-$K38</f>
        <v>100</v>
      </c>
      <c r="E114" s="483">
        <f t="shared" ref="E114:M114" si="28">D114-$K38</f>
        <v>100</v>
      </c>
      <c r="F114" s="483">
        <f t="shared" si="28"/>
        <v>100</v>
      </c>
      <c r="G114" s="483">
        <f t="shared" si="28"/>
        <v>100</v>
      </c>
      <c r="H114" s="483">
        <f t="shared" si="28"/>
        <v>100</v>
      </c>
      <c r="I114" s="483">
        <f t="shared" si="28"/>
        <v>100</v>
      </c>
      <c r="J114" s="483">
        <f t="shared" si="28"/>
        <v>100</v>
      </c>
      <c r="K114" s="483">
        <f t="shared" si="28"/>
        <v>100</v>
      </c>
      <c r="L114" s="483">
        <f t="shared" si="28"/>
        <v>100</v>
      </c>
      <c r="M114" s="483">
        <f t="shared" si="28"/>
        <v>100</v>
      </c>
      <c r="N114" s="2699"/>
      <c r="O114" s="2699"/>
      <c r="P114" s="2707"/>
      <c r="Q114" s="2691"/>
      <c r="R114" s="2669"/>
      <c r="S114" s="2669"/>
      <c r="T114" s="2669"/>
      <c r="U114" s="2669"/>
      <c r="V114" s="2669"/>
      <c r="W114" s="2669"/>
      <c r="X114" s="2669"/>
      <c r="Y114" s="2669"/>
      <c r="Z114" s="2669"/>
      <c r="AA114" s="2669"/>
      <c r="AB114" s="2669"/>
      <c r="AC114" s="2669"/>
    </row>
    <row r="115" spans="1:29" ht="15" thickTop="1">
      <c r="A115" s="417"/>
      <c r="B115" s="477" t="s">
        <v>2370</v>
      </c>
      <c r="C115" s="2938" t="s">
        <v>3172</v>
      </c>
      <c r="D115" s="2938" t="s">
        <v>3173</v>
      </c>
      <c r="E115" s="521"/>
      <c r="F115" s="521"/>
      <c r="G115" s="521"/>
      <c r="H115" s="521"/>
      <c r="I115" s="521"/>
      <c r="J115" s="521"/>
      <c r="K115" s="522"/>
      <c r="L115" s="523"/>
      <c r="M115" s="524"/>
      <c r="N115" s="2697"/>
      <c r="O115" s="2697"/>
      <c r="P115" s="2706"/>
      <c r="Q115" s="2684"/>
      <c r="R115" s="2663"/>
      <c r="S115" s="2663"/>
      <c r="T115" s="2663"/>
      <c r="U115" s="2663"/>
      <c r="V115" s="2663"/>
      <c r="W115" s="2663"/>
      <c r="X115" s="2663"/>
      <c r="Y115" s="2663"/>
      <c r="Z115" s="2663"/>
      <c r="AA115" s="2663"/>
      <c r="AB115" s="2663"/>
      <c r="AC115" s="2663"/>
    </row>
    <row r="116" spans="1:29" ht="15.75" thickBot="1">
      <c r="A116" s="375"/>
      <c r="B116" s="482"/>
      <c r="C116" s="483">
        <v>100</v>
      </c>
      <c r="D116" s="483">
        <f t="shared" ref="D116:M116" si="29">C116-$K39</f>
        <v>100</v>
      </c>
      <c r="E116" s="483">
        <f t="shared" si="29"/>
        <v>100</v>
      </c>
      <c r="F116" s="483">
        <f t="shared" si="29"/>
        <v>100</v>
      </c>
      <c r="G116" s="483">
        <f t="shared" si="29"/>
        <v>100</v>
      </c>
      <c r="H116" s="483">
        <f t="shared" si="29"/>
        <v>100</v>
      </c>
      <c r="I116" s="483">
        <f t="shared" si="29"/>
        <v>100</v>
      </c>
      <c r="J116" s="483">
        <f t="shared" si="29"/>
        <v>100</v>
      </c>
      <c r="K116" s="483">
        <f t="shared" si="29"/>
        <v>100</v>
      </c>
      <c r="L116" s="483">
        <f t="shared" si="29"/>
        <v>100</v>
      </c>
      <c r="M116" s="484">
        <f t="shared" si="29"/>
        <v>100</v>
      </c>
      <c r="N116" s="2698"/>
      <c r="O116" s="2698"/>
      <c r="P116" s="2706"/>
      <c r="Q116" s="2684"/>
      <c r="R116" s="2663"/>
      <c r="S116" s="2663"/>
      <c r="T116" s="2663"/>
      <c r="U116" s="2663"/>
      <c r="V116" s="2663"/>
      <c r="W116" s="2663"/>
      <c r="X116" s="2663"/>
      <c r="Y116" s="2663"/>
      <c r="Z116" s="2663"/>
      <c r="AA116" s="2663"/>
      <c r="AB116" s="2663"/>
      <c r="AC116" s="2663"/>
    </row>
    <row r="117" spans="1:29" ht="15" thickTop="1">
      <c r="A117" s="417"/>
      <c r="B117" s="477" t="s">
        <v>2371</v>
      </c>
      <c r="C117" s="493" t="str">
        <f>C83</f>
        <v>七通</v>
      </c>
      <c r="D117" s="493" t="str">
        <f>D83</f>
        <v>六通</v>
      </c>
      <c r="E117" s="493" t="str">
        <f>E83</f>
        <v>五通</v>
      </c>
      <c r="F117" s="493" t="str">
        <f>F83</f>
        <v>四通</v>
      </c>
      <c r="G117" s="493" t="str">
        <f>G83</f>
        <v>三通</v>
      </c>
      <c r="H117" s="521"/>
      <c r="I117" s="521"/>
      <c r="J117" s="521"/>
      <c r="K117" s="522"/>
      <c r="L117" s="523"/>
      <c r="M117" s="524"/>
      <c r="N117" s="2697"/>
      <c r="O117" s="2697"/>
      <c r="P117" s="2706"/>
      <c r="Q117" s="2684"/>
      <c r="R117" s="2663"/>
      <c r="S117" s="2663"/>
      <c r="T117" s="2663"/>
      <c r="U117" s="2663"/>
      <c r="V117" s="2663"/>
      <c r="W117" s="2663"/>
      <c r="X117" s="2663"/>
      <c r="Y117" s="2663"/>
      <c r="Z117" s="2663"/>
      <c r="AA117" s="2663"/>
      <c r="AB117" s="2663"/>
      <c r="AC117" s="2663"/>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98"/>
      <c r="O118" s="2698"/>
      <c r="P118" s="2706"/>
      <c r="Q118" s="2684"/>
      <c r="R118" s="2663"/>
      <c r="S118" s="2663"/>
      <c r="T118" s="2663"/>
      <c r="U118" s="2663"/>
      <c r="V118" s="2663"/>
      <c r="W118" s="2663"/>
      <c r="X118" s="2663"/>
      <c r="Y118" s="2663"/>
      <c r="Z118" s="2663"/>
      <c r="AA118" s="2663"/>
      <c r="AB118" s="2663"/>
      <c r="AC118" s="2663"/>
    </row>
    <row r="119" spans="1:29" ht="15" thickTop="1">
      <c r="A119" s="417"/>
      <c r="B119" s="568" t="s">
        <v>2454</v>
      </c>
      <c r="C119" s="2939" t="s">
        <v>3174</v>
      </c>
      <c r="D119" s="2939" t="s">
        <v>3175</v>
      </c>
      <c r="E119" s="521"/>
      <c r="F119" s="521"/>
      <c r="G119" s="521"/>
      <c r="H119" s="521"/>
      <c r="I119" s="521"/>
      <c r="J119" s="521"/>
      <c r="K119" s="521"/>
      <c r="L119" s="1958"/>
      <c r="M119" s="1959"/>
      <c r="N119" s="2698"/>
      <c r="O119" s="2698"/>
      <c r="P119" s="2711"/>
      <c r="Q119" s="2712"/>
      <c r="R119" s="2663"/>
      <c r="S119" s="2663"/>
      <c r="T119" s="2663"/>
      <c r="U119" s="2663"/>
      <c r="V119" s="2663"/>
      <c r="W119" s="2663"/>
      <c r="X119" s="2663"/>
      <c r="Y119" s="2663"/>
      <c r="Z119" s="2663"/>
      <c r="AA119" s="2663"/>
      <c r="AB119" s="2663"/>
      <c r="AC119" s="2663"/>
    </row>
    <row r="120" spans="1:29" ht="15.75" thickBot="1">
      <c r="A120" s="375"/>
      <c r="B120" s="482"/>
      <c r="C120" s="520">
        <v>100</v>
      </c>
      <c r="D120" s="483">
        <f>C120-$K41</f>
        <v>100</v>
      </c>
      <c r="E120" s="483">
        <f t="shared" ref="E120:M120" si="30">D120-$K41</f>
        <v>100</v>
      </c>
      <c r="F120" s="483">
        <f t="shared" si="30"/>
        <v>100</v>
      </c>
      <c r="G120" s="483">
        <f t="shared" si="30"/>
        <v>100</v>
      </c>
      <c r="H120" s="483">
        <f t="shared" si="30"/>
        <v>100</v>
      </c>
      <c r="I120" s="483">
        <f t="shared" si="30"/>
        <v>100</v>
      </c>
      <c r="J120" s="483">
        <f t="shared" si="30"/>
        <v>100</v>
      </c>
      <c r="K120" s="483">
        <f t="shared" si="30"/>
        <v>100</v>
      </c>
      <c r="L120" s="483">
        <f t="shared" si="30"/>
        <v>100</v>
      </c>
      <c r="M120" s="483">
        <f t="shared" si="30"/>
        <v>100</v>
      </c>
      <c r="N120" s="2698"/>
      <c r="O120" s="2698"/>
      <c r="P120" s="2706"/>
      <c r="Q120" s="2684"/>
      <c r="R120" s="2663"/>
      <c r="S120" s="2663"/>
      <c r="T120" s="2663"/>
      <c r="U120" s="2663"/>
      <c r="V120" s="2663"/>
      <c r="W120" s="2663"/>
      <c r="X120" s="2663"/>
      <c r="Y120" s="2663"/>
      <c r="Z120" s="2663"/>
      <c r="AA120" s="2663"/>
      <c r="AB120" s="2663"/>
      <c r="AC120" s="2663"/>
    </row>
    <row r="121" spans="1:29" s="416" customFormat="1" ht="15" thickTop="1">
      <c r="A121" s="414"/>
      <c r="B121" s="477" t="s">
        <v>2437</v>
      </c>
      <c r="C121" s="493" t="s">
        <v>3176</v>
      </c>
      <c r="D121" s="493" t="s">
        <v>3177</v>
      </c>
      <c r="E121" s="493" t="s">
        <v>3178</v>
      </c>
      <c r="F121" s="521" t="s">
        <v>3179</v>
      </c>
      <c r="G121" s="494" t="s">
        <v>3180</v>
      </c>
      <c r="H121" s="494" t="s">
        <v>3181</v>
      </c>
      <c r="I121" s="494" t="s">
        <v>3182</v>
      </c>
      <c r="J121" s="494"/>
      <c r="K121" s="494"/>
      <c r="L121" s="495"/>
      <c r="M121" s="496"/>
      <c r="N121" s="2699"/>
      <c r="O121" s="2699"/>
      <c r="P121" s="2707"/>
      <c r="Q121" s="2691"/>
      <c r="R121" s="2669"/>
      <c r="S121" s="2669"/>
      <c r="T121" s="2669"/>
      <c r="U121" s="2669"/>
      <c r="V121" s="2669"/>
      <c r="W121" s="2669"/>
      <c r="X121" s="2669"/>
      <c r="Y121" s="2669"/>
      <c r="Z121" s="2669"/>
      <c r="AA121" s="2669"/>
      <c r="AB121" s="2669"/>
      <c r="AC121" s="2669"/>
    </row>
    <row r="122" spans="1:29" s="416" customFormat="1" ht="15.75" thickBot="1">
      <c r="A122" s="492"/>
      <c r="B122" s="474"/>
      <c r="C122" s="499">
        <v>100</v>
      </c>
      <c r="D122" s="499">
        <f>C122-2</f>
        <v>98</v>
      </c>
      <c r="E122" s="499">
        <f>D122</f>
        <v>98</v>
      </c>
      <c r="F122" s="499">
        <f>E122-2</f>
        <v>96</v>
      </c>
      <c r="G122" s="499">
        <f t="shared" ref="G122:I122" si="31">F122-2</f>
        <v>94</v>
      </c>
      <c r="H122" s="499">
        <f t="shared" si="31"/>
        <v>92</v>
      </c>
      <c r="I122" s="499">
        <f t="shared" si="31"/>
        <v>90</v>
      </c>
      <c r="J122" s="499"/>
      <c r="K122" s="499"/>
      <c r="L122" s="499"/>
      <c r="M122" s="499"/>
      <c r="N122" s="2699"/>
      <c r="O122" s="2699"/>
      <c r="P122" s="2707"/>
      <c r="Q122" s="2691"/>
      <c r="R122" s="2669"/>
      <c r="S122" s="2669"/>
      <c r="T122" s="2669"/>
      <c r="U122" s="2669"/>
      <c r="V122" s="2669"/>
      <c r="W122" s="2669"/>
      <c r="X122" s="2669"/>
      <c r="Y122" s="2669"/>
      <c r="Z122" s="2669"/>
      <c r="AA122" s="2669"/>
      <c r="AB122" s="2669"/>
      <c r="AC122" s="2669"/>
    </row>
    <row r="123" spans="1:29" ht="15" thickTop="1">
      <c r="A123" s="417"/>
      <c r="B123" s="477" t="s">
        <v>2373</v>
      </c>
      <c r="C123" s="2938" t="s">
        <v>3170</v>
      </c>
      <c r="D123" s="2938" t="s">
        <v>3183</v>
      </c>
      <c r="E123" s="2938" t="s">
        <v>3184</v>
      </c>
      <c r="F123" s="2939" t="s">
        <v>3185</v>
      </c>
      <c r="G123" s="521"/>
      <c r="H123" s="521"/>
      <c r="I123" s="521"/>
      <c r="J123" s="521"/>
      <c r="K123" s="522"/>
      <c r="L123" s="523"/>
      <c r="M123" s="524"/>
      <c r="N123" s="2697"/>
      <c r="O123" s="2697"/>
      <c r="P123" s="2706"/>
      <c r="Q123" s="2684"/>
      <c r="R123" s="2663"/>
      <c r="S123" s="2663"/>
      <c r="T123" s="2663"/>
      <c r="U123" s="2663"/>
      <c r="V123" s="2663"/>
      <c r="W123" s="2663"/>
      <c r="X123" s="2663"/>
      <c r="Y123" s="2663"/>
      <c r="Z123" s="2663"/>
      <c r="AA123" s="2663"/>
      <c r="AB123" s="2663"/>
      <c r="AC123" s="2663"/>
    </row>
    <row r="124" spans="1:29" ht="15.75" thickBot="1">
      <c r="A124" s="375"/>
      <c r="B124" s="482"/>
      <c r="C124" s="483">
        <v>100</v>
      </c>
      <c r="D124" s="483">
        <f t="shared" ref="D124:M124" si="32">C124-$K43</f>
        <v>100</v>
      </c>
      <c r="E124" s="483">
        <f t="shared" si="32"/>
        <v>100</v>
      </c>
      <c r="F124" s="483">
        <f t="shared" si="32"/>
        <v>100</v>
      </c>
      <c r="G124" s="483">
        <f t="shared" si="32"/>
        <v>100</v>
      </c>
      <c r="H124" s="483">
        <f t="shared" si="32"/>
        <v>100</v>
      </c>
      <c r="I124" s="483">
        <f t="shared" si="32"/>
        <v>100</v>
      </c>
      <c r="J124" s="483">
        <f t="shared" si="32"/>
        <v>100</v>
      </c>
      <c r="K124" s="483">
        <f t="shared" si="32"/>
        <v>100</v>
      </c>
      <c r="L124" s="483">
        <f t="shared" si="32"/>
        <v>100</v>
      </c>
      <c r="M124" s="484">
        <f t="shared" si="32"/>
        <v>100</v>
      </c>
      <c r="N124" s="2698"/>
      <c r="O124" s="2698"/>
      <c r="P124" s="2706"/>
      <c r="Q124" s="2684"/>
      <c r="R124" s="2663"/>
      <c r="S124" s="2663"/>
      <c r="T124" s="2663"/>
      <c r="U124" s="2663"/>
      <c r="V124" s="2663"/>
      <c r="W124" s="2663"/>
      <c r="X124" s="2663"/>
      <c r="Y124" s="2663"/>
      <c r="Z124" s="2663"/>
      <c r="AA124" s="2663"/>
      <c r="AB124" s="2663"/>
      <c r="AC124" s="2663"/>
    </row>
    <row r="125" spans="1:29" ht="15" thickTop="1">
      <c r="A125" s="417"/>
      <c r="B125" s="477" t="s">
        <v>2374</v>
      </c>
      <c r="C125" s="517" t="s">
        <v>2350</v>
      </c>
      <c r="D125" s="517" t="s">
        <v>2351</v>
      </c>
      <c r="E125" s="517" t="s">
        <v>2352</v>
      </c>
      <c r="F125" s="517" t="s">
        <v>2353</v>
      </c>
      <c r="G125" s="517" t="s">
        <v>2354</v>
      </c>
      <c r="H125" s="478"/>
      <c r="I125" s="478"/>
      <c r="J125" s="478"/>
      <c r="K125" s="479"/>
      <c r="L125" s="480"/>
      <c r="M125" s="481"/>
      <c r="N125" s="2697"/>
      <c r="O125" s="2697"/>
      <c r="P125" s="2707"/>
      <c r="Q125" s="2684"/>
      <c r="R125" s="2663"/>
      <c r="S125" s="2663"/>
      <c r="T125" s="2663"/>
      <c r="U125" s="2663"/>
      <c r="V125" s="2663"/>
      <c r="W125" s="2663"/>
      <c r="X125" s="2663"/>
      <c r="Y125" s="2663"/>
      <c r="Z125" s="2663"/>
      <c r="AA125" s="2663"/>
      <c r="AB125" s="2663"/>
      <c r="AC125" s="2663"/>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98"/>
      <c r="O126" s="2698"/>
      <c r="P126" s="2706"/>
      <c r="Q126" s="2684"/>
      <c r="R126" s="2663"/>
      <c r="S126" s="2663"/>
      <c r="T126" s="2663"/>
      <c r="U126" s="2663"/>
      <c r="V126" s="2663"/>
      <c r="W126" s="2663"/>
      <c r="X126" s="2663"/>
      <c r="Y126" s="2663"/>
      <c r="Z126" s="2663"/>
      <c r="AA126" s="2663"/>
      <c r="AB126" s="2663"/>
      <c r="AC126" s="2663"/>
    </row>
    <row r="127" spans="1:29" s="416" customFormat="1" ht="15" thickTop="1">
      <c r="A127" s="414"/>
      <c r="B127" s="477">
        <f>B45</f>
        <v>111</v>
      </c>
      <c r="C127" s="493"/>
      <c r="D127" s="493"/>
      <c r="E127" s="493"/>
      <c r="F127" s="493"/>
      <c r="G127" s="493"/>
      <c r="H127" s="494"/>
      <c r="I127" s="494"/>
      <c r="J127" s="494"/>
      <c r="K127" s="494"/>
      <c r="L127" s="495"/>
      <c r="M127" s="496"/>
      <c r="N127" s="2699"/>
      <c r="O127" s="2699"/>
      <c r="P127" s="2707"/>
      <c r="Q127" s="2691"/>
      <c r="R127" s="2669"/>
      <c r="S127" s="2669"/>
      <c r="T127" s="2669"/>
      <c r="U127" s="2669"/>
      <c r="V127" s="2669"/>
      <c r="W127" s="2669"/>
      <c r="X127" s="2669"/>
      <c r="Y127" s="2669"/>
      <c r="Z127" s="2669"/>
      <c r="AA127" s="2669"/>
      <c r="AB127" s="2669"/>
      <c r="AC127" s="2669"/>
    </row>
    <row r="128" spans="1:29" s="416" customFormat="1" ht="15.75" thickBot="1">
      <c r="A128" s="492"/>
      <c r="B128" s="482"/>
      <c r="C128" s="499"/>
      <c r="D128" s="475"/>
      <c r="E128" s="475"/>
      <c r="F128" s="475"/>
      <c r="G128" s="499"/>
      <c r="H128" s="501"/>
      <c r="I128" s="501"/>
      <c r="J128" s="501"/>
      <c r="K128" s="501"/>
      <c r="L128" s="501"/>
      <c r="M128" s="502"/>
      <c r="N128" s="2699"/>
      <c r="O128" s="2699"/>
      <c r="P128" s="2707"/>
      <c r="Q128" s="2691"/>
      <c r="R128" s="2669"/>
      <c r="S128" s="2669"/>
      <c r="T128" s="2669"/>
      <c r="U128" s="2669"/>
      <c r="V128" s="2669"/>
      <c r="W128" s="2669"/>
      <c r="X128" s="2669"/>
      <c r="Y128" s="2669"/>
      <c r="Z128" s="2669"/>
      <c r="AA128" s="2669"/>
      <c r="AB128" s="2669"/>
      <c r="AC128" s="2669"/>
    </row>
    <row r="129" spans="1:29" ht="15" thickTop="1">
      <c r="A129" s="417"/>
      <c r="B129" s="477">
        <f>B46</f>
        <v>111</v>
      </c>
      <c r="C129" s="493"/>
      <c r="D129" s="493"/>
      <c r="E129" s="493"/>
      <c r="F129" s="493"/>
      <c r="G129" s="521"/>
      <c r="H129" s="521"/>
      <c r="I129" s="521"/>
      <c r="J129" s="521"/>
      <c r="K129" s="522"/>
      <c r="L129" s="523"/>
      <c r="M129" s="524"/>
      <c r="N129" s="2697"/>
      <c r="O129" s="2697"/>
      <c r="P129" s="2706"/>
      <c r="Q129" s="2684"/>
      <c r="R129" s="2663"/>
      <c r="S129" s="2663"/>
      <c r="T129" s="2663"/>
      <c r="U129" s="2663"/>
      <c r="V129" s="2663"/>
      <c r="W129" s="2663"/>
      <c r="X129" s="2663"/>
      <c r="Y129" s="2663"/>
      <c r="Z129" s="2663"/>
      <c r="AA129" s="2663"/>
      <c r="AB129" s="2663"/>
      <c r="AC129" s="2663"/>
    </row>
    <row r="130" spans="1:29" ht="15.75" thickBot="1">
      <c r="A130" s="375"/>
      <c r="B130" s="482"/>
      <c r="C130" s="499"/>
      <c r="D130" s="499"/>
      <c r="E130" s="499"/>
      <c r="F130" s="499"/>
      <c r="G130" s="475"/>
      <c r="H130" s="475"/>
      <c r="I130" s="475"/>
      <c r="J130" s="475"/>
      <c r="K130" s="475"/>
      <c r="L130" s="475"/>
      <c r="M130" s="476"/>
      <c r="N130" s="2698"/>
      <c r="O130" s="2698"/>
      <c r="P130" s="2706"/>
      <c r="Q130" s="2684"/>
      <c r="R130" s="2663"/>
      <c r="S130" s="2663"/>
      <c r="T130" s="2663"/>
      <c r="U130" s="2663"/>
      <c r="V130" s="2663"/>
      <c r="W130" s="2663"/>
      <c r="X130" s="2663"/>
      <c r="Y130" s="2663"/>
      <c r="Z130" s="2663"/>
      <c r="AA130" s="2663"/>
      <c r="AB130" s="2663"/>
      <c r="AC130" s="2663"/>
    </row>
    <row r="131" spans="1:29" ht="15" thickTop="1">
      <c r="A131" s="417"/>
      <c r="B131" s="485">
        <f>B47</f>
        <v>111</v>
      </c>
      <c r="C131" s="34"/>
      <c r="D131" s="34"/>
      <c r="E131" s="34"/>
      <c r="F131" s="34"/>
      <c r="G131" s="525"/>
      <c r="H131" s="525"/>
      <c r="I131" s="525"/>
      <c r="J131" s="525"/>
      <c r="K131" s="34"/>
      <c r="L131" s="465"/>
      <c r="M131" s="528"/>
      <c r="N131" s="2697"/>
      <c r="O131" s="2697"/>
      <c r="P131" s="2706"/>
      <c r="Q131" s="2684"/>
      <c r="R131" s="2663"/>
      <c r="S131" s="2663"/>
      <c r="T131" s="2663"/>
      <c r="U131" s="2663"/>
      <c r="V131" s="2663"/>
      <c r="W131" s="2663"/>
      <c r="X131" s="2663"/>
      <c r="Y131" s="2663"/>
      <c r="Z131" s="2663"/>
      <c r="AA131" s="2663"/>
      <c r="AB131" s="2663"/>
      <c r="AC131" s="2663"/>
    </row>
    <row r="132" spans="1:29" ht="15.75" thickBot="1">
      <c r="A132" s="383"/>
      <c r="B132" s="508"/>
      <c r="C132" s="509"/>
      <c r="D132" s="509"/>
      <c r="E132" s="509"/>
      <c r="F132" s="509"/>
      <c r="G132" s="529"/>
      <c r="H132" s="529"/>
      <c r="I132" s="529"/>
      <c r="J132" s="529"/>
      <c r="K132" s="529"/>
      <c r="L132" s="529"/>
      <c r="M132" s="530"/>
      <c r="N132" s="2698"/>
      <c r="O132" s="2698"/>
      <c r="P132" s="2706"/>
      <c r="Q132" s="2684"/>
      <c r="R132" s="2663"/>
      <c r="S132" s="2663"/>
      <c r="T132" s="2663"/>
      <c r="U132" s="2663"/>
      <c r="V132" s="2663"/>
      <c r="W132" s="2663"/>
      <c r="X132" s="2663"/>
      <c r="Y132" s="2663"/>
      <c r="Z132" s="2663"/>
      <c r="AA132" s="2663"/>
      <c r="AB132" s="2663"/>
      <c r="AC132" s="26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C10 E10 G10 I10" xr:uid="{00000000-0002-0000-1800-000006000000}">
      <formula1>土地年限区间</formula1>
    </dataValidation>
    <dataValidation type="list" allowBlank="1" showInputMessage="1" showErrorMessage="1" sqref="E9 G9 I9" xr:uid="{00000000-0002-0000-1800-000007000000}">
      <formula1>办公用途</formula1>
    </dataValidation>
    <dataValidation type="list" allowBlank="1" showInputMessage="1" showErrorMessage="1" sqref="C16 E16 G16 I16" xr:uid="{00000000-0002-0000-1800-000008000000}">
      <formula1>办公集聚程度</formula1>
    </dataValidation>
    <dataValidation type="list" allowBlank="1" showInputMessage="1" showErrorMessage="1" sqref="G26 C26 E26 I26" xr:uid="{00000000-0002-0000-1800-000009000000}">
      <formula1>办公道路级别</formula1>
    </dataValidation>
    <dataValidation type="list" allowBlank="1" showInputMessage="1" showErrorMessage="1" sqref="C28 E28 G28 I28" xr:uid="{00000000-0002-0000-1800-00000A000000}">
      <formula1>办公朝向</formula1>
    </dataValidation>
    <dataValidation type="list" allowBlank="1" showInputMessage="1" showErrorMessage="1" sqref="C27 E27 G27 I27" xr:uid="{00000000-0002-0000-1800-00000B000000}">
      <formula1>办公楼层</formula1>
    </dataValidation>
    <dataValidation type="list" allowBlank="1" showInputMessage="1" showErrorMessage="1" sqref="C33 E33 G33 I33" xr:uid="{00000000-0002-0000-1800-00000C000000}">
      <formula1>办公建筑类型</formula1>
    </dataValidation>
    <dataValidation type="list" allowBlank="1" showInputMessage="1" showErrorMessage="1" sqref="C36 E36 G36 I36" xr:uid="{00000000-0002-0000-1800-00000D000000}">
      <formula1>办公公共部分装修</formula1>
    </dataValidation>
    <dataValidation type="list" allowBlank="1" showInputMessage="1" showErrorMessage="1" sqref="C38 E38 G38 I38" xr:uid="{00000000-0002-0000-1800-00000E000000}">
      <formula1>写字楼等级</formula1>
    </dataValidation>
    <dataValidation type="list" allowBlank="1" showInputMessage="1" showErrorMessage="1" sqref="C39 E39 G39 I39" xr:uid="{00000000-0002-0000-1800-00000F000000}">
      <formula1>办公物业管理</formula1>
    </dataValidation>
    <dataValidation type="list" allowBlank="1" showInputMessage="1" showErrorMessage="1" sqref="C40 E40 G40 I40" xr:uid="{00000000-0002-0000-1800-000010000000}">
      <formula1>办公基础设施水平</formula1>
    </dataValidation>
    <dataValidation type="list" allowBlank="1" showInputMessage="1" showErrorMessage="1" sqref="C41 E41 G41 I41" xr:uid="{00000000-0002-0000-1800-000011000000}">
      <formula1>办公层高</formula1>
    </dataValidation>
    <dataValidation type="list" allowBlank="1" showInputMessage="1" showErrorMessage="1" sqref="C43 E43 G43 I43" xr:uid="{00000000-0002-0000-1800-000012000000}">
      <formula1>办公内部装修</formula1>
    </dataValidation>
    <dataValidation type="list" allowBlank="1" showInputMessage="1" showErrorMessage="1" sqref="C8 E8 G8 I8" xr:uid="{00000000-0002-0000-1800-000013000000}">
      <formula1>办公交易情况</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F1" xr:uid="{00000000-0002-0000-1800-000015000000}">
      <formula1>"售价,租金"</formula1>
    </dataValidation>
    <dataValidation type="list" allowBlank="1" showInputMessage="1" showErrorMessage="1" sqref="C2" xr:uid="{00000000-0002-0000-1800-000016000000}">
      <formula1>"需扣减承租人权益,——"</formula1>
    </dataValidation>
    <dataValidation type="list" allowBlank="1" showInputMessage="1" showErrorMessage="1" sqref="F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7" zoomScale="90" zoomScaleNormal="70" zoomScaleSheetLayoutView="90" workbookViewId="0">
      <selection activeCell="N16" sqref="N1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16" customWidth="1"/>
    <col min="12" max="12" width="16.375" style="256" customWidth="1"/>
    <col min="13" max="13" width="13" style="256" customWidth="1"/>
    <col min="14" max="14" width="13.75" style="1436" customWidth="1"/>
    <col min="15" max="15" width="5.125" style="1436" customWidth="1"/>
    <col min="16" max="16" width="25.75" style="1436" customWidth="1"/>
    <col min="17" max="17" width="13.75" style="1436" customWidth="1"/>
    <col min="18" max="18" width="20.5" style="1436" customWidth="1"/>
    <col min="19" max="19" width="13.25" style="1436" customWidth="1"/>
    <col min="20" max="37" width="9" style="1436"/>
    <col min="38" max="16384" width="9" style="256"/>
  </cols>
  <sheetData>
    <row r="1" spans="1:37" s="291" customFormat="1" ht="21">
      <c r="A1" s="1427" t="s">
        <v>1493</v>
      </c>
      <c r="B1" s="671"/>
      <c r="C1" s="1431" t="s">
        <v>1283</v>
      </c>
      <c r="D1" s="1415" t="s">
        <v>70</v>
      </c>
      <c r="E1" s="1416" t="s">
        <v>1292</v>
      </c>
      <c r="F1" s="1123" t="e">
        <f ca="1">J53</f>
        <v>#N/A</v>
      </c>
      <c r="G1" s="1430" t="e">
        <f>MATCH(C1,'数据-取费表'!A6:A16,0)+5</f>
        <v>#N/A</v>
      </c>
      <c r="H1" s="2641"/>
      <c r="I1" s="2642"/>
      <c r="J1" s="2642"/>
      <c r="K1" s="2643"/>
      <c r="L1" s="2642"/>
      <c r="M1" s="2642"/>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37" t="s">
        <v>1419</v>
      </c>
      <c r="B2" s="1438" t="e">
        <f ca="1">C40+J29+L46</f>
        <v>#N/A</v>
      </c>
      <c r="C2" s="1433" t="s">
        <v>1420</v>
      </c>
      <c r="D2" s="1433"/>
      <c r="E2" s="1439"/>
      <c r="F2" s="1440"/>
      <c r="G2" s="2654"/>
      <c r="H2" s="2644"/>
      <c r="I2" s="2644"/>
      <c r="J2" s="2644"/>
      <c r="K2" s="2645"/>
      <c r="L2" s="2644"/>
      <c r="M2" s="2644"/>
    </row>
    <row r="3" spans="1:37" ht="18" customHeight="1" thickBot="1">
      <c r="A3" s="1441" t="s">
        <v>1421</v>
      </c>
      <c r="B3" s="1442">
        <f ca="1">IF(ISERROR(B2*10000/F43),0,ROUND(B2*10000/F43,0))</f>
        <v>0</v>
      </c>
      <c r="C3" s="1433" t="s">
        <v>1422</v>
      </c>
      <c r="D3" s="1433"/>
      <c r="E3" s="1439"/>
      <c r="F3" s="1440"/>
      <c r="G3" s="2654"/>
      <c r="H3" s="657" t="s">
        <v>1492</v>
      </c>
      <c r="I3" s="1434"/>
      <c r="J3" s="1434"/>
      <c r="K3" s="1435"/>
      <c r="L3" s="1434"/>
      <c r="M3" s="1434"/>
    </row>
    <row r="4" spans="1:37" ht="18" customHeight="1">
      <c r="A4" s="293" t="s">
        <v>1301</v>
      </c>
      <c r="B4" s="294" t="s">
        <v>1302</v>
      </c>
      <c r="C4" s="294" t="s">
        <v>1303</v>
      </c>
      <c r="D4" s="294" t="s">
        <v>1304</v>
      </c>
      <c r="E4" s="295" t="s">
        <v>1305</v>
      </c>
      <c r="F4" s="296"/>
      <c r="G4" s="1436"/>
      <c r="H4" s="293" t="s">
        <v>1301</v>
      </c>
      <c r="I4" s="294" t="s">
        <v>1302</v>
      </c>
      <c r="J4" s="294" t="s">
        <v>1303</v>
      </c>
      <c r="K4" s="294" t="s">
        <v>1304</v>
      </c>
      <c r="L4" s="295" t="s">
        <v>1305</v>
      </c>
      <c r="M4" s="296"/>
    </row>
    <row r="5" spans="1:37" ht="18" customHeight="1">
      <c r="A5" s="297">
        <v>1</v>
      </c>
      <c r="B5" s="298" t="s">
        <v>1306</v>
      </c>
      <c r="C5" s="1132" t="e">
        <f ca="1">C6+C10+C12</f>
        <v>#N/A</v>
      </c>
      <c r="D5" s="1417" t="s">
        <v>1307</v>
      </c>
      <c r="E5" s="1133"/>
      <c r="F5" s="1134"/>
      <c r="G5" s="1436"/>
      <c r="H5" s="297">
        <v>1</v>
      </c>
      <c r="I5" s="298" t="s">
        <v>1306</v>
      </c>
      <c r="J5" s="1132" t="e">
        <f ca="1">J6+J10+J12</f>
        <v>#N/A</v>
      </c>
      <c r="K5" s="1417" t="s">
        <v>1307</v>
      </c>
      <c r="L5" s="1133"/>
      <c r="M5" s="1134"/>
    </row>
    <row r="6" spans="1:37" ht="18" customHeight="1">
      <c r="A6" s="1131" t="s">
        <v>1003</v>
      </c>
      <c r="B6" s="3402" t="s">
        <v>1308</v>
      </c>
      <c r="C6" s="1136" t="e">
        <f ca="1">ROUND(F6*F8*F7*(1-F9)/10000,0)</f>
        <v>#N/A</v>
      </c>
      <c r="D6" s="152" t="s">
        <v>2777</v>
      </c>
      <c r="E6" s="300" t="s">
        <v>1310</v>
      </c>
      <c r="F6" s="301" t="e">
        <f ca="1">INDIRECT("'数据-取费表'!u"&amp;$G$1)</f>
        <v>#N/A</v>
      </c>
      <c r="G6" s="1436"/>
      <c r="H6" s="1131" t="s">
        <v>1003</v>
      </c>
      <c r="I6" s="3402" t="s">
        <v>1308</v>
      </c>
      <c r="J6" s="299" t="e">
        <f ca="1">ROUND(M6*M8*M7*(1-M9)/10000,0)</f>
        <v>#N/A</v>
      </c>
      <c r="K6" s="152" t="s">
        <v>2776</v>
      </c>
      <c r="L6" s="300" t="s">
        <v>1310</v>
      </c>
      <c r="M6" s="301" t="e">
        <f ca="1">INDIRECT("'数据-取费表'!z"&amp;$G$1)</f>
        <v>#N/A</v>
      </c>
    </row>
    <row r="7" spans="1:37" ht="18" customHeight="1">
      <c r="A7" s="1135"/>
      <c r="B7" s="3403"/>
      <c r="C7" s="1137"/>
      <c r="D7" s="305"/>
      <c r="E7" s="1138" t="s">
        <v>1311</v>
      </c>
      <c r="F7" s="301" t="e">
        <f ca="1">IF(INDIRECT("'数据-取费表'!ah"&amp;$G$1)="",INDIRECT("'数据-取费表'!k"&amp;$G$1),INDIRECT("'数据-取费表'!ah"&amp;$G$1))</f>
        <v>#N/A</v>
      </c>
      <c r="G7" s="1436"/>
      <c r="H7" s="302"/>
      <c r="I7" s="3403"/>
      <c r="J7" s="304"/>
      <c r="K7" s="305"/>
      <c r="L7" s="300" t="s">
        <v>1311</v>
      </c>
      <c r="M7" s="301" t="e">
        <f ca="1">F7</f>
        <v>#N/A</v>
      </c>
    </row>
    <row r="8" spans="1:37" ht="18" customHeight="1">
      <c r="A8" s="302"/>
      <c r="B8" s="3403"/>
      <c r="C8" s="304"/>
      <c r="D8" s="305"/>
      <c r="E8" s="300" t="s">
        <v>1312</v>
      </c>
      <c r="F8" s="301" t="e">
        <f ca="1">INDIRECT("'数据-取费表'!ai"&amp;$G$1)</f>
        <v>#N/A</v>
      </c>
      <c r="G8" s="1436"/>
      <c r="H8" s="302"/>
      <c r="I8" s="3403"/>
      <c r="J8" s="304"/>
      <c r="K8" s="305"/>
      <c r="L8" s="300" t="s">
        <v>1312</v>
      </c>
      <c r="M8" s="301" t="e">
        <f ca="1">INDIRECT("'数据-取费表'!ai"&amp;$G$1)</f>
        <v>#N/A</v>
      </c>
    </row>
    <row r="9" spans="1:37" ht="18" customHeight="1">
      <c r="A9" s="302"/>
      <c r="B9" s="3404"/>
      <c r="C9" s="304"/>
      <c r="D9" s="305"/>
      <c r="E9" s="300" t="s">
        <v>1313</v>
      </c>
      <c r="F9" s="310" t="e">
        <f ca="1">INDIRECT("'数据-取费表'!w"&amp;$G$1)</f>
        <v>#N/A</v>
      </c>
      <c r="G9" s="1436"/>
      <c r="H9" s="302"/>
      <c r="I9" s="3404"/>
      <c r="J9" s="304"/>
      <c r="K9" s="305"/>
      <c r="L9" s="311" t="s">
        <v>1313</v>
      </c>
      <c r="M9" s="312" t="e">
        <f ca="1">INDIRECT("'数据-取费表'!ab"&amp;$G$1)</f>
        <v>#N/A</v>
      </c>
    </row>
    <row r="10" spans="1:37" ht="18" customHeight="1">
      <c r="A10" s="1131" t="s">
        <v>1007</v>
      </c>
      <c r="B10" s="1418" t="s">
        <v>1314</v>
      </c>
      <c r="C10" s="314">
        <f ca="1">ROUND(IF(F10="押一",C6/12*F11,IF(F10="押二",C6/12*2*F11,IF(F10="押三",C6/12*3*F11,C11*F11))),0)</f>
        <v>2</v>
      </c>
      <c r="D10" s="155" t="s">
        <v>2785</v>
      </c>
      <c r="E10" s="311" t="s">
        <v>1315</v>
      </c>
      <c r="F10" s="1178" t="s">
        <v>3293</v>
      </c>
      <c r="G10" s="1436"/>
      <c r="H10" s="1131" t="s">
        <v>1007</v>
      </c>
      <c r="I10" s="1418" t="s">
        <v>1314</v>
      </c>
      <c r="J10" s="299" t="e">
        <f ca="1">ROUND(IF(M10="押一",J6/12*M11,IF(M10="押二",J6/12*2*M11,IF(M10="押三",J6/12*3*M11,J11*M11))),0)</f>
        <v>#N/A</v>
      </c>
      <c r="K10" s="155" t="s">
        <v>2784</v>
      </c>
      <c r="L10" s="311" t="s">
        <v>1315</v>
      </c>
      <c r="M10" s="1178" t="s">
        <v>3154</v>
      </c>
    </row>
    <row r="11" spans="1:37" ht="18" customHeight="1">
      <c r="A11" s="306"/>
      <c r="B11" s="1419" t="s">
        <v>1293</v>
      </c>
      <c r="C11" s="1028">
        <f>'【2021年】1号楼&amp;5号楼租赁台账'!Q26/10000</f>
        <v>71.245167000000009</v>
      </c>
      <c r="D11" s="1420"/>
      <c r="E11" s="311" t="s">
        <v>1316</v>
      </c>
      <c r="F11" s="312">
        <f ca="1">'数据-取费表'!B39</f>
        <v>0.03</v>
      </c>
      <c r="G11" s="1436"/>
      <c r="H11" s="1139"/>
      <c r="I11" s="1419" t="s">
        <v>1293</v>
      </c>
      <c r="J11" s="1028"/>
      <c r="K11" s="654"/>
      <c r="L11" s="311" t="s">
        <v>1316</v>
      </c>
      <c r="M11" s="911">
        <f ca="1">'数据-取费表'!B39</f>
        <v>0.03</v>
      </c>
    </row>
    <row r="12" spans="1:37" ht="18" customHeight="1" thickBot="1">
      <c r="A12" s="1145" t="s">
        <v>1043</v>
      </c>
      <c r="B12" s="1421" t="s">
        <v>1317</v>
      </c>
      <c r="C12" s="1146"/>
      <c r="D12" s="1147"/>
      <c r="E12" s="1152"/>
      <c r="F12" s="1148"/>
      <c r="G12" s="1436"/>
      <c r="H12" s="1145" t="s">
        <v>1043</v>
      </c>
      <c r="I12" s="1421" t="s">
        <v>1317</v>
      </c>
      <c r="J12" s="1146"/>
      <c r="K12" s="1160"/>
      <c r="L12" s="1152"/>
      <c r="M12" s="1161"/>
    </row>
    <row r="13" spans="1:37" ht="18" customHeight="1" thickTop="1">
      <c r="A13" s="1141">
        <v>2</v>
      </c>
      <c r="B13" s="1142" t="s">
        <v>1318</v>
      </c>
      <c r="C13" s="308" t="e">
        <f ca="1">ROUND(C29*F13,0)</f>
        <v>#N/A</v>
      </c>
      <c r="D13" s="1143" t="s">
        <v>1319</v>
      </c>
      <c r="E13" s="1143" t="s">
        <v>1320</v>
      </c>
      <c r="F13" s="1144" t="e">
        <f ca="1">INDIRECT("'数据-取费表'!y"&amp;$G$1)</f>
        <v>#N/A</v>
      </c>
      <c r="G13" s="1436"/>
      <c r="H13" s="1141">
        <v>2</v>
      </c>
      <c r="I13" s="1142" t="s">
        <v>1318</v>
      </c>
      <c r="J13" s="1130" t="e">
        <f ca="1">ROUND(J14*J15,0)</f>
        <v>#N/A</v>
      </c>
      <c r="K13" s="1149" t="s">
        <v>1319</v>
      </c>
      <c r="L13" s="1443"/>
      <c r="M13" s="1444"/>
    </row>
    <row r="14" spans="1:37" ht="18" customHeight="1">
      <c r="A14" s="1051" t="s">
        <v>1002</v>
      </c>
      <c r="B14" s="300" t="s">
        <v>1321</v>
      </c>
      <c r="C14" s="316" t="e">
        <f ca="1">INDIRECT("'数据-取费表'!m"&amp;$G$1)+INDIRECT("'数据-取费表'!t"&amp;$G$1)</f>
        <v>#N/A</v>
      </c>
      <c r="D14" s="1401" t="s">
        <v>1322</v>
      </c>
      <c r="E14" s="1399"/>
      <c r="F14" s="317"/>
      <c r="G14" s="1436"/>
      <c r="H14" s="1051" t="s">
        <v>1003</v>
      </c>
      <c r="I14" s="300" t="s">
        <v>1323</v>
      </c>
      <c r="J14" s="24" t="e">
        <f ca="1">C29</f>
        <v>#N/A</v>
      </c>
      <c r="K14" s="15"/>
      <c r="L14" s="861"/>
      <c r="M14" s="862"/>
    </row>
    <row r="15" spans="1:37" s="1448" customFormat="1" ht="18" customHeight="1" thickBot="1">
      <c r="A15" s="1051" t="s">
        <v>1004</v>
      </c>
      <c r="B15" s="300" t="s">
        <v>1324</v>
      </c>
      <c r="C15" s="24" t="e">
        <f ca="1">ROUND(C14*F15,0)</f>
        <v>#N/A</v>
      </c>
      <c r="D15" s="318" t="s">
        <v>1325</v>
      </c>
      <c r="E15" s="318" t="s">
        <v>1326</v>
      </c>
      <c r="F15" s="319">
        <f>'数据-取费表'!B33</f>
        <v>0.03</v>
      </c>
      <c r="G15" s="1447"/>
      <c r="H15" s="1151" t="s">
        <v>1007</v>
      </c>
      <c r="I15" s="1152" t="s">
        <v>1320</v>
      </c>
      <c r="J15" s="1161" t="e">
        <f ca="1">INDIRECT("'数据-取费表'!ad"&amp;$G$1)</f>
        <v>#N/A</v>
      </c>
      <c r="K15" s="1162"/>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1051" t="s">
        <v>1294</v>
      </c>
      <c r="B16" s="300" t="s">
        <v>1327</v>
      </c>
      <c r="C16" s="24" t="e">
        <f ca="1">ROUND(INDIRECT("'数据-取费表'!m"&amp;$G$1)*F16,0)</f>
        <v>#N/A</v>
      </c>
      <c r="D16" s="300" t="s">
        <v>1325</v>
      </c>
      <c r="E16" s="300" t="s">
        <v>1326</v>
      </c>
      <c r="F16" s="320" t="e">
        <f ca="1">IF(INDIRECT("'数据-取费表'!c"&amp;$G$1)="住宅",'数据-取费表'!B34,0)</f>
        <v>#N/A</v>
      </c>
      <c r="G16" s="1436"/>
      <c r="H16" s="1141" t="s">
        <v>998</v>
      </c>
      <c r="I16" s="1142" t="s">
        <v>1328</v>
      </c>
      <c r="J16" s="308" t="e">
        <f ca="1">ROUND(J17+J22+J23+J24,0)</f>
        <v>#N/A</v>
      </c>
      <c r="K16" s="1149" t="s">
        <v>1329</v>
      </c>
      <c r="L16" s="1150"/>
      <c r="M16" s="1134"/>
    </row>
    <row r="17" spans="1:37" s="1448" customFormat="1" ht="18" customHeight="1">
      <c r="A17" s="1051" t="s">
        <v>1295</v>
      </c>
      <c r="B17" s="300" t="s">
        <v>1330</v>
      </c>
      <c r="C17" s="24" t="e">
        <f ca="1">ROUND(F17*(F43+INDIRECT("'数据-取费表'!S"&amp;$G$1))/10000,0)</f>
        <v>#N/A</v>
      </c>
      <c r="D17" s="300" t="s">
        <v>1331</v>
      </c>
      <c r="E17" s="300" t="s">
        <v>1332</v>
      </c>
      <c r="F17" s="26">
        <f>'数据-取费表'!B35</f>
        <v>200</v>
      </c>
      <c r="G17" s="1447"/>
      <c r="H17" s="1051" t="s">
        <v>1003</v>
      </c>
      <c r="I17" s="300" t="s">
        <v>1333</v>
      </c>
      <c r="J17" s="2308" t="e">
        <f ca="1">ROUND(IF(AND(项目基本情况!B11="自然人",项目基本情况!B10="北京市"),J6*M17/(1+'数据-取费表'!C42),J18+J19+J20),0)</f>
        <v>#N/A</v>
      </c>
      <c r="K17" s="1401" t="s">
        <v>1334</v>
      </c>
      <c r="L17" s="1400" t="s">
        <v>1335</v>
      </c>
      <c r="M17" s="2307"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448" customFormat="1" ht="18" customHeight="1">
      <c r="A18" s="1051" t="s">
        <v>1296</v>
      </c>
      <c r="B18" s="300" t="s">
        <v>1336</v>
      </c>
      <c r="C18" s="24" t="e">
        <f ca="1">ROUND(C14*F18,0)</f>
        <v>#N/A</v>
      </c>
      <c r="D18" s="300" t="s">
        <v>1325</v>
      </c>
      <c r="E18" s="300" t="s">
        <v>1326</v>
      </c>
      <c r="F18" s="320">
        <f>'数据-取费表'!B36</f>
        <v>1.4999999999999999E-2</v>
      </c>
      <c r="G18" s="1447"/>
      <c r="H18" s="1051" t="s">
        <v>1002</v>
      </c>
      <c r="I18" s="300" t="s">
        <v>1337</v>
      </c>
      <c r="J18" s="24" t="e">
        <f ca="1">ROUND(J6*M18/(1+'数据-取费表'!C42),2)</f>
        <v>#N/A</v>
      </c>
      <c r="K18" s="1400" t="s">
        <v>1338</v>
      </c>
      <c r="L18" s="300" t="s">
        <v>1326</v>
      </c>
      <c r="M18" s="320">
        <f>'数据-取费表'!B41</f>
        <v>5.5000000000000007E-2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051" t="s">
        <v>1003</v>
      </c>
      <c r="B19" s="300" t="s">
        <v>1339</v>
      </c>
      <c r="C19" s="24" t="e">
        <f ca="1">SUM(C14:C18)</f>
        <v>#N/A</v>
      </c>
      <c r="D19" s="128" t="s">
        <v>1340</v>
      </c>
      <c r="E19" s="1413"/>
      <c r="F19" s="26"/>
      <c r="G19" s="1436"/>
      <c r="H19" s="1051" t="s">
        <v>1004</v>
      </c>
      <c r="I19" s="300" t="s">
        <v>1341</v>
      </c>
      <c r="J19" s="24" t="e">
        <f ca="1">IF(K19="按租金收入计税",ROUND(J6*M19/(1+'数据-取费表'!C42),2),ROUND(C29*M19*0.7,2))</f>
        <v>#N/A</v>
      </c>
      <c r="K19" s="1422" t="s">
        <v>3155</v>
      </c>
      <c r="L19" s="300" t="s">
        <v>1326</v>
      </c>
      <c r="M19" s="320">
        <f>IF(K19="按租金收入计税",'数据-取费表'!B51,'数据-取费表'!B50)</f>
        <v>0.12</v>
      </c>
    </row>
    <row r="20" spans="1:37" s="1448" customFormat="1" ht="18" customHeight="1">
      <c r="A20" s="1051" t="s">
        <v>1007</v>
      </c>
      <c r="B20" s="300" t="s">
        <v>1343</v>
      </c>
      <c r="C20" s="24" t="e">
        <f ca="1">ROUND(C19*F20,0)</f>
        <v>#N/A</v>
      </c>
      <c r="D20" s="321" t="s">
        <v>1344</v>
      </c>
      <c r="E20" s="300" t="s">
        <v>1326</v>
      </c>
      <c r="F20" s="320">
        <f>'数据-取费表'!B37</f>
        <v>0.03</v>
      </c>
      <c r="G20" s="1447"/>
      <c r="H20" s="1051" t="s">
        <v>1294</v>
      </c>
      <c r="I20" s="152" t="s">
        <v>1345</v>
      </c>
      <c r="J20" s="25" t="e">
        <f ca="1">ROUND(M20*M21/10000,2)</f>
        <v>#N/A</v>
      </c>
      <c r="K20" s="322" t="s">
        <v>1346</v>
      </c>
      <c r="L20" s="300" t="s">
        <v>1347</v>
      </c>
      <c r="M20" s="323">
        <f>'数据-取费表'!B52</f>
        <v>0</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448" customFormat="1" ht="18" customHeight="1">
      <c r="A21" s="1051" t="s">
        <v>1043</v>
      </c>
      <c r="B21" s="300" t="s">
        <v>1348</v>
      </c>
      <c r="C21" s="24" t="s">
        <v>18</v>
      </c>
      <c r="D21" s="321" t="s">
        <v>1349</v>
      </c>
      <c r="E21" s="300" t="s">
        <v>1350</v>
      </c>
      <c r="F21" s="320">
        <f>'数据-取费表'!B38</f>
        <v>0.03</v>
      </c>
      <c r="G21" s="1447"/>
      <c r="H21" s="324"/>
      <c r="I21" s="309"/>
      <c r="J21" s="29"/>
      <c r="K21" s="325"/>
      <c r="L21" s="300" t="s">
        <v>1351</v>
      </c>
      <c r="M21" s="301" t="e">
        <f ca="1">INDIRECT("'数据-取费表'!r"&amp;$G$1)</f>
        <v>#N/A</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051" t="s">
        <v>1297</v>
      </c>
      <c r="B22" s="300" t="s">
        <v>1352</v>
      </c>
      <c r="C22" s="24"/>
      <c r="D22" s="128" t="str">
        <f>IF(F23&lt;=1,"单利计息。","复利计息。")&amp;"建造成本、管理费用、销售费用产生的利息。"</f>
        <v>复利计息。建造成本、管理费用、销售费用产生的利息。</v>
      </c>
      <c r="E22" s="1413"/>
      <c r="F22" s="26"/>
      <c r="G22" s="1436"/>
      <c r="H22" s="1051" t="s">
        <v>1007</v>
      </c>
      <c r="I22" s="300" t="s">
        <v>1353</v>
      </c>
      <c r="J22" s="24" t="e">
        <f ca="1">ROUND(J14*M22,1)</f>
        <v>#N/A</v>
      </c>
      <c r="K22" s="1400" t="s">
        <v>1354</v>
      </c>
      <c r="L22" s="300" t="s">
        <v>1326</v>
      </c>
      <c r="M22" s="326" t="e">
        <f ca="1">INDIRECT("'数据-取费表'!Ak"&amp;$G$1)</f>
        <v>#N/A</v>
      </c>
    </row>
    <row r="23" spans="1:37" s="1448" customFormat="1" ht="18" customHeight="1">
      <c r="A23" s="1051" t="s">
        <v>1002</v>
      </c>
      <c r="B23" s="300" t="s">
        <v>1355</v>
      </c>
      <c r="C23" s="24" t="e">
        <f ca="1">IF('数据-取费表'!B22&lt;=1,ROUND(C19*F24*F23/2,0)+ROUND(C20*F24*F23/2,0),ROUND(C19*(POWER((1+F24),F23/2)-1),0)+ROUND(C20*(POWER((1+F24),F23/2)-1),0))</f>
        <v>#N/A</v>
      </c>
      <c r="D23" s="143" t="str">
        <f>IF(F23&lt;=1,"(建造成本+管理费用)×利率×(建设周期÷2)","(建造成本+管理费用)×((1+利率)^(建设周期÷2)-1)")</f>
        <v>(建造成本+管理费用)×((1+利率)^(建设周期÷2)-1)</v>
      </c>
      <c r="E23" s="300" t="s">
        <v>1356</v>
      </c>
      <c r="F23" s="323">
        <f>'数据-取费表'!B20</f>
        <v>1.5</v>
      </c>
      <c r="G23" s="1447"/>
      <c r="H23" s="1051" t="s">
        <v>1043</v>
      </c>
      <c r="I23" s="300" t="s">
        <v>1357</v>
      </c>
      <c r="J23" s="24" t="e">
        <f ca="1">ROUND(J13*M23,1)</f>
        <v>#N/A</v>
      </c>
      <c r="K23" s="1400" t="s">
        <v>1358</v>
      </c>
      <c r="L23" s="300" t="s">
        <v>1359</v>
      </c>
      <c r="M23" s="327" t="e">
        <f ca="1">INDIRECT("'数据-取费表'!Al"&amp;$G$1)</f>
        <v>#N/A</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448" customFormat="1" ht="18" customHeight="1" thickBot="1">
      <c r="A24" s="1051" t="s">
        <v>1360</v>
      </c>
      <c r="B24" s="300" t="s">
        <v>1361</v>
      </c>
      <c r="C24" s="24">
        <f ca="1">ROUND(IF('数据-取费表'!B22&lt;=1,F21*F24*F23/2,F21*(POWER((1+F24),F23/2)-1)),4)</f>
        <v>1.4E-3</v>
      </c>
      <c r="D24" s="143" t="str">
        <f>IF(F23&lt;=1,"销售费用×利率×(建设周期÷2)","销售费用×((1+利率)^(建设周期÷2)-1)")</f>
        <v>销售费用×((1+利率)^(建设周期÷2)-1)</v>
      </c>
      <c r="E24" s="300" t="s">
        <v>1362</v>
      </c>
      <c r="F24" s="328">
        <f ca="1">'数据-取费表'!B40</f>
        <v>6.1500000000000006E-2</v>
      </c>
      <c r="G24" s="1447"/>
      <c r="H24" s="1151" t="s">
        <v>1298</v>
      </c>
      <c r="I24" s="1152" t="s">
        <v>1343</v>
      </c>
      <c r="J24" s="1153" t="e">
        <f ca="1">ROUND(J5*M24,1)</f>
        <v>#N/A</v>
      </c>
      <c r="K24" s="1154" t="s">
        <v>1363</v>
      </c>
      <c r="L24" s="1152" t="s">
        <v>1359</v>
      </c>
      <c r="M24" s="1148" t="e">
        <f ca="1">INDIRECT("'数据-取费表'!Am"&amp;$G$1)</f>
        <v>#N/A</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thickTop="1">
      <c r="A25" s="1051" t="s">
        <v>1364</v>
      </c>
      <c r="B25" s="300" t="s">
        <v>1365</v>
      </c>
      <c r="C25" s="24"/>
      <c r="D25" s="128" t="s">
        <v>1366</v>
      </c>
      <c r="E25" s="1413"/>
      <c r="F25" s="26"/>
      <c r="G25" s="1436"/>
      <c r="H25" s="1141" t="s">
        <v>999</v>
      </c>
      <c r="I25" s="1156" t="s">
        <v>1367</v>
      </c>
      <c r="J25" s="308" t="e">
        <f ca="1">J5-J16</f>
        <v>#N/A</v>
      </c>
      <c r="K25" s="1157" t="s">
        <v>1368</v>
      </c>
      <c r="L25" s="1158"/>
      <c r="M25" s="1159"/>
    </row>
    <row r="26" spans="1:37">
      <c r="A26" s="1051" t="s">
        <v>1002</v>
      </c>
      <c r="B26" s="300" t="s">
        <v>1369</v>
      </c>
      <c r="C26" s="24" t="e">
        <f ca="1">ROUND((C19+C20)*F26,0)</f>
        <v>#N/A</v>
      </c>
      <c r="D26" s="321" t="s">
        <v>1370</v>
      </c>
      <c r="E26" s="311" t="s">
        <v>1371</v>
      </c>
      <c r="F26" s="310" t="e">
        <f ca="1">INDIRECT("'数据-取费表'!q"&amp;$G$1)</f>
        <v>#N/A</v>
      </c>
      <c r="G26" s="1436"/>
      <c r="H26" s="297" t="s">
        <v>1000</v>
      </c>
      <c r="I26" s="298" t="s">
        <v>1372</v>
      </c>
      <c r="J26" s="299" t="e">
        <f ca="1">IF(J5&lt;&gt;0,ROUND(J25*(1-((1+M28)/(1+M26))^M27)/(M26-M28),0),0)</f>
        <v>#N/A</v>
      </c>
      <c r="K26" s="322" t="s">
        <v>1373</v>
      </c>
      <c r="L26" s="300" t="s">
        <v>1374</v>
      </c>
      <c r="M26" s="310" t="e">
        <f ca="1">INDIRECT("'数据-取费表'!I"&amp;$G$1)</f>
        <v>#N/A</v>
      </c>
    </row>
    <row r="27" spans="1:37" ht="18" customHeight="1">
      <c r="A27" s="1051" t="s">
        <v>1004</v>
      </c>
      <c r="B27" s="300" t="s">
        <v>1375</v>
      </c>
      <c r="C27" s="24" t="e">
        <f ca="1">ROUND(F21*F26,4)</f>
        <v>#N/A</v>
      </c>
      <c r="D27" s="321" t="s">
        <v>1376</v>
      </c>
      <c r="E27" s="318"/>
      <c r="F27" s="319"/>
      <c r="G27" s="1436"/>
      <c r="H27" s="302"/>
      <c r="I27" s="303"/>
      <c r="J27" s="304"/>
      <c r="K27" s="329" t="s">
        <v>1377</v>
      </c>
      <c r="L27" s="300" t="s">
        <v>1378</v>
      </c>
      <c r="M27" s="330" t="e">
        <f ca="1">INDIRECT("'数据-取费表'!ag"&amp;$G$1)</f>
        <v>#N/A</v>
      </c>
    </row>
    <row r="28" spans="1:37" s="1448" customFormat="1" ht="18" customHeight="1">
      <c r="A28" s="1051" t="s">
        <v>1005</v>
      </c>
      <c r="B28" s="300" t="s">
        <v>1379</v>
      </c>
      <c r="C28" s="24">
        <f>ROUND(F28/(1+'数据-取费表'!C42),4)</f>
        <v>5.5E-2</v>
      </c>
      <c r="D28" s="321" t="s">
        <v>1380</v>
      </c>
      <c r="E28" s="300" t="s">
        <v>1326</v>
      </c>
      <c r="F28" s="320">
        <f>'数据-取费表'!B41</f>
        <v>5.5000000000000007E-2</v>
      </c>
      <c r="G28" s="1447"/>
      <c r="H28" s="306"/>
      <c r="I28" s="307"/>
      <c r="J28" s="308"/>
      <c r="K28" s="325"/>
      <c r="L28" s="300" t="s">
        <v>1381</v>
      </c>
      <c r="M28" s="310" t="e">
        <f ca="1">INDIRECT("'数据-取费表'!aa"&amp;$G$1)</f>
        <v>#N/A</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448" customFormat="1" ht="18" customHeight="1" thickBot="1">
      <c r="A29" s="1151" t="s">
        <v>1006</v>
      </c>
      <c r="B29" s="1152" t="s">
        <v>1382</v>
      </c>
      <c r="C29" s="1153" t="e">
        <f ca="1">ROUND((C19+C20+C23+C26)/(1-F21-C24-C27-C28),0)</f>
        <v>#N/A</v>
      </c>
      <c r="D29" s="1154"/>
      <c r="E29" s="1152"/>
      <c r="F29" s="1155"/>
      <c r="G29" s="1447"/>
      <c r="H29" s="331" t="s">
        <v>1001</v>
      </c>
      <c r="I29" s="332" t="s">
        <v>1383</v>
      </c>
      <c r="J29" s="333" t="e">
        <f ca="1">ROUND(J26/(1+F40)^F41,0)</f>
        <v>#N/A</v>
      </c>
      <c r="K29" s="334" t="s">
        <v>1384</v>
      </c>
      <c r="L29" s="335"/>
      <c r="M29" s="336" t="e">
        <f ca="1">INDIRECT("'数据-取费表'!k"&amp;$G$1)</f>
        <v>#N/A</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1141" t="s">
        <v>998</v>
      </c>
      <c r="B30" s="1142" t="s">
        <v>1328</v>
      </c>
      <c r="C30" s="308" t="e">
        <f ca="1">ROUND(C31+C36+C37+C38,0)</f>
        <v>#N/A</v>
      </c>
      <c r="D30" s="1149" t="s">
        <v>1329</v>
      </c>
      <c r="E30" s="1150"/>
      <c r="F30" s="1134"/>
      <c r="G30" s="1436"/>
      <c r="H30" s="2646"/>
      <c r="I30" s="1449"/>
      <c r="J30" s="1450"/>
      <c r="K30" s="126"/>
      <c r="L30" s="2647"/>
      <c r="M30" s="2648"/>
    </row>
    <row r="31" spans="1:37" ht="18" customHeight="1">
      <c r="A31" s="1051" t="s">
        <v>1003</v>
      </c>
      <c r="B31" s="300" t="s">
        <v>1333</v>
      </c>
      <c r="C31" s="2308" t="e">
        <f ca="1">ROUND(IF(AND(项目基本情况!B11="自然人",项目基本情况!B10="北京市"),C6*F31/(1+'数据-取费表'!C42),C32+C33+C34),0)</f>
        <v>#N/A</v>
      </c>
      <c r="D31" s="1401" t="s">
        <v>1334</v>
      </c>
      <c r="E31" s="1400" t="s">
        <v>1385</v>
      </c>
      <c r="F31" s="2307" t="str">
        <f>IF(项目基本情况!B11="企业","——",IF('数据-取费表'!B10="住宅",IF(F6*F7*F8/12/(1+'数据-取费表'!F30)&gt;100000,4%,2.5%),IF(F6*F7*F8/12/(1+'数据-取费表'!F30)&gt;100000,12%,7%)))</f>
        <v>——</v>
      </c>
      <c r="G31" s="1436"/>
      <c r="H31" s="2747" t="s">
        <v>2980</v>
      </c>
      <c r="I31" s="1449"/>
      <c r="J31" s="1450"/>
      <c r="K31" s="126"/>
      <c r="L31" s="2647"/>
      <c r="M31" s="2648"/>
    </row>
    <row r="32" spans="1:37" ht="18" customHeight="1">
      <c r="A32" s="1051" t="s">
        <v>1002</v>
      </c>
      <c r="B32" s="300" t="s">
        <v>1337</v>
      </c>
      <c r="C32" s="24" t="e">
        <f ca="1">IF(项目基本情况!B11="自然人","——",ROUND(C6*F32/(1+'数据-取费表'!C42),2))</f>
        <v>#N/A</v>
      </c>
      <c r="D32" s="1400" t="s">
        <v>1338</v>
      </c>
      <c r="E32" s="300" t="s">
        <v>1326</v>
      </c>
      <c r="F32" s="328">
        <f>'数据-取费表'!B41</f>
        <v>5.5000000000000007E-2</v>
      </c>
      <c r="G32" s="1436"/>
      <c r="H32" s="2646"/>
      <c r="I32" s="1449"/>
      <c r="J32" s="1450"/>
      <c r="K32" s="126"/>
      <c r="L32" s="2647"/>
      <c r="M32" s="2648"/>
    </row>
    <row r="33" spans="1:18" ht="18" customHeight="1">
      <c r="A33" s="1051" t="s">
        <v>1004</v>
      </c>
      <c r="B33" s="300" t="s">
        <v>1341</v>
      </c>
      <c r="C33" s="24" t="e">
        <f ca="1">IF(项目基本情况!B11="自然人","——",IF(D33="按租金收入计税",ROUND(C6*F33/(1+'数据-取费表'!C42),2),IF(D33="按房产原值计税",ROUND(C29*F33*0.7,2),INDIRECT("'数据-取费表'!Aj"&amp;$G$1))))</f>
        <v>#N/A</v>
      </c>
      <c r="D33" s="1422" t="s">
        <v>3155</v>
      </c>
      <c r="E33" s="300" t="s">
        <v>1326</v>
      </c>
      <c r="F33" s="320">
        <f>IF(D33="按票据","——",IF(D33="按租金收入计税",'数据-取费表'!B51,'数据-取费表'!B50))</f>
        <v>0.12</v>
      </c>
      <c r="G33" s="1436"/>
      <c r="H33" s="2649"/>
      <c r="I33" s="1449"/>
      <c r="J33" s="1450"/>
      <c r="K33" s="2650"/>
      <c r="L33" s="2649"/>
      <c r="M33" s="2649"/>
    </row>
    <row r="34" spans="1:18" ht="18" customHeight="1">
      <c r="A34" s="1131" t="s">
        <v>1294</v>
      </c>
      <c r="B34" s="152" t="s">
        <v>1345</v>
      </c>
      <c r="C34" s="25" t="e">
        <f ca="1">IF(项目基本情况!B11="自然人","——",ROUND(F34*F35/10000,2))</f>
        <v>#N/A</v>
      </c>
      <c r="D34" s="322" t="s">
        <v>1346</v>
      </c>
      <c r="E34" s="300" t="s">
        <v>1347</v>
      </c>
      <c r="F34" s="323">
        <f>'数据-取费表'!B52</f>
        <v>0</v>
      </c>
      <c r="G34" s="1436"/>
      <c r="H34" s="2646"/>
      <c r="I34" s="1449"/>
      <c r="J34" s="1450"/>
      <c r="K34" s="2651"/>
      <c r="L34" s="2652"/>
      <c r="M34" s="2652"/>
    </row>
    <row r="35" spans="1:18" ht="18" customHeight="1">
      <c r="A35" s="1165"/>
      <c r="B35" s="1163"/>
      <c r="C35" s="29"/>
      <c r="D35" s="325"/>
      <c r="E35" s="300" t="s">
        <v>1351</v>
      </c>
      <c r="F35" s="301" t="e">
        <f ca="1">INDIRECT("'数据-取费表'!r"&amp;$G$1)</f>
        <v>#N/A</v>
      </c>
      <c r="G35" s="1436"/>
      <c r="H35" s="2646"/>
      <c r="I35" s="1449"/>
      <c r="J35" s="1450"/>
      <c r="K35" s="2650"/>
      <c r="L35" s="2649"/>
      <c r="M35" s="2649"/>
    </row>
    <row r="36" spans="1:18" ht="18" customHeight="1">
      <c r="A36" s="1164" t="s">
        <v>1007</v>
      </c>
      <c r="B36" s="300" t="s">
        <v>1353</v>
      </c>
      <c r="C36" s="24" t="e">
        <f ca="1">ROUND(C29*F36,1)</f>
        <v>#N/A</v>
      </c>
      <c r="D36" s="1400" t="s">
        <v>1386</v>
      </c>
      <c r="E36" s="300" t="s">
        <v>1326</v>
      </c>
      <c r="F36" s="326" t="e">
        <f ca="1">INDIRECT("'数据-取费表'!Ak"&amp;$G$1)</f>
        <v>#N/A</v>
      </c>
      <c r="G36" s="1436"/>
      <c r="H36" s="2649"/>
      <c r="I36" s="1449"/>
      <c r="J36" s="1450"/>
      <c r="K36" s="2503"/>
      <c r="L36" s="2649"/>
      <c r="M36" s="2649"/>
    </row>
    <row r="37" spans="1:18" ht="18" customHeight="1">
      <c r="A37" s="1051" t="s">
        <v>1043</v>
      </c>
      <c r="B37" s="300" t="s">
        <v>1357</v>
      </c>
      <c r="C37" s="24" t="e">
        <f ca="1">ROUND(C13*F37,1)</f>
        <v>#N/A</v>
      </c>
      <c r="D37" s="1400" t="s">
        <v>1358</v>
      </c>
      <c r="E37" s="300" t="s">
        <v>1359</v>
      </c>
      <c r="F37" s="327" t="e">
        <f ca="1">INDIRECT("'数据-取费表'!Al"&amp;$G$1)</f>
        <v>#N/A</v>
      </c>
      <c r="G37" s="1436"/>
      <c r="H37" s="2649"/>
      <c r="I37" s="1449"/>
      <c r="J37" s="1450"/>
      <c r="K37" s="2503"/>
      <c r="L37" s="2649"/>
      <c r="M37" s="2649"/>
    </row>
    <row r="38" spans="1:18" ht="18" customHeight="1" thickBot="1">
      <c r="A38" s="1151" t="s">
        <v>1298</v>
      </c>
      <c r="B38" s="1152" t="s">
        <v>1343</v>
      </c>
      <c r="C38" s="1153" t="e">
        <f ca="1">ROUND(C5*F38,1)</f>
        <v>#N/A</v>
      </c>
      <c r="D38" s="1154" t="s">
        <v>1363</v>
      </c>
      <c r="E38" s="1152" t="s">
        <v>1359</v>
      </c>
      <c r="F38" s="1148" t="e">
        <f ca="1">INDIRECT("'数据-取费表'!Am"&amp;$G$1)</f>
        <v>#N/A</v>
      </c>
      <c r="G38" s="1436"/>
      <c r="H38" s="2649"/>
      <c r="I38" s="1449"/>
      <c r="J38" s="1450"/>
      <c r="K38" s="2647"/>
      <c r="L38" s="2649"/>
      <c r="M38" s="2649"/>
    </row>
    <row r="39" spans="1:18" ht="24.6" customHeight="1" thickTop="1">
      <c r="A39" s="1141" t="s">
        <v>999</v>
      </c>
      <c r="B39" s="1156" t="s">
        <v>1387</v>
      </c>
      <c r="C39" s="308" t="e">
        <f ca="1">C5-C30</f>
        <v>#N/A</v>
      </c>
      <c r="D39" s="1157" t="s">
        <v>1388</v>
      </c>
      <c r="E39" s="1158"/>
      <c r="F39" s="1159"/>
      <c r="G39" s="1436"/>
      <c r="H39" s="2649"/>
      <c r="I39" s="1449"/>
      <c r="J39" s="1450"/>
      <c r="K39" s="2647"/>
      <c r="L39" s="2649"/>
      <c r="M39" s="2649"/>
    </row>
    <row r="40" spans="1:18" ht="18" customHeight="1">
      <c r="A40" s="297" t="s">
        <v>1000</v>
      </c>
      <c r="B40" s="298" t="s">
        <v>1389</v>
      </c>
      <c r="C40" s="299" t="e">
        <f ca="1">ROUND(C39*(1-((1+F42)/(1+F40))^F41)/(F40-F42),0)</f>
        <v>#N/A</v>
      </c>
      <c r="D40" s="322" t="s">
        <v>1373</v>
      </c>
      <c r="E40" s="300" t="s">
        <v>1374</v>
      </c>
      <c r="F40" s="310" t="e">
        <f ca="1">INDIRECT("'数据-取费表'!I"&amp;$G$1)</f>
        <v>#N/A</v>
      </c>
      <c r="G40" s="1436"/>
      <c r="H40" s="1510"/>
      <c r="I40" s="1449"/>
      <c r="J40" s="1450"/>
      <c r="K40" s="2647"/>
      <c r="L40" s="1510"/>
      <c r="M40" s="1510"/>
    </row>
    <row r="41" spans="1:18" ht="18" customHeight="1">
      <c r="A41" s="302"/>
      <c r="B41" s="303"/>
      <c r="C41" s="304"/>
      <c r="D41" s="329" t="s">
        <v>1390</v>
      </c>
      <c r="E41" s="300" t="s">
        <v>1378</v>
      </c>
      <c r="F41" s="330" t="e">
        <f ca="1">IF(INDIRECT("'数据-取费表'!af"&amp;$G$1)=0,INDIRECT("'数据-取费表'!ae"&amp;$G$1),INDIRECT("'数据-取费表'!af"&amp;$G$1))</f>
        <v>#N/A</v>
      </c>
      <c r="G41" s="1436"/>
      <c r="H41" s="126"/>
      <c r="I41" s="1449"/>
      <c r="J41" s="1450"/>
      <c r="K41" s="2503"/>
      <c r="L41" s="126"/>
      <c r="M41" s="126"/>
    </row>
    <row r="42" spans="1:18" ht="18" customHeight="1">
      <c r="A42" s="306"/>
      <c r="B42" s="307"/>
      <c r="C42" s="308"/>
      <c r="D42" s="325"/>
      <c r="E42" s="300" t="s">
        <v>1381</v>
      </c>
      <c r="F42" s="310" t="e">
        <f ca="1">INDIRECT("'数据-取费表'!v"&amp;$G$1)</f>
        <v>#N/A</v>
      </c>
      <c r="G42" s="1436"/>
      <c r="H42" s="126"/>
      <c r="I42" s="1449"/>
      <c r="J42" s="1450"/>
      <c r="K42" s="2503"/>
      <c r="L42" s="126"/>
      <c r="M42" s="126"/>
    </row>
    <row r="43" spans="1:18" ht="18" customHeight="1" thickBot="1">
      <c r="A43" s="331" t="s">
        <v>1001</v>
      </c>
      <c r="B43" s="332" t="s">
        <v>1391</v>
      </c>
      <c r="C43" s="333" t="e">
        <f ca="1">ROUND(C40*10000/F43,0)</f>
        <v>#N/A</v>
      </c>
      <c r="D43" s="334" t="s">
        <v>1392</v>
      </c>
      <c r="E43" s="335" t="s">
        <v>1393</v>
      </c>
      <c r="F43" s="336" t="e">
        <f ca="1">INDIRECT("'数据-取费表'!k"&amp;$G$1)</f>
        <v>#N/A</v>
      </c>
      <c r="G43" s="1436"/>
      <c r="H43" s="126"/>
      <c r="I43" s="126"/>
      <c r="J43" s="126"/>
      <c r="K43" s="2503"/>
      <c r="L43" s="126"/>
      <c r="M43" s="126"/>
    </row>
    <row r="44" spans="1:18" s="1436" customFormat="1" ht="18" customHeight="1">
      <c r="A44" s="1451"/>
      <c r="B44" s="1451"/>
      <c r="C44" s="1452">
        <v>75980</v>
      </c>
      <c r="D44" s="1451"/>
      <c r="E44" s="1451"/>
      <c r="F44" s="1451"/>
      <c r="K44" s="1453"/>
    </row>
    <row r="45" spans="1:18" s="1436" customFormat="1" ht="18" customHeight="1" thickBot="1">
      <c r="A45" s="1451"/>
      <c r="B45" s="1451"/>
      <c r="C45" s="1452"/>
      <c r="D45" s="1451"/>
      <c r="E45" s="1451"/>
      <c r="F45" s="1451"/>
      <c r="J45" s="693"/>
      <c r="O45" s="2653" t="s">
        <v>1423</v>
      </c>
      <c r="P45" s="1510"/>
      <c r="Q45" s="1510"/>
      <c r="R45" s="1510"/>
    </row>
    <row r="46" spans="1:18" s="1436" customFormat="1" ht="13.5" thickBot="1">
      <c r="A46" s="1455" t="s">
        <v>1424</v>
      </c>
      <c r="C46" s="1456" t="e">
        <f ca="1">C68-C40</f>
        <v>#N/A</v>
      </c>
      <c r="D46" s="1457" t="str">
        <f>C2</f>
        <v>万元</v>
      </c>
      <c r="E46" s="1451"/>
      <c r="F46" s="1451"/>
      <c r="I46" s="1458" t="s">
        <v>1425</v>
      </c>
      <c r="J46" s="1459"/>
      <c r="K46" s="1460"/>
      <c r="L46" s="1461" t="e">
        <f ca="1">IF(M47="住宅",0,IF(L48&gt;J51,L60,J60))</f>
        <v>#N/A</v>
      </c>
      <c r="O46" s="1462" t="s">
        <v>1426</v>
      </c>
      <c r="P46" s="1463" t="s">
        <v>1427</v>
      </c>
      <c r="Q46" s="1464" t="s">
        <v>1428</v>
      </c>
      <c r="R46" s="1464" t="s">
        <v>1429</v>
      </c>
    </row>
    <row r="47" spans="1:18" s="1436" customFormat="1" ht="13.5" thickBot="1">
      <c r="A47" s="1015" t="s">
        <v>1301</v>
      </c>
      <c r="B47" s="1047" t="s">
        <v>1302</v>
      </c>
      <c r="C47" s="1179" t="s">
        <v>1303</v>
      </c>
      <c r="D47" s="1047" t="s">
        <v>1304</v>
      </c>
      <c r="E47" s="1119" t="s">
        <v>1305</v>
      </c>
      <c r="F47" s="1120"/>
      <c r="G47" s="689"/>
      <c r="I47" s="1465" t="s">
        <v>1430</v>
      </c>
      <c r="J47" s="1466" t="s">
        <v>3156</v>
      </c>
      <c r="K47" s="1467" t="s">
        <v>1431</v>
      </c>
      <c r="L47" s="1468" t="e">
        <f ca="1">INDIRECT("'数据-取费表'!d"&amp;$G$1)</f>
        <v>#N/A</v>
      </c>
      <c r="M47" s="1432" t="str">
        <f>IF(ISNUMBER(FIND("住宅",C1)),"住宅","非住宅")</f>
        <v>非住宅</v>
      </c>
      <c r="O47" s="1469" t="s">
        <v>1008</v>
      </c>
      <c r="P47" s="1470" t="s">
        <v>1432</v>
      </c>
      <c r="Q47" s="1471" t="e">
        <f ca="1">C40+J29</f>
        <v>#N/A</v>
      </c>
      <c r="R47" s="1471" t="s">
        <v>1433</v>
      </c>
    </row>
    <row r="48" spans="1:18" s="1436" customFormat="1" ht="28.5" thickBot="1">
      <c r="A48" s="1172" t="s">
        <v>1044</v>
      </c>
      <c r="B48" s="298" t="s">
        <v>1306</v>
      </c>
      <c r="C48" s="1412" t="e">
        <f ca="1">C49+C53+C55</f>
        <v>#N/A</v>
      </c>
      <c r="D48" s="1174"/>
      <c r="E48" s="1175"/>
      <c r="F48" s="1031"/>
      <c r="G48" s="689"/>
      <c r="H48" s="690"/>
      <c r="I48" s="1472" t="s">
        <v>1434</v>
      </c>
      <c r="J48" s="1473" t="s">
        <v>3157</v>
      </c>
      <c r="K48" s="1474" t="s">
        <v>1435</v>
      </c>
      <c r="L48" s="1475" t="e">
        <f ca="1">INDIRECT("'数据-取费表'!f"&amp;$G$1)</f>
        <v>#N/A</v>
      </c>
      <c r="O48" s="1469" t="s">
        <v>1009</v>
      </c>
      <c r="P48" s="1470" t="s">
        <v>1436</v>
      </c>
      <c r="Q48" s="1471" t="e">
        <f ca="1">J60</f>
        <v>#N/A</v>
      </c>
      <c r="R48" s="1471" t="s">
        <v>1437</v>
      </c>
    </row>
    <row r="49" spans="1:18" s="1436" customFormat="1" ht="13.5" thickBot="1">
      <c r="A49" s="1044" t="s">
        <v>1045</v>
      </c>
      <c r="B49" s="1423" t="s">
        <v>1394</v>
      </c>
      <c r="C49" s="1176" t="e">
        <f ca="1">ROUND(F49*F51*F50*(1-F52)/10000,0)</f>
        <v>#N/A</v>
      </c>
      <c r="D49" s="1116" t="s">
        <v>2778</v>
      </c>
      <c r="E49" s="1424" t="s">
        <v>1395</v>
      </c>
      <c r="F49" s="1121">
        <f>'数据-取费表'!X25</f>
        <v>9.9</v>
      </c>
      <c r="H49" s="690"/>
      <c r="I49" s="1472" t="s">
        <v>1438</v>
      </c>
      <c r="J49" s="1476"/>
      <c r="K49" s="1474" t="s">
        <v>1439</v>
      </c>
      <c r="L49" s="1477"/>
      <c r="O49" s="1478" t="s">
        <v>1010</v>
      </c>
      <c r="P49" s="1470" t="s">
        <v>1440</v>
      </c>
      <c r="Q49" s="1471" t="e">
        <f ca="1">C29</f>
        <v>#N/A</v>
      </c>
      <c r="R49" s="1471" t="s">
        <v>1433</v>
      </c>
    </row>
    <row r="50" spans="1:18" s="1436" customFormat="1" ht="13.5" thickBot="1">
      <c r="A50" s="1045"/>
      <c r="B50" s="1048"/>
      <c r="C50" s="1180"/>
      <c r="D50" s="1022"/>
      <c r="E50" s="1117" t="s">
        <v>1311</v>
      </c>
      <c r="F50" s="1118" t="e">
        <f ca="1">F7</f>
        <v>#N/A</v>
      </c>
      <c r="H50" s="690"/>
      <c r="I50" s="1472" t="s">
        <v>1441</v>
      </c>
      <c r="J50" s="1479">
        <f>SUMPRODUCT((I63:I65=J47)*(J62:L62=J48)*(J63:L65))</f>
        <v>60</v>
      </c>
      <c r="K50" s="1474" t="s">
        <v>1442</v>
      </c>
      <c r="L50" s="1477"/>
      <c r="M50" s="1480"/>
      <c r="O50" s="1478" t="s">
        <v>1011</v>
      </c>
      <c r="P50" s="1470" t="s">
        <v>1443</v>
      </c>
      <c r="Q50" s="1481" t="e">
        <f ca="1">J58</f>
        <v>#N/A</v>
      </c>
      <c r="R50" s="1471"/>
    </row>
    <row r="51" spans="1:18" s="1436" customFormat="1" ht="13.5" thickBot="1">
      <c r="A51" s="1046"/>
      <c r="B51" s="1048"/>
      <c r="C51" s="1049"/>
      <c r="D51" s="1022"/>
      <c r="E51" s="1050" t="s">
        <v>1312</v>
      </c>
      <c r="F51" s="301" t="e">
        <f ca="1">F8</f>
        <v>#N/A</v>
      </c>
      <c r="I51" s="1482" t="s">
        <v>1444</v>
      </c>
      <c r="J51" s="1475">
        <f>IF(J49="",J50,J49+J50-YEAR('数据-取费表'!B2))</f>
        <v>60</v>
      </c>
      <c r="K51" s="1483" t="s">
        <v>1445</v>
      </c>
      <c r="L51" s="1484" t="e">
        <f ca="1">ROUND(-PV(INDIRECT("'数据-取费表'!h"&amp;$G$1),J51,(C39-C13*C76),0),0)</f>
        <v>#N/A</v>
      </c>
      <c r="M51" s="1485"/>
      <c r="O51" s="1478" t="s">
        <v>1012</v>
      </c>
      <c r="P51" s="1470" t="s">
        <v>1446</v>
      </c>
      <c r="Q51" s="1481">
        <f>J52</f>
        <v>0</v>
      </c>
      <c r="R51" s="1471"/>
    </row>
    <row r="52" spans="1:18" s="1436" customFormat="1" ht="13.5" thickBot="1">
      <c r="A52" s="1046"/>
      <c r="B52" s="1048"/>
      <c r="C52" s="1049"/>
      <c r="D52" s="1022"/>
      <c r="E52" s="1050" t="s">
        <v>1313</v>
      </c>
      <c r="F52" s="1115">
        <f>'数据-取费表'!AB6</f>
        <v>0.05</v>
      </c>
      <c r="I52" s="1486" t="s">
        <v>1447</v>
      </c>
      <c r="J52" s="1487"/>
      <c r="K52" s="1486" t="s">
        <v>1448</v>
      </c>
      <c r="L52" s="1487"/>
      <c r="O52" s="1478" t="s">
        <v>1013</v>
      </c>
      <c r="P52" s="1470" t="s">
        <v>1449</v>
      </c>
      <c r="Q52" s="1471" t="e">
        <f ca="1">J53</f>
        <v>#N/A</v>
      </c>
      <c r="R52" s="1471" t="s">
        <v>1450</v>
      </c>
    </row>
    <row r="53" spans="1:18" s="1436" customFormat="1" ht="24.75" thickBot="1">
      <c r="A53" s="1206" t="s">
        <v>1046</v>
      </c>
      <c r="B53" s="1425" t="s">
        <v>1314</v>
      </c>
      <c r="C53" s="314" t="e">
        <f ca="1">ROUND(IF(F53="押一",C49/12*F11,IF(F53="押二",C49/12*2*F11,IF(F53="押三",C49/12*3*F11,C54*F11))),0)</f>
        <v>#N/A</v>
      </c>
      <c r="D53" s="155" t="s">
        <v>2784</v>
      </c>
      <c r="E53" s="311" t="s">
        <v>1315</v>
      </c>
      <c r="F53" s="1178" t="s">
        <v>3154</v>
      </c>
      <c r="I53" s="1488" t="s">
        <v>1451</v>
      </c>
      <c r="J53" s="2174" t="e">
        <f ca="1">IF(M47="住宅",IF(D1="——",MAX(J51,L48),MAX(J51,L48-'数据-取费表'!B24)),IF(D1="——",MIN(J51,L48),MIN(J51,L48-'数据-取费表'!B24)))</f>
        <v>#N/A</v>
      </c>
      <c r="K53" s="3400" t="s">
        <v>1452</v>
      </c>
      <c r="L53" s="3401"/>
      <c r="O53" s="1469" t="s">
        <v>1014</v>
      </c>
      <c r="P53" s="1470" t="s">
        <v>1453</v>
      </c>
      <c r="Q53" s="1471" t="e">
        <f ca="1">Q47+Q48</f>
        <v>#N/A</v>
      </c>
      <c r="R53" s="1471" t="s">
        <v>1015</v>
      </c>
    </row>
    <row r="54" spans="1:18" s="1436" customFormat="1" ht="13.5" thickBot="1">
      <c r="A54" s="1207"/>
      <c r="B54" s="1419" t="s">
        <v>1293</v>
      </c>
      <c r="C54" s="1028"/>
      <c r="D54" s="155"/>
      <c r="E54" s="1426"/>
      <c r="F54" s="1489"/>
      <c r="I54" s="14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91"/>
      <c r="K54" s="1491"/>
      <c r="L54" s="1491"/>
      <c r="O54" s="1454" t="s">
        <v>1454</v>
      </c>
      <c r="P54" s="1433"/>
      <c r="Q54" s="1433"/>
      <c r="R54" s="1433"/>
    </row>
    <row r="55" spans="1:18" s="1436" customFormat="1" ht="13.5" thickBot="1">
      <c r="A55" s="1145" t="s">
        <v>1043</v>
      </c>
      <c r="B55" s="1421" t="s">
        <v>1317</v>
      </c>
      <c r="C55" s="1146"/>
      <c r="D55" s="155"/>
      <c r="E55" s="1426"/>
      <c r="F55" s="1489"/>
      <c r="I55" s="1492" t="s">
        <v>1455</v>
      </c>
      <c r="J55" s="1493" t="e">
        <f ca="1">ROUND(IF(J47="钢混",J57/J50,1-(1-2%)*(J50-J57)/J50),3)</f>
        <v>#N/A</v>
      </c>
      <c r="K55" s="1494" t="s">
        <v>1456</v>
      </c>
      <c r="L55" s="1495" t="s">
        <v>1457</v>
      </c>
      <c r="O55" s="1462" t="s">
        <v>1426</v>
      </c>
      <c r="P55" s="1463" t="s">
        <v>1427</v>
      </c>
      <c r="Q55" s="1464" t="s">
        <v>1428</v>
      </c>
      <c r="R55" s="1464" t="s">
        <v>1429</v>
      </c>
    </row>
    <row r="56" spans="1:18" s="1436" customFormat="1" ht="25.5" thickTop="1" thickBot="1">
      <c r="A56" s="1026">
        <v>2</v>
      </c>
      <c r="B56" s="1027" t="s">
        <v>1318</v>
      </c>
      <c r="C56" s="230" t="e">
        <f ca="1">C13</f>
        <v>#N/A</v>
      </c>
      <c r="D56" s="1496"/>
      <c r="E56" s="1497"/>
      <c r="F56" s="1489"/>
      <c r="I56" s="1498" t="s">
        <v>1458</v>
      </c>
      <c r="J56" s="1499" t="s">
        <v>3117</v>
      </c>
      <c r="K56" s="1472" t="s">
        <v>1459</v>
      </c>
      <c r="L56" s="1475" t="e">
        <f ca="1">IF(L48&lt;J51,"——",L48-J53)</f>
        <v>#N/A</v>
      </c>
      <c r="O56" s="1469" t="s">
        <v>1008</v>
      </c>
      <c r="P56" s="1470" t="s">
        <v>1432</v>
      </c>
      <c r="Q56" s="1471" t="e">
        <f ca="1">C40+J29</f>
        <v>#N/A</v>
      </c>
      <c r="R56" s="1471" t="s">
        <v>1433</v>
      </c>
    </row>
    <row r="57" spans="1:18" s="1436" customFormat="1" ht="24.75" thickBot="1">
      <c r="A57" s="1500"/>
      <c r="B57" s="1019" t="s">
        <v>1382</v>
      </c>
      <c r="C57" s="236" t="e">
        <f ca="1">C29</f>
        <v>#N/A</v>
      </c>
      <c r="D57" s="1501"/>
      <c r="E57" s="1502"/>
      <c r="F57" s="1503"/>
      <c r="I57" s="1504" t="s">
        <v>1460</v>
      </c>
      <c r="J57" s="1505" t="e">
        <f ca="1">IF(OR(M47="住宅",J51&lt;L48,J56="是"),"——",J51-L48)</f>
        <v>#N/A</v>
      </c>
      <c r="K57" s="1472" t="s">
        <v>1461</v>
      </c>
      <c r="L57" s="1475" t="e">
        <f ca="1">IF(L48&lt;J51,"——",IF(L55="比较法",L49,IF(L55="基准地价",L50,L51)))</f>
        <v>#N/A</v>
      </c>
      <c r="O57" s="1469" t="s">
        <v>1009</v>
      </c>
      <c r="P57" s="1470" t="s">
        <v>1462</v>
      </c>
      <c r="Q57" s="1471" t="e">
        <f ca="1">L60</f>
        <v>#N/A</v>
      </c>
      <c r="R57" s="1471" t="s">
        <v>1463</v>
      </c>
    </row>
    <row r="58" spans="1:18" s="1436" customFormat="1" ht="24.75" thickBot="1">
      <c r="A58" s="313" t="s">
        <v>998</v>
      </c>
      <c r="B58" s="1027" t="s">
        <v>1328</v>
      </c>
      <c r="C58" s="314" t="e">
        <f ca="1">ROUND(C59+C64+C65+C66,0)</f>
        <v>#N/A</v>
      </c>
      <c r="D58" s="1029" t="s">
        <v>1329</v>
      </c>
      <c r="E58" s="1030"/>
      <c r="F58" s="1031"/>
      <c r="I58" s="1504" t="s">
        <v>1464</v>
      </c>
      <c r="J58" s="1506" t="e">
        <f ca="1">IF(J55&lt;0.4,0.4,J55)</f>
        <v>#N/A</v>
      </c>
      <c r="K58" s="1483" t="s">
        <v>1465</v>
      </c>
      <c r="L58" s="1475" t="e">
        <f ca="1">ROUND(POWER(1+L52,L47-L48)*(POWER(1+L52,L48)-1)/(POWER(1+L52,L47)-1),4)</f>
        <v>#N/A</v>
      </c>
      <c r="O58" s="1478" t="s">
        <v>1010</v>
      </c>
      <c r="P58" s="1470" t="s">
        <v>1466</v>
      </c>
      <c r="Q58" s="1471">
        <f>IF(L55="比较法",L49,IF(L55="基准地价",L50,0))</f>
        <v>0</v>
      </c>
      <c r="R58" s="1471" t="s">
        <v>1433</v>
      </c>
    </row>
    <row r="59" spans="1:18" s="1436" customFormat="1" ht="24.75" thickBot="1">
      <c r="A59" s="1051" t="s">
        <v>1003</v>
      </c>
      <c r="B59" s="1019" t="s">
        <v>1333</v>
      </c>
      <c r="C59" s="2308" t="e">
        <f ca="1">ROUND(IF(AND(项目基本情况!B11="自然人",项目基本情况!B10="北京市"),C49*F59/(1+'数据-取费表'!C42),C60+C61+C62),0)</f>
        <v>#N/A</v>
      </c>
      <c r="D59" s="1032" t="s">
        <v>1334</v>
      </c>
      <c r="E59" s="1033" t="s">
        <v>1335</v>
      </c>
      <c r="F59" s="2307" t="str">
        <f>IF(项目基本情况!B11="企业","——",IF('数据-取费表'!B10="住宅",IF(F49*F50*F51/12/(1+'数据-取费表'!F30)&gt;100000,4%,2.5%),IF(F49*F50*F51/12/(1+'数据-取费表'!F30)&gt;100000,12%,7%)))</f>
        <v>——</v>
      </c>
      <c r="I59" s="1504" t="s">
        <v>1467</v>
      </c>
      <c r="J59" s="1505" t="e">
        <f ca="1">IF(OR(M47="住宅",J51&lt;L48,J56="是"),"——",ROUND(C29*J58,0))</f>
        <v>#N/A</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#N/A</v>
      </c>
      <c r="M59" s="1432" t="e">
        <f ca="1">ROUND(POWER(1+L52,L47-(J51+'数据-取费表'!B24))*(POWER(1+L52,(J51+'数据-取费表'!B24))-1)/(POWER(1+L52,L47)-1),4)</f>
        <v>#N/A</v>
      </c>
      <c r="N59" s="1432" t="e">
        <f ca="1">ROUND(POWER(1+L52,L47-(J51+'数据-取费表'!B20))*(POWER(1+L52,(J51+'数据-取费表'!B20))-1)/(POWER(1+L52,L47)-1),4)</f>
        <v>#N/A</v>
      </c>
      <c r="O59" s="1478" t="s">
        <v>1011</v>
      </c>
      <c r="P59" s="1470" t="s">
        <v>1468</v>
      </c>
      <c r="Q59" s="1481">
        <f>L52</f>
        <v>0</v>
      </c>
      <c r="R59" s="1471"/>
    </row>
    <row r="60" spans="1:18" s="1436" customFormat="1" ht="16.5" thickBot="1">
      <c r="A60" s="1051" t="s">
        <v>1002</v>
      </c>
      <c r="B60" s="1019" t="s">
        <v>1337</v>
      </c>
      <c r="C60" s="24" t="e">
        <f ca="1">IF(项目基本情况!B11="自然人","——",ROUND(C48*F60/(1+'数据-取费表'!C42),2))</f>
        <v>#N/A</v>
      </c>
      <c r="D60" s="1033" t="s">
        <v>1338</v>
      </c>
      <c r="E60" s="1019" t="s">
        <v>1326</v>
      </c>
      <c r="F60" s="328">
        <f t="shared" ref="F60:F66" si="0">F32</f>
        <v>5.5000000000000007E-2</v>
      </c>
      <c r="I60" s="1507" t="s">
        <v>1469</v>
      </c>
      <c r="J60" s="1508" t="e">
        <f ca="1">IF(OR(M47="住宅",J51&lt;L48,J56="是"),"0",ROUND(J59/(1+J52)^J53,0))</f>
        <v>#N/A</v>
      </c>
      <c r="K60" s="1509" t="s">
        <v>1470</v>
      </c>
      <c r="L60" s="1508" t="e">
        <f ca="1">IF(OR(M47="住宅",L48&lt;J51),0,ROUND(L57*(L58/L59-1),0))</f>
        <v>#N/A</v>
      </c>
      <c r="O60" s="1478" t="s">
        <v>1012</v>
      </c>
      <c r="P60" s="1470" t="s">
        <v>1471</v>
      </c>
      <c r="Q60" s="1471" t="e">
        <f ca="1">L58</f>
        <v>#N/A</v>
      </c>
      <c r="R60" s="1471" t="s">
        <v>1472</v>
      </c>
    </row>
    <row r="61" spans="1:18" s="1436" customFormat="1" ht="13.5" thickBot="1">
      <c r="A61" s="1051" t="s">
        <v>1396</v>
      </c>
      <c r="B61" s="1019" t="s">
        <v>1397</v>
      </c>
      <c r="C61" s="24" t="e">
        <f ca="1">IF(项目基本情况!B11="自然人","——",IF(D61="按租金收入计税",ROUND(C49*F61/(1+'数据-取费表'!C42),2),IF(D61="按房产原值计税",ROUND(C57*F61*0.7,2),INDIRECT("'数据-取费表'!Aj"&amp;$G$1))))</f>
        <v>#N/A</v>
      </c>
      <c r="D61" s="1422" t="s">
        <v>3155</v>
      </c>
      <c r="E61" s="1019" t="s">
        <v>1398</v>
      </c>
      <c r="F61" s="320">
        <f t="shared" si="0"/>
        <v>0.12</v>
      </c>
      <c r="I61" s="1510"/>
      <c r="J61" s="1510"/>
      <c r="K61" s="1510"/>
      <c r="L61" s="1510"/>
      <c r="O61" s="1478" t="s">
        <v>1013</v>
      </c>
      <c r="P61" s="1470" t="str">
        <f>K59</f>
        <v>建筑物剩余耐用年限下的土地年期修正系数Kn</v>
      </c>
      <c r="Q61" s="1471" t="e">
        <f ca="1">L59</f>
        <v>#N/A</v>
      </c>
      <c r="R61" s="1471" t="s">
        <v>1473</v>
      </c>
    </row>
    <row r="62" spans="1:18" s="1436" customFormat="1" ht="13.5" thickBot="1">
      <c r="A62" s="1051" t="s">
        <v>1399</v>
      </c>
      <c r="B62" s="1018" t="s">
        <v>1400</v>
      </c>
      <c r="C62" s="25" t="e">
        <f ca="1">IF(项目基本情况!B11="自然人","——",ROUND(F62*F63/10000,2))</f>
        <v>#N/A</v>
      </c>
      <c r="D62" s="1034" t="s">
        <v>1401</v>
      </c>
      <c r="E62" s="1019" t="s">
        <v>1402</v>
      </c>
      <c r="F62" s="323">
        <f t="shared" si="0"/>
        <v>0</v>
      </c>
      <c r="I62" s="1511" t="s">
        <v>1474</v>
      </c>
      <c r="J62" s="618" t="s">
        <v>1475</v>
      </c>
      <c r="K62" s="618" t="s">
        <v>1476</v>
      </c>
      <c r="L62" s="618" t="s">
        <v>1477</v>
      </c>
      <c r="M62" s="1512" t="s">
        <v>1478</v>
      </c>
      <c r="O62" s="1469" t="s">
        <v>1014</v>
      </c>
      <c r="P62" s="1470" t="s">
        <v>1479</v>
      </c>
      <c r="Q62" s="1471" t="e">
        <f ca="1">Q56+Q57</f>
        <v>#N/A</v>
      </c>
      <c r="R62" s="1471" t="s">
        <v>1015</v>
      </c>
    </row>
    <row r="63" spans="1:18" s="1436" customFormat="1" ht="13.5" thickBot="1">
      <c r="A63" s="324"/>
      <c r="B63" s="1025"/>
      <c r="C63" s="29"/>
      <c r="D63" s="1035"/>
      <c r="E63" s="1019" t="s">
        <v>1403</v>
      </c>
      <c r="F63" s="301" t="e">
        <f t="shared" ca="1" si="0"/>
        <v>#N/A</v>
      </c>
      <c r="I63" s="1511" t="s">
        <v>1480</v>
      </c>
      <c r="J63" s="618">
        <v>70</v>
      </c>
      <c r="K63" s="618">
        <v>50</v>
      </c>
      <c r="L63" s="618">
        <v>80</v>
      </c>
      <c r="M63" s="1513">
        <v>0.02</v>
      </c>
      <c r="O63" s="1454" t="s">
        <v>1481</v>
      </c>
      <c r="P63" s="1433"/>
      <c r="Q63" s="1433"/>
      <c r="R63" s="1433"/>
    </row>
    <row r="64" spans="1:18" s="1436" customFormat="1" ht="13.5" thickBot="1">
      <c r="A64" s="1051" t="s">
        <v>1404</v>
      </c>
      <c r="B64" s="1019" t="s">
        <v>1405</v>
      </c>
      <c r="C64" s="24" t="e">
        <f ca="1">ROUND(C57*F64,1)</f>
        <v>#N/A</v>
      </c>
      <c r="D64" s="1033" t="s">
        <v>1406</v>
      </c>
      <c r="E64" s="1019" t="s">
        <v>1398</v>
      </c>
      <c r="F64" s="326" t="e">
        <f t="shared" ca="1" si="0"/>
        <v>#N/A</v>
      </c>
      <c r="I64" s="1511" t="s">
        <v>1482</v>
      </c>
      <c r="J64" s="618">
        <v>50</v>
      </c>
      <c r="K64" s="618">
        <v>35</v>
      </c>
      <c r="L64" s="618">
        <v>60</v>
      </c>
      <c r="M64" s="1512">
        <v>0</v>
      </c>
      <c r="O64" s="1462" t="s">
        <v>1426</v>
      </c>
      <c r="P64" s="1463" t="s">
        <v>1427</v>
      </c>
      <c r="Q64" s="1464" t="s">
        <v>1428</v>
      </c>
      <c r="R64" s="1464" t="s">
        <v>1429</v>
      </c>
    </row>
    <row r="65" spans="1:18" s="1436" customFormat="1" ht="13.5" thickBot="1">
      <c r="A65" s="1051" t="s">
        <v>1407</v>
      </c>
      <c r="B65" s="1019" t="s">
        <v>1357</v>
      </c>
      <c r="C65" s="24" t="e">
        <f ca="1">ROUND(C56*F65,1)</f>
        <v>#N/A</v>
      </c>
      <c r="D65" s="1033" t="s">
        <v>1358</v>
      </c>
      <c r="E65" s="1019" t="s">
        <v>1359</v>
      </c>
      <c r="F65" s="327" t="e">
        <f t="shared" ca="1" si="0"/>
        <v>#N/A</v>
      </c>
      <c r="I65" s="1511" t="s">
        <v>1483</v>
      </c>
      <c r="J65" s="618">
        <v>40</v>
      </c>
      <c r="K65" s="618">
        <v>30</v>
      </c>
      <c r="L65" s="618">
        <v>50</v>
      </c>
      <c r="M65" s="1513">
        <v>0.02</v>
      </c>
      <c r="O65" s="1469" t="s">
        <v>1008</v>
      </c>
      <c r="P65" s="1470" t="s">
        <v>1484</v>
      </c>
      <c r="Q65" s="1471" t="e">
        <f ca="1">C40+J29</f>
        <v>#N/A</v>
      </c>
      <c r="R65" s="1471" t="s">
        <v>1433</v>
      </c>
    </row>
    <row r="66" spans="1:18" s="1436" customFormat="1" ht="16.5" thickBot="1">
      <c r="A66" s="1051" t="s">
        <v>1408</v>
      </c>
      <c r="B66" s="1019" t="s">
        <v>1343</v>
      </c>
      <c r="C66" s="24" t="e">
        <f ca="1">ROUND(C48*F66,1)</f>
        <v>#N/A</v>
      </c>
      <c r="D66" s="1033" t="s">
        <v>1409</v>
      </c>
      <c r="E66" s="1019" t="s">
        <v>1326</v>
      </c>
      <c r="F66" s="310" t="e">
        <f t="shared" ca="1" si="0"/>
        <v>#N/A</v>
      </c>
      <c r="O66" s="1469" t="s">
        <v>1009</v>
      </c>
      <c r="P66" s="1470" t="s">
        <v>1462</v>
      </c>
      <c r="Q66" s="1471" t="e">
        <f ca="1">L60</f>
        <v>#N/A</v>
      </c>
      <c r="R66" s="1471" t="s">
        <v>1485</v>
      </c>
    </row>
    <row r="67" spans="1:18" s="1436" customFormat="1" ht="16.5" thickBot="1">
      <c r="A67" s="1026" t="s">
        <v>999</v>
      </c>
      <c r="B67" s="1036" t="s">
        <v>1367</v>
      </c>
      <c r="C67" s="314" t="e">
        <f ca="1">C48-C58</f>
        <v>#N/A</v>
      </c>
      <c r="D67" s="1032" t="s">
        <v>1368</v>
      </c>
      <c r="E67" s="1037"/>
      <c r="F67" s="1038"/>
      <c r="O67" s="1478" t="s">
        <v>1010</v>
      </c>
      <c r="P67" s="1470" t="s">
        <v>1466</v>
      </c>
      <c r="Q67" s="1514" t="e">
        <f ca="1">L51</f>
        <v>#N/A</v>
      </c>
      <c r="R67" s="1471" t="s">
        <v>1486</v>
      </c>
    </row>
    <row r="68" spans="1:18" s="1436" customFormat="1" ht="16.5" thickBot="1">
      <c r="A68" s="1016" t="s">
        <v>1000</v>
      </c>
      <c r="B68" s="1017" t="s">
        <v>1389</v>
      </c>
      <c r="C68" s="299" t="e">
        <f ca="1">ROUND(C67*(1-((1+F70)/(1+F68))^F69)/(F68-F70),0)</f>
        <v>#N/A</v>
      </c>
      <c r="D68" s="1034" t="s">
        <v>1373</v>
      </c>
      <c r="E68" s="1019" t="s">
        <v>1374</v>
      </c>
      <c r="F68" s="310" t="e">
        <f ca="1">F40</f>
        <v>#N/A</v>
      </c>
      <c r="O68" s="1478" t="s">
        <v>1011</v>
      </c>
      <c r="P68" s="1515" t="s">
        <v>1487</v>
      </c>
      <c r="Q68" s="1471" t="e">
        <f ca="1">ROUND(Q69-Q70*Q71,0)</f>
        <v>#N/A</v>
      </c>
      <c r="R68" s="1471" t="s">
        <v>1019</v>
      </c>
    </row>
    <row r="69" spans="1:18" s="1436" customFormat="1" ht="13.5" thickBot="1">
      <c r="A69" s="1020"/>
      <c r="B69" s="1021"/>
      <c r="C69" s="304"/>
      <c r="D69" s="1039" t="s">
        <v>1377</v>
      </c>
      <c r="E69" s="1019" t="s">
        <v>1378</v>
      </c>
      <c r="F69" s="330" t="e">
        <f ca="1">F41</f>
        <v>#N/A</v>
      </c>
      <c r="O69" s="1478" t="s">
        <v>1016</v>
      </c>
      <c r="P69" s="1515" t="s">
        <v>1488</v>
      </c>
      <c r="Q69" s="1471" t="e">
        <f ca="1">C39</f>
        <v>#N/A</v>
      </c>
      <c r="R69" s="1471" t="s">
        <v>1433</v>
      </c>
    </row>
    <row r="70" spans="1:18" s="1436" customFormat="1" ht="13.5" thickBot="1">
      <c r="A70" s="1023"/>
      <c r="B70" s="1024"/>
      <c r="C70" s="308"/>
      <c r="D70" s="1035"/>
      <c r="E70" s="1019" t="s">
        <v>1381</v>
      </c>
      <c r="F70" s="1115">
        <f>'数据-取费表'!AA6</f>
        <v>3.5000000000000003E-2</v>
      </c>
      <c r="O70" s="1478" t="s">
        <v>1017</v>
      </c>
      <c r="P70" s="1515" t="s">
        <v>1489</v>
      </c>
      <c r="Q70" s="1471" t="e">
        <f ca="1">C13</f>
        <v>#N/A</v>
      </c>
      <c r="R70" s="1471" t="s">
        <v>1433</v>
      </c>
    </row>
    <row r="71" spans="1:18" s="1436" customFormat="1" ht="13.5" thickBot="1">
      <c r="A71" s="1040" t="s">
        <v>1001</v>
      </c>
      <c r="B71" s="1041" t="s">
        <v>1391</v>
      </c>
      <c r="C71" s="333" t="e">
        <f ca="1">ROUND(C68*10000/F71,0)</f>
        <v>#N/A</v>
      </c>
      <c r="D71" s="1042" t="s">
        <v>1392</v>
      </c>
      <c r="E71" s="1043" t="s">
        <v>1393</v>
      </c>
      <c r="F71" s="336" t="e">
        <f ca="1">F43</f>
        <v>#N/A</v>
      </c>
      <c r="O71" s="1478" t="s">
        <v>1018</v>
      </c>
      <c r="P71" s="1515" t="s">
        <v>1490</v>
      </c>
      <c r="Q71" s="1481" t="e">
        <f ca="1">C76</f>
        <v>#N/A</v>
      </c>
      <c r="R71" s="1471"/>
    </row>
    <row r="72" spans="1:18" s="1436" customFormat="1" ht="13.5" thickBot="1">
      <c r="B72" s="693"/>
      <c r="C72" s="693"/>
      <c r="O72" s="1478" t="s">
        <v>1012</v>
      </c>
      <c r="P72" s="1470" t="s">
        <v>1468</v>
      </c>
      <c r="Q72" s="1481">
        <f>L52</f>
        <v>0</v>
      </c>
      <c r="R72" s="1471"/>
    </row>
    <row r="73" spans="1:18" ht="16.5" thickBot="1">
      <c r="A73" s="1436"/>
      <c r="B73" s="693"/>
      <c r="C73" s="693"/>
      <c r="D73" s="1436"/>
      <c r="E73" s="1436"/>
      <c r="F73" s="1436"/>
      <c r="O73" s="1478" t="s">
        <v>1013</v>
      </c>
      <c r="P73" s="1470" t="s">
        <v>1471</v>
      </c>
      <c r="Q73" s="1471" t="e">
        <f ca="1">L58</f>
        <v>#N/A</v>
      </c>
      <c r="R73" s="1471" t="s">
        <v>1472</v>
      </c>
    </row>
    <row r="74" spans="1:18" ht="13.5" thickBot="1">
      <c r="A74" s="1436"/>
      <c r="B74" s="271" t="s">
        <v>1491</v>
      </c>
      <c r="C74" s="1517"/>
      <c r="D74" s="1436"/>
      <c r="E74" s="1436"/>
      <c r="F74" s="1436"/>
      <c r="O74" s="1478" t="s">
        <v>1020</v>
      </c>
      <c r="P74" s="1470" t="str">
        <f>K59</f>
        <v>建筑物剩余耐用年限下的土地年期修正系数Kn</v>
      </c>
      <c r="Q74" s="1471" t="e">
        <f ca="1">L59</f>
        <v>#N/A</v>
      </c>
      <c r="R74" s="1471" t="s">
        <v>1473</v>
      </c>
    </row>
    <row r="75" spans="1:18" ht="13.5" thickBot="1">
      <c r="A75" s="1436"/>
      <c r="B75" s="337" t="s">
        <v>1410</v>
      </c>
      <c r="C75" s="338" t="e">
        <f ca="1">ROUND(C13*C76,0)</f>
        <v>#N/A</v>
      </c>
      <c r="D75" s="1436"/>
      <c r="E75" s="1436"/>
      <c r="F75" s="1436"/>
      <c r="K75" s="1453"/>
      <c r="L75" s="1436"/>
      <c r="O75" s="1469" t="s">
        <v>1014</v>
      </c>
      <c r="P75" s="1470" t="s">
        <v>1453</v>
      </c>
      <c r="Q75" s="1471" t="e">
        <f ca="1">Q65+Q66</f>
        <v>#N/A</v>
      </c>
      <c r="R75" s="1471" t="s">
        <v>1015</v>
      </c>
    </row>
    <row r="76" spans="1:18">
      <c r="B76" s="339" t="s">
        <v>1411</v>
      </c>
      <c r="C76" s="340" t="e">
        <f ca="1">INDIRECT("'数据-取费表'!j"&amp;$G$1)</f>
        <v>#N/A</v>
      </c>
      <c r="I76" s="1436"/>
      <c r="J76" s="1436"/>
      <c r="K76" s="1453"/>
      <c r="L76" s="1436"/>
    </row>
    <row r="77" spans="1:18">
      <c r="B77" s="341" t="s">
        <v>1412</v>
      </c>
      <c r="C77" s="342"/>
      <c r="I77" s="1436"/>
      <c r="J77" s="1436"/>
      <c r="K77" s="1453"/>
      <c r="L77" s="1436"/>
    </row>
    <row r="78" spans="1:18">
      <c r="B78" s="268" t="s">
        <v>1413</v>
      </c>
      <c r="C78" s="343"/>
    </row>
    <row r="79" spans="1:18">
      <c r="B79" s="337" t="s">
        <v>1414</v>
      </c>
      <c r="C79" s="272" t="e">
        <f ca="1">1-C80</f>
        <v>#N/A</v>
      </c>
    </row>
    <row r="80" spans="1:18">
      <c r="B80" s="337" t="s">
        <v>1415</v>
      </c>
      <c r="C80" s="272" t="e">
        <f ca="1">ROUND(C75/C39,3)</f>
        <v>#N/A</v>
      </c>
    </row>
    <row r="81" spans="2:3">
      <c r="B81" s="268" t="s">
        <v>1416</v>
      </c>
      <c r="C81" s="236"/>
    </row>
    <row r="82" spans="2:3">
      <c r="B82" s="271" t="s">
        <v>1417</v>
      </c>
      <c r="C82" s="273" t="e">
        <f ca="1">1-C83</f>
        <v>#N/A</v>
      </c>
    </row>
    <row r="83" spans="2:3">
      <c r="B83" s="271" t="s">
        <v>1418</v>
      </c>
      <c r="C83" s="272" t="e">
        <f ca="1">ROUND(C13/C40,3)</f>
        <v>#N/A</v>
      </c>
    </row>
  </sheetData>
  <sheetProtection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XEU33"/>
  <sheetViews>
    <sheetView topLeftCell="E1" zoomScale="80" zoomScaleNormal="80" workbookViewId="0">
      <selection activeCell="T46" sqref="T46"/>
    </sheetView>
  </sheetViews>
  <sheetFormatPr defaultColWidth="9" defaultRowHeight="14.25"/>
  <cols>
    <col min="1" max="1" width="3.25" style="2949" customWidth="1"/>
    <col min="2" max="2" width="15.875" style="2951" customWidth="1"/>
    <col min="3" max="3" width="16.875" style="2950" bestFit="1" customWidth="1"/>
    <col min="4" max="4" width="27.375" style="2951" customWidth="1"/>
    <col min="5" max="5" width="17.125" style="2950" customWidth="1"/>
    <col min="6" max="7" width="9.5" style="2950" bestFit="1" customWidth="1"/>
    <col min="8" max="8" width="12.75" style="2950" customWidth="1"/>
    <col min="9" max="9" width="13.5" style="2950" customWidth="1"/>
    <col min="10" max="10" width="15.25" style="2950" customWidth="1"/>
    <col min="11" max="11" width="9" style="2950"/>
    <col min="12" max="12" width="10.5" style="2950" bestFit="1" customWidth="1"/>
    <col min="13" max="13" width="9" style="2950"/>
    <col min="14" max="14" width="14.5" style="2950" bestFit="1" customWidth="1"/>
    <col min="15" max="15" width="10.75" style="2950" bestFit="1" customWidth="1"/>
    <col min="16" max="16" width="9" style="2950"/>
    <col min="17" max="17" width="9.5" style="2950" bestFit="1" customWidth="1"/>
    <col min="18" max="16384" width="9" style="2950"/>
  </cols>
  <sheetData>
    <row r="2" spans="1:12" ht="18.75">
      <c r="B2" s="3406" t="s">
        <v>3223</v>
      </c>
      <c r="C2" s="3406"/>
      <c r="D2" s="3406"/>
      <c r="E2" s="3406"/>
      <c r="F2" s="3406"/>
      <c r="G2" s="3406"/>
      <c r="H2" s="3406"/>
      <c r="I2" s="3406"/>
      <c r="J2" s="3406"/>
    </row>
    <row r="3" spans="1:12" s="2951" customFormat="1" ht="30">
      <c r="B3" s="2952" t="s">
        <v>3224</v>
      </c>
      <c r="C3" s="2952" t="s">
        <v>3225</v>
      </c>
      <c r="D3" s="2953" t="s">
        <v>3226</v>
      </c>
      <c r="E3" s="2952" t="s">
        <v>3227</v>
      </c>
      <c r="F3" s="3407" t="s">
        <v>3228</v>
      </c>
      <c r="G3" s="3407"/>
      <c r="H3" s="2954" t="s">
        <v>3229</v>
      </c>
      <c r="I3" s="2952" t="s">
        <v>3230</v>
      </c>
      <c r="J3" s="2952" t="s">
        <v>3231</v>
      </c>
    </row>
    <row r="4" spans="1:12" s="2955" customFormat="1" ht="28.5">
      <c r="B4" s="3408" t="s">
        <v>3232</v>
      </c>
      <c r="C4" s="3409" t="s">
        <v>3233</v>
      </c>
      <c r="D4" s="2956" t="s">
        <v>3234</v>
      </c>
      <c r="E4" s="3410" t="s">
        <v>3235</v>
      </c>
      <c r="F4" s="3411">
        <v>42125</v>
      </c>
      <c r="G4" s="3411">
        <v>45046</v>
      </c>
      <c r="H4" s="2957">
        <v>933.29</v>
      </c>
      <c r="I4" s="2957">
        <f>H4*560.08</f>
        <v>522717.06320000003</v>
      </c>
      <c r="J4" s="3412">
        <f>I4*4+I5*8</f>
        <v>6495175.7575999992</v>
      </c>
      <c r="L4" s="2958">
        <f>ROUND(I4/30/H4,1)</f>
        <v>18.7</v>
      </c>
    </row>
    <row r="5" spans="1:12" ht="28.5">
      <c r="A5" s="2950"/>
      <c r="B5" s="3408"/>
      <c r="C5" s="3409"/>
      <c r="D5" s="2959" t="s">
        <v>3236</v>
      </c>
      <c r="E5" s="3410"/>
      <c r="F5" s="3411"/>
      <c r="G5" s="3411"/>
      <c r="H5" s="2960">
        <v>933.29</v>
      </c>
      <c r="I5" s="2960">
        <f>H5*589.89</f>
        <v>550538.43809999991</v>
      </c>
      <c r="J5" s="3413"/>
      <c r="L5" s="2958">
        <f t="shared" ref="L5:L17" si="0">ROUND(I5/30/H5,1)</f>
        <v>19.7</v>
      </c>
    </row>
    <row r="6" spans="1:12" ht="15">
      <c r="A6" s="2950"/>
      <c r="B6" s="3408"/>
      <c r="C6" s="3409"/>
      <c r="D6" s="2959" t="s">
        <v>3237</v>
      </c>
      <c r="E6" s="2961" t="s">
        <v>3238</v>
      </c>
      <c r="F6" s="2962">
        <v>43252</v>
      </c>
      <c r="G6" s="2962">
        <v>46904</v>
      </c>
      <c r="H6" s="2960">
        <v>1003.19</v>
      </c>
      <c r="I6" s="2960">
        <v>545890.02</v>
      </c>
      <c r="J6" s="2960">
        <f t="shared" ref="J6:J17" si="1">I6*12</f>
        <v>6550680.2400000002</v>
      </c>
      <c r="L6" s="2958">
        <f t="shared" si="0"/>
        <v>18.100000000000001</v>
      </c>
    </row>
    <row r="7" spans="1:12" ht="15">
      <c r="A7" s="2950"/>
      <c r="B7" s="3408"/>
      <c r="C7" s="3409"/>
      <c r="D7" s="2959" t="s">
        <v>3239</v>
      </c>
      <c r="E7" s="2961">
        <v>104</v>
      </c>
      <c r="F7" s="2962">
        <v>43983</v>
      </c>
      <c r="G7" s="2962">
        <v>45077</v>
      </c>
      <c r="H7" s="2960">
        <v>156</v>
      </c>
      <c r="I7" s="2960">
        <f>358.28*H7</f>
        <v>55891.679999999993</v>
      </c>
      <c r="J7" s="2960">
        <f t="shared" si="1"/>
        <v>670700.15999999992</v>
      </c>
      <c r="L7" s="2958">
        <f t="shared" si="0"/>
        <v>11.9</v>
      </c>
    </row>
    <row r="8" spans="1:12" ht="15">
      <c r="A8" s="2950"/>
      <c r="B8" s="3408"/>
      <c r="C8" s="3409"/>
      <c r="D8" s="2959" t="s">
        <v>3240</v>
      </c>
      <c r="E8" s="2961">
        <v>106</v>
      </c>
      <c r="F8" s="2962">
        <v>43005</v>
      </c>
      <c r="G8" s="2962">
        <v>46656</v>
      </c>
      <c r="H8" s="2960">
        <v>137.94999999999999</v>
      </c>
      <c r="I8" s="2960">
        <v>21000</v>
      </c>
      <c r="J8" s="2960">
        <f t="shared" si="1"/>
        <v>252000</v>
      </c>
      <c r="L8" s="2958">
        <f t="shared" si="0"/>
        <v>5.0999999999999996</v>
      </c>
    </row>
    <row r="9" spans="1:12" ht="15">
      <c r="A9" s="2950"/>
      <c r="B9" s="3408"/>
      <c r="C9" s="3409"/>
      <c r="D9" s="2959" t="s">
        <v>3241</v>
      </c>
      <c r="E9" s="2961">
        <v>103</v>
      </c>
      <c r="F9" s="2962">
        <v>43460</v>
      </c>
      <c r="G9" s="2962">
        <v>45285</v>
      </c>
      <c r="H9" s="2960">
        <v>145.61000000000001</v>
      </c>
      <c r="I9" s="2960">
        <v>62902.080000000002</v>
      </c>
      <c r="J9" s="2960">
        <f t="shared" si="1"/>
        <v>754824.96</v>
      </c>
      <c r="L9" s="2958">
        <f t="shared" si="0"/>
        <v>14.4</v>
      </c>
    </row>
    <row r="10" spans="1:12" ht="27">
      <c r="A10" s="2950"/>
      <c r="B10" s="2959" t="s">
        <v>3232</v>
      </c>
      <c r="C10" s="2963" t="s">
        <v>3242</v>
      </c>
      <c r="D10" s="2964" t="s">
        <v>3243</v>
      </c>
      <c r="E10" s="2961" t="s">
        <v>3244</v>
      </c>
      <c r="F10" s="2962">
        <v>44197</v>
      </c>
      <c r="G10" s="2962">
        <v>46387</v>
      </c>
      <c r="H10" s="2960">
        <v>1311.1</v>
      </c>
      <c r="I10" s="2960">
        <f>H10*500*(1+10%)</f>
        <v>721105</v>
      </c>
      <c r="J10" s="2960">
        <f t="shared" si="1"/>
        <v>8653260</v>
      </c>
      <c r="L10" s="2958">
        <f t="shared" si="0"/>
        <v>18.3</v>
      </c>
    </row>
    <row r="11" spans="1:12" ht="27">
      <c r="A11" s="2950"/>
      <c r="B11" s="2964" t="s">
        <v>3245</v>
      </c>
      <c r="C11" s="2963" t="s">
        <v>3246</v>
      </c>
      <c r="D11" s="2959" t="s">
        <v>3247</v>
      </c>
      <c r="E11" s="2961" t="s">
        <v>3248</v>
      </c>
      <c r="F11" s="2962">
        <v>42644</v>
      </c>
      <c r="G11" s="2962">
        <v>46295</v>
      </c>
      <c r="H11" s="2960">
        <f>2078.08</f>
        <v>2078.08</v>
      </c>
      <c r="I11" s="2960">
        <f>(H11*370)*(1+10%)</f>
        <v>845778.56</v>
      </c>
      <c r="J11" s="2960">
        <f t="shared" si="1"/>
        <v>10149342.720000001</v>
      </c>
      <c r="L11" s="2958">
        <f t="shared" si="0"/>
        <v>13.6</v>
      </c>
    </row>
    <row r="12" spans="1:12" ht="27">
      <c r="A12" s="2950"/>
      <c r="B12" s="2959" t="s">
        <v>3249</v>
      </c>
      <c r="C12" s="2963" t="s">
        <v>3246</v>
      </c>
      <c r="D12" s="2959" t="s">
        <v>3247</v>
      </c>
      <c r="E12" s="2961">
        <v>1006</v>
      </c>
      <c r="F12" s="2962">
        <v>43446</v>
      </c>
      <c r="G12" s="2962">
        <v>47098</v>
      </c>
      <c r="H12" s="2960">
        <v>222.94</v>
      </c>
      <c r="I12" s="2960">
        <f>H12*370</f>
        <v>82487.8</v>
      </c>
      <c r="J12" s="2960">
        <f t="shared" si="1"/>
        <v>989853.60000000009</v>
      </c>
      <c r="L12" s="2958">
        <f t="shared" si="0"/>
        <v>12.3</v>
      </c>
    </row>
    <row r="13" spans="1:12" ht="27">
      <c r="A13" s="2950"/>
      <c r="B13" s="2959" t="s">
        <v>3250</v>
      </c>
      <c r="C13" s="2963" t="s">
        <v>3251</v>
      </c>
      <c r="D13" s="2964" t="s">
        <v>3243</v>
      </c>
      <c r="E13" s="2961" t="s">
        <v>3252</v>
      </c>
      <c r="F13" s="2962">
        <v>44197</v>
      </c>
      <c r="G13" s="2962">
        <v>46387</v>
      </c>
      <c r="H13" s="2960">
        <v>2351.31</v>
      </c>
      <c r="I13" s="2960">
        <f>869984.7*(1+10%)</f>
        <v>956983.17</v>
      </c>
      <c r="J13" s="2960">
        <f t="shared" si="1"/>
        <v>11483798.040000001</v>
      </c>
      <c r="L13" s="2958">
        <f t="shared" si="0"/>
        <v>13.6</v>
      </c>
    </row>
    <row r="14" spans="1:12" ht="27">
      <c r="A14" s="2950"/>
      <c r="B14" s="2959" t="s">
        <v>3253</v>
      </c>
      <c r="C14" s="2963" t="s">
        <v>3254</v>
      </c>
      <c r="D14" s="2959" t="s">
        <v>3255</v>
      </c>
      <c r="E14" s="3414" t="s">
        <v>3256</v>
      </c>
      <c r="F14" s="2962">
        <v>44002</v>
      </c>
      <c r="G14" s="2962">
        <v>45096</v>
      </c>
      <c r="H14" s="2960">
        <v>1500</v>
      </c>
      <c r="I14" s="2960">
        <f>H14*243.33</f>
        <v>364995</v>
      </c>
      <c r="J14" s="2960">
        <f t="shared" si="1"/>
        <v>4379940</v>
      </c>
      <c r="L14" s="2958">
        <f t="shared" si="0"/>
        <v>8.1</v>
      </c>
    </row>
    <row r="15" spans="1:12" ht="27">
      <c r="A15" s="2950"/>
      <c r="B15" s="2959" t="s">
        <v>3253</v>
      </c>
      <c r="C15" s="2963" t="s">
        <v>3254</v>
      </c>
      <c r="D15" s="2959" t="s">
        <v>3255</v>
      </c>
      <c r="E15" s="3415"/>
      <c r="F15" s="2962">
        <v>44124</v>
      </c>
      <c r="G15" s="2962">
        <v>45096</v>
      </c>
      <c r="H15" s="2960">
        <v>864.05</v>
      </c>
      <c r="I15" s="2960">
        <f>H15*243.33</f>
        <v>210249.28649999999</v>
      </c>
      <c r="J15" s="2960">
        <f t="shared" si="1"/>
        <v>2522991.4380000001</v>
      </c>
      <c r="L15" s="2958">
        <f t="shared" si="0"/>
        <v>8.1</v>
      </c>
    </row>
    <row r="16" spans="1:12" ht="27">
      <c r="A16" s="2950"/>
      <c r="B16" s="2964" t="s">
        <v>3257</v>
      </c>
      <c r="C16" s="2963" t="s">
        <v>3258</v>
      </c>
      <c r="D16" s="2959" t="s">
        <v>3259</v>
      </c>
      <c r="E16" s="2963" t="s">
        <v>3260</v>
      </c>
      <c r="F16" s="2962">
        <v>44197</v>
      </c>
      <c r="G16" s="2962">
        <v>47238</v>
      </c>
      <c r="H16" s="2960">
        <v>2364.0500000000002</v>
      </c>
      <c r="I16" s="2960">
        <f>H16*(197.708-28.16)</f>
        <v>400819.94940000004</v>
      </c>
      <c r="J16" s="2960">
        <f t="shared" si="1"/>
        <v>4809839.3928000005</v>
      </c>
      <c r="L16" s="2958">
        <f t="shared" si="0"/>
        <v>5.7</v>
      </c>
    </row>
    <row r="17" spans="1:16375" ht="27">
      <c r="A17" s="2950"/>
      <c r="B17" s="2964" t="s">
        <v>3261</v>
      </c>
      <c r="C17" s="2963" t="s">
        <v>3262</v>
      </c>
      <c r="D17" s="2959" t="s">
        <v>3259</v>
      </c>
      <c r="E17" s="2963" t="s">
        <v>3263</v>
      </c>
      <c r="F17" s="2962">
        <v>44197</v>
      </c>
      <c r="G17" s="2962">
        <v>47238</v>
      </c>
      <c r="H17" s="2960">
        <v>2364.0500000000002</v>
      </c>
      <c r="I17" s="2960">
        <f>H17*(197.708-28.16)</f>
        <v>400819.94940000004</v>
      </c>
      <c r="J17" s="2960">
        <f t="shared" si="1"/>
        <v>4809839.3928000005</v>
      </c>
      <c r="L17" s="2958">
        <f t="shared" si="0"/>
        <v>5.7</v>
      </c>
    </row>
    <row r="18" spans="1:16375">
      <c r="A18" s="2950"/>
      <c r="B18" s="3416" t="s">
        <v>3264</v>
      </c>
      <c r="C18" s="3416"/>
      <c r="D18" s="3416"/>
      <c r="E18" s="3416"/>
      <c r="F18" s="3416"/>
      <c r="G18" s="3416"/>
      <c r="H18" s="2965">
        <f>SUM(H5:H17)</f>
        <v>15431.619999999999</v>
      </c>
      <c r="I18" s="2965">
        <f>SUM(I5:I17)</f>
        <v>5219460.9334000004</v>
      </c>
      <c r="J18" s="2966">
        <f>SUM(J4:J17)</f>
        <v>62522245.701200008</v>
      </c>
    </row>
    <row r="19" spans="1:16375" ht="13.5">
      <c r="A19" s="2950"/>
    </row>
    <row r="20" spans="1:16375" ht="18.75">
      <c r="A20" s="2950"/>
      <c r="B20" s="3417" t="s">
        <v>3265</v>
      </c>
      <c r="C20" s="3418"/>
      <c r="D20" s="3418"/>
      <c r="E20" s="3418"/>
      <c r="F20" s="3418"/>
      <c r="G20" s="3418"/>
      <c r="H20" s="3418"/>
      <c r="I20" s="3418"/>
      <c r="J20" s="3418"/>
    </row>
    <row r="21" spans="1:16375" s="2949" customFormat="1" ht="30">
      <c r="B21" s="2967" t="s">
        <v>3224</v>
      </c>
      <c r="C21" s="2967" t="s">
        <v>3225</v>
      </c>
      <c r="D21" s="2967" t="s">
        <v>3266</v>
      </c>
      <c r="E21" s="2967" t="s">
        <v>3227</v>
      </c>
      <c r="F21" s="3419" t="s">
        <v>3228</v>
      </c>
      <c r="G21" s="3419"/>
      <c r="H21" s="2967" t="s">
        <v>3267</v>
      </c>
      <c r="I21" s="2967" t="s">
        <v>3230</v>
      </c>
      <c r="J21" s="2967" t="s">
        <v>3231</v>
      </c>
      <c r="K21" s="2950"/>
      <c r="L21" s="2950"/>
      <c r="M21" s="2950" t="s">
        <v>3292</v>
      </c>
      <c r="N21" s="2950"/>
      <c r="O21" s="2950"/>
      <c r="P21" s="2950"/>
      <c r="Q21" s="2950" t="s">
        <v>3294</v>
      </c>
      <c r="R21" s="2950"/>
      <c r="S21" s="2950"/>
      <c r="T21" s="2950"/>
      <c r="U21" s="2950"/>
      <c r="V21" s="2950"/>
      <c r="W21" s="2950"/>
      <c r="X21" s="2950"/>
      <c r="Y21" s="2950"/>
      <c r="Z21" s="2950"/>
      <c r="AA21" s="2950"/>
      <c r="AB21" s="2950"/>
      <c r="AC21" s="2950"/>
      <c r="AD21" s="2950"/>
      <c r="AE21" s="2950"/>
      <c r="AF21" s="2950"/>
      <c r="AG21" s="2950"/>
      <c r="AH21" s="2950"/>
      <c r="AI21" s="2950"/>
      <c r="AJ21" s="2950"/>
      <c r="AK21" s="2950"/>
      <c r="AL21" s="2950"/>
      <c r="AM21" s="2950"/>
      <c r="AN21" s="2950"/>
      <c r="AO21" s="2950"/>
      <c r="AP21" s="2950"/>
      <c r="AQ21" s="2950"/>
      <c r="AR21" s="2950"/>
      <c r="AS21" s="2950"/>
      <c r="AT21" s="2950"/>
      <c r="AU21" s="2950"/>
      <c r="AV21" s="2950"/>
      <c r="AW21" s="2950"/>
      <c r="AX21" s="2950"/>
      <c r="AY21" s="2950"/>
      <c r="AZ21" s="2950"/>
      <c r="BA21" s="2950"/>
      <c r="BB21" s="2950"/>
      <c r="BC21" s="2950"/>
      <c r="BD21" s="2950"/>
      <c r="BE21" s="2950"/>
      <c r="BF21" s="2950"/>
      <c r="BG21" s="2950"/>
      <c r="BH21" s="2950"/>
      <c r="BI21" s="2950"/>
      <c r="BJ21" s="2950"/>
      <c r="BK21" s="2950"/>
      <c r="BL21" s="2950"/>
      <c r="BM21" s="2950"/>
      <c r="BN21" s="2950"/>
      <c r="BO21" s="2950"/>
      <c r="BP21" s="2950"/>
      <c r="BQ21" s="2950"/>
      <c r="BR21" s="2950"/>
      <c r="BS21" s="2950"/>
      <c r="BT21" s="2950"/>
      <c r="BU21" s="2950"/>
      <c r="BV21" s="2950"/>
      <c r="BW21" s="2950"/>
      <c r="BX21" s="2950"/>
      <c r="BY21" s="2950"/>
      <c r="BZ21" s="2950"/>
      <c r="CA21" s="2950"/>
      <c r="CB21" s="2950"/>
      <c r="CC21" s="2950"/>
      <c r="CD21" s="2950"/>
      <c r="CE21" s="2950"/>
      <c r="CF21" s="2950"/>
      <c r="CG21" s="2950"/>
      <c r="CH21" s="2950"/>
      <c r="CI21" s="2950"/>
      <c r="CJ21" s="2950"/>
      <c r="CK21" s="2950"/>
      <c r="CL21" s="2950"/>
      <c r="CM21" s="2950"/>
      <c r="CN21" s="2950"/>
      <c r="CO21" s="2950"/>
      <c r="CP21" s="2950"/>
      <c r="CQ21" s="2950"/>
      <c r="CR21" s="2950"/>
      <c r="CS21" s="2950"/>
      <c r="CT21" s="2950"/>
      <c r="CU21" s="2950"/>
      <c r="CV21" s="2950"/>
      <c r="CW21" s="2950"/>
      <c r="CX21" s="2950"/>
      <c r="CY21" s="2950"/>
      <c r="CZ21" s="2950"/>
      <c r="DA21" s="2950"/>
      <c r="DB21" s="2950"/>
      <c r="DC21" s="2950"/>
      <c r="DD21" s="2950"/>
      <c r="DE21" s="2950"/>
      <c r="DF21" s="2950"/>
      <c r="DG21" s="2950"/>
      <c r="DH21" s="2950"/>
      <c r="DI21" s="2950"/>
      <c r="DJ21" s="2950"/>
      <c r="DK21" s="2950"/>
      <c r="DL21" s="2950"/>
      <c r="DM21" s="2950"/>
      <c r="DN21" s="2950"/>
      <c r="DO21" s="2950"/>
      <c r="DP21" s="2950"/>
      <c r="DQ21" s="2950"/>
      <c r="DR21" s="2950"/>
      <c r="DS21" s="2950"/>
      <c r="DT21" s="2950"/>
      <c r="DU21" s="2950"/>
      <c r="DV21" s="2950"/>
      <c r="DW21" s="2950"/>
      <c r="DX21" s="2950"/>
      <c r="DY21" s="2950"/>
      <c r="DZ21" s="2950"/>
      <c r="EA21" s="2950"/>
      <c r="EB21" s="2950"/>
      <c r="EC21" s="2950"/>
      <c r="ED21" s="2950"/>
      <c r="EE21" s="2950"/>
      <c r="EF21" s="2950"/>
      <c r="EG21" s="2950"/>
      <c r="EH21" s="2950"/>
      <c r="EI21" s="2950"/>
      <c r="EJ21" s="2950"/>
      <c r="EK21" s="2950"/>
      <c r="EL21" s="2950"/>
      <c r="EM21" s="2950"/>
      <c r="EN21" s="2950"/>
      <c r="EO21" s="2950"/>
      <c r="EP21" s="2950"/>
      <c r="EQ21" s="2950"/>
      <c r="ER21" s="2950"/>
      <c r="ES21" s="2950"/>
      <c r="ET21" s="2950"/>
      <c r="EU21" s="2950"/>
      <c r="EV21" s="2950"/>
      <c r="EW21" s="2950"/>
      <c r="EX21" s="2950"/>
      <c r="EY21" s="2950"/>
      <c r="EZ21" s="2950"/>
      <c r="FA21" s="2950"/>
      <c r="FB21" s="2950"/>
      <c r="FC21" s="2950"/>
      <c r="FD21" s="2950"/>
      <c r="FE21" s="2950"/>
      <c r="FF21" s="2950"/>
      <c r="FG21" s="2950"/>
      <c r="FH21" s="2950"/>
      <c r="FI21" s="2950"/>
      <c r="FJ21" s="2950"/>
      <c r="FK21" s="2950"/>
      <c r="FL21" s="2950"/>
      <c r="FM21" s="2950"/>
      <c r="FN21" s="2950"/>
      <c r="FO21" s="2950"/>
      <c r="FP21" s="2950"/>
      <c r="FQ21" s="2950"/>
      <c r="FR21" s="2950"/>
      <c r="FS21" s="2950"/>
      <c r="FT21" s="2950"/>
      <c r="FU21" s="2950"/>
      <c r="FV21" s="2950"/>
      <c r="FW21" s="2950"/>
      <c r="FX21" s="2950"/>
      <c r="FY21" s="2950"/>
      <c r="FZ21" s="2950"/>
      <c r="GA21" s="2950"/>
      <c r="GB21" s="2950"/>
      <c r="GC21" s="2950"/>
      <c r="GD21" s="2950"/>
      <c r="GE21" s="2950"/>
      <c r="GF21" s="2950"/>
      <c r="GG21" s="2950"/>
      <c r="GH21" s="2950"/>
      <c r="GI21" s="2950"/>
      <c r="GJ21" s="2950"/>
      <c r="GK21" s="2950"/>
      <c r="GL21" s="2950"/>
      <c r="GM21" s="2950"/>
      <c r="GN21" s="2950"/>
      <c r="GO21" s="2950"/>
      <c r="GP21" s="2950"/>
      <c r="GQ21" s="2950"/>
      <c r="GR21" s="2950"/>
      <c r="GS21" s="2950"/>
      <c r="GT21" s="2950"/>
      <c r="GU21" s="2950"/>
      <c r="GV21" s="2950"/>
      <c r="GW21" s="2950"/>
      <c r="GX21" s="2950"/>
      <c r="GY21" s="2950"/>
      <c r="GZ21" s="2950"/>
      <c r="HA21" s="2950"/>
      <c r="HB21" s="2950"/>
      <c r="HC21" s="2950"/>
      <c r="HD21" s="2950"/>
      <c r="HE21" s="2950"/>
      <c r="HF21" s="2950"/>
      <c r="HG21" s="2950"/>
      <c r="HH21" s="2950"/>
      <c r="HI21" s="2950"/>
      <c r="HJ21" s="2950"/>
      <c r="HK21" s="2950"/>
      <c r="HL21" s="2950"/>
      <c r="HM21" s="2950"/>
      <c r="HN21" s="2950"/>
      <c r="HO21" s="2950"/>
      <c r="HP21" s="2950"/>
      <c r="HQ21" s="2950"/>
      <c r="HR21" s="2950"/>
      <c r="HS21" s="2950"/>
      <c r="HT21" s="2950"/>
      <c r="HU21" s="2950"/>
      <c r="HV21" s="2950"/>
      <c r="HW21" s="2950"/>
      <c r="HX21" s="2950"/>
      <c r="HY21" s="2950"/>
      <c r="HZ21" s="2950"/>
      <c r="IA21" s="2950"/>
      <c r="IB21" s="2950"/>
      <c r="IC21" s="2950"/>
      <c r="ID21" s="2950"/>
      <c r="IE21" s="2950"/>
      <c r="IF21" s="2950"/>
      <c r="IG21" s="2950"/>
      <c r="IH21" s="2950"/>
      <c r="II21" s="2950"/>
      <c r="IJ21" s="2950"/>
      <c r="IK21" s="2950"/>
      <c r="IL21" s="2950"/>
      <c r="IM21" s="2950"/>
      <c r="IN21" s="2950"/>
      <c r="IO21" s="2950"/>
      <c r="IP21" s="2950"/>
      <c r="IQ21" s="2950"/>
      <c r="IR21" s="2950"/>
      <c r="IS21" s="2950"/>
      <c r="IT21" s="2950"/>
      <c r="IU21" s="2950"/>
      <c r="IV21" s="2950"/>
      <c r="IW21" s="2950"/>
      <c r="IX21" s="2950"/>
      <c r="IY21" s="2950"/>
      <c r="IZ21" s="2950"/>
      <c r="JA21" s="2950"/>
      <c r="JB21" s="2950"/>
      <c r="JC21" s="2950"/>
      <c r="JD21" s="2950"/>
      <c r="JE21" s="2950"/>
      <c r="JF21" s="2950"/>
      <c r="JG21" s="2950"/>
      <c r="JH21" s="2950"/>
      <c r="JI21" s="2950"/>
      <c r="JJ21" s="2950"/>
      <c r="JK21" s="2950"/>
      <c r="JL21" s="2950"/>
      <c r="JM21" s="2950"/>
      <c r="JN21" s="2950"/>
      <c r="JO21" s="2950"/>
      <c r="JP21" s="2950"/>
      <c r="JQ21" s="2950"/>
      <c r="JR21" s="2950"/>
      <c r="JS21" s="2950"/>
      <c r="JT21" s="2950"/>
      <c r="JU21" s="2950"/>
      <c r="JV21" s="2950"/>
      <c r="JW21" s="2950"/>
      <c r="JX21" s="2950"/>
      <c r="JY21" s="2950"/>
      <c r="JZ21" s="2950"/>
      <c r="KA21" s="2950"/>
      <c r="KB21" s="2950"/>
      <c r="KC21" s="2950"/>
      <c r="KD21" s="2950"/>
      <c r="KE21" s="2950"/>
      <c r="KF21" s="2950"/>
      <c r="KG21" s="2950"/>
      <c r="KH21" s="2950"/>
      <c r="KI21" s="2950"/>
      <c r="KJ21" s="2950"/>
      <c r="KK21" s="2950"/>
      <c r="KL21" s="2950"/>
      <c r="KM21" s="2950"/>
      <c r="KN21" s="2950"/>
      <c r="KO21" s="2950"/>
      <c r="KP21" s="2950"/>
      <c r="KQ21" s="2950"/>
      <c r="KR21" s="2950"/>
      <c r="KS21" s="2950"/>
      <c r="KT21" s="2950"/>
      <c r="KU21" s="2950"/>
      <c r="KV21" s="2950"/>
      <c r="KW21" s="2950"/>
      <c r="KX21" s="2950"/>
      <c r="KY21" s="2950"/>
      <c r="KZ21" s="2950"/>
      <c r="LA21" s="2950"/>
      <c r="LB21" s="2950"/>
      <c r="LC21" s="2950"/>
      <c r="LD21" s="2950"/>
      <c r="LE21" s="2950"/>
      <c r="LF21" s="2950"/>
      <c r="LG21" s="2950"/>
      <c r="LH21" s="2950"/>
      <c r="LI21" s="2950"/>
      <c r="LJ21" s="2950"/>
      <c r="LK21" s="2950"/>
      <c r="LL21" s="2950"/>
      <c r="LM21" s="2950"/>
      <c r="LN21" s="2950"/>
      <c r="LO21" s="2950"/>
      <c r="LP21" s="2950"/>
      <c r="LQ21" s="2950"/>
      <c r="LR21" s="2950"/>
      <c r="LS21" s="2950"/>
      <c r="LT21" s="2950"/>
      <c r="LU21" s="2950"/>
      <c r="LV21" s="2950"/>
      <c r="LW21" s="2950"/>
      <c r="LX21" s="2950"/>
      <c r="LY21" s="2950"/>
      <c r="LZ21" s="2950"/>
      <c r="MA21" s="2950"/>
      <c r="MB21" s="2950"/>
      <c r="MC21" s="2950"/>
      <c r="MD21" s="2950"/>
      <c r="ME21" s="2950"/>
      <c r="MF21" s="2950"/>
      <c r="MG21" s="2950"/>
      <c r="MH21" s="2950"/>
      <c r="MI21" s="2950"/>
      <c r="MJ21" s="2950"/>
      <c r="MK21" s="2950"/>
      <c r="ML21" s="2950"/>
      <c r="MM21" s="2950"/>
      <c r="MN21" s="2950"/>
      <c r="MO21" s="2950"/>
      <c r="MP21" s="2950"/>
      <c r="MQ21" s="2950"/>
      <c r="MR21" s="2950"/>
      <c r="MS21" s="2950"/>
      <c r="MT21" s="2950"/>
      <c r="MU21" s="2950"/>
      <c r="MV21" s="2950"/>
      <c r="MW21" s="2950"/>
      <c r="MX21" s="2950"/>
      <c r="MY21" s="2950"/>
      <c r="MZ21" s="2950"/>
      <c r="NA21" s="2950"/>
      <c r="NB21" s="2950"/>
      <c r="NC21" s="2950"/>
      <c r="ND21" s="2950"/>
      <c r="NE21" s="2950"/>
      <c r="NF21" s="2950"/>
      <c r="NG21" s="2950"/>
      <c r="NH21" s="2950"/>
      <c r="NI21" s="2950"/>
      <c r="NJ21" s="2950"/>
      <c r="NK21" s="2950"/>
      <c r="NL21" s="2950"/>
      <c r="NM21" s="2950"/>
      <c r="NN21" s="2950"/>
      <c r="NO21" s="2950"/>
      <c r="NP21" s="2950"/>
      <c r="NQ21" s="2950"/>
      <c r="NR21" s="2950"/>
      <c r="NS21" s="2950"/>
      <c r="NT21" s="2950"/>
      <c r="NU21" s="2950"/>
      <c r="NV21" s="2950"/>
      <c r="NW21" s="2950"/>
      <c r="NX21" s="2950"/>
      <c r="NY21" s="2950"/>
      <c r="NZ21" s="2950"/>
      <c r="OA21" s="2950"/>
      <c r="OB21" s="2950"/>
      <c r="OC21" s="2950"/>
      <c r="OD21" s="2950"/>
      <c r="OE21" s="2950"/>
      <c r="OF21" s="2950"/>
      <c r="OG21" s="2950"/>
      <c r="OH21" s="2950"/>
      <c r="OI21" s="2950"/>
      <c r="OJ21" s="2950"/>
      <c r="OK21" s="2950"/>
      <c r="OL21" s="2950"/>
      <c r="OM21" s="2950"/>
      <c r="ON21" s="2950"/>
      <c r="OO21" s="2950"/>
      <c r="OP21" s="2950"/>
      <c r="OQ21" s="2950"/>
      <c r="OR21" s="2950"/>
      <c r="OS21" s="2950"/>
      <c r="OT21" s="2950"/>
      <c r="OU21" s="2950"/>
      <c r="OV21" s="2950"/>
      <c r="OW21" s="2950"/>
      <c r="OX21" s="2950"/>
      <c r="OY21" s="2950"/>
      <c r="OZ21" s="2950"/>
      <c r="PA21" s="2950"/>
      <c r="PB21" s="2950"/>
      <c r="PC21" s="2950"/>
      <c r="PD21" s="2950"/>
      <c r="PE21" s="2950"/>
      <c r="PF21" s="2950"/>
      <c r="PG21" s="2950"/>
      <c r="PH21" s="2950"/>
      <c r="PI21" s="2950"/>
      <c r="PJ21" s="2950"/>
      <c r="PK21" s="2950"/>
      <c r="PL21" s="2950"/>
      <c r="PM21" s="2950"/>
      <c r="PN21" s="2950"/>
      <c r="PO21" s="2950"/>
      <c r="PP21" s="2950"/>
      <c r="PQ21" s="2950"/>
      <c r="PR21" s="2950"/>
      <c r="PS21" s="2950"/>
      <c r="PT21" s="2950"/>
      <c r="PU21" s="2950"/>
      <c r="PV21" s="2950"/>
      <c r="PW21" s="2950"/>
      <c r="PX21" s="2950"/>
      <c r="PY21" s="2950"/>
      <c r="PZ21" s="2950"/>
      <c r="QA21" s="2950"/>
      <c r="QB21" s="2950"/>
      <c r="QC21" s="2950"/>
      <c r="QD21" s="2950"/>
      <c r="QE21" s="2950"/>
      <c r="QF21" s="2950"/>
      <c r="QG21" s="2950"/>
      <c r="QH21" s="2950"/>
      <c r="QI21" s="2950"/>
      <c r="QJ21" s="2950"/>
      <c r="QK21" s="2950"/>
      <c r="QL21" s="2950"/>
      <c r="QM21" s="2950"/>
      <c r="QN21" s="2950"/>
      <c r="QO21" s="2950"/>
      <c r="QP21" s="2950"/>
      <c r="QQ21" s="2950"/>
      <c r="QR21" s="2950"/>
      <c r="QS21" s="2950"/>
      <c r="QT21" s="2950"/>
      <c r="QU21" s="2950"/>
      <c r="QV21" s="2950"/>
      <c r="QW21" s="2950"/>
      <c r="QX21" s="2950"/>
      <c r="QY21" s="2950"/>
      <c r="QZ21" s="2950"/>
      <c r="RA21" s="2950"/>
      <c r="RB21" s="2950"/>
      <c r="RC21" s="2950"/>
      <c r="RD21" s="2950"/>
      <c r="RE21" s="2950"/>
      <c r="RF21" s="2950"/>
      <c r="RG21" s="2950"/>
      <c r="RH21" s="2950"/>
      <c r="RI21" s="2950"/>
      <c r="RJ21" s="2950"/>
      <c r="RK21" s="2950"/>
      <c r="RL21" s="2950"/>
      <c r="RM21" s="2950"/>
      <c r="RN21" s="2950"/>
      <c r="RO21" s="2950"/>
      <c r="RP21" s="2950"/>
      <c r="RQ21" s="2950"/>
      <c r="RR21" s="2950"/>
      <c r="RS21" s="2950"/>
      <c r="RT21" s="2950"/>
      <c r="RU21" s="2950"/>
      <c r="RV21" s="2950"/>
      <c r="RW21" s="2950"/>
      <c r="RX21" s="2950"/>
      <c r="RY21" s="2950"/>
      <c r="RZ21" s="2950"/>
      <c r="SA21" s="2950"/>
      <c r="SB21" s="2950"/>
      <c r="SC21" s="2950"/>
      <c r="SD21" s="2950"/>
      <c r="SE21" s="2950"/>
      <c r="SF21" s="2950"/>
      <c r="SG21" s="2950"/>
      <c r="SH21" s="2950"/>
      <c r="SI21" s="2950"/>
      <c r="SJ21" s="2950"/>
      <c r="SK21" s="2950"/>
      <c r="SL21" s="2950"/>
      <c r="SM21" s="2950"/>
      <c r="SN21" s="2950"/>
      <c r="SO21" s="2950"/>
      <c r="SP21" s="2950"/>
      <c r="SQ21" s="2950"/>
      <c r="SR21" s="2950"/>
      <c r="SS21" s="2950"/>
      <c r="ST21" s="2950"/>
      <c r="SU21" s="2950"/>
      <c r="SV21" s="2950"/>
      <c r="SW21" s="2950"/>
      <c r="SX21" s="2950"/>
      <c r="SY21" s="2950"/>
      <c r="SZ21" s="2950"/>
      <c r="TA21" s="2950"/>
      <c r="TB21" s="2950"/>
      <c r="TC21" s="2950"/>
      <c r="TD21" s="2950"/>
      <c r="TE21" s="2950"/>
      <c r="TF21" s="2950"/>
      <c r="TG21" s="2950"/>
      <c r="TH21" s="2950"/>
      <c r="TI21" s="2950"/>
      <c r="TJ21" s="2950"/>
      <c r="TK21" s="2950"/>
      <c r="TL21" s="2950"/>
      <c r="TM21" s="2950"/>
      <c r="TN21" s="2950"/>
      <c r="TO21" s="2950"/>
      <c r="TP21" s="2950"/>
      <c r="TQ21" s="2950"/>
      <c r="TR21" s="2950"/>
      <c r="TS21" s="2950"/>
      <c r="TT21" s="2950"/>
      <c r="TU21" s="2950"/>
      <c r="TV21" s="2950"/>
      <c r="TW21" s="2950"/>
      <c r="TX21" s="2950"/>
      <c r="TY21" s="2950"/>
      <c r="TZ21" s="2950"/>
      <c r="UA21" s="2950"/>
      <c r="UB21" s="2950"/>
      <c r="UC21" s="2950"/>
      <c r="UD21" s="2950"/>
      <c r="UE21" s="2950"/>
      <c r="UF21" s="2950"/>
      <c r="UG21" s="2950"/>
      <c r="UH21" s="2950"/>
      <c r="UI21" s="2950"/>
      <c r="UJ21" s="2950"/>
      <c r="UK21" s="2950"/>
      <c r="UL21" s="2950"/>
      <c r="UM21" s="2950"/>
      <c r="UN21" s="2950"/>
      <c r="UO21" s="2950"/>
      <c r="UP21" s="2950"/>
      <c r="UQ21" s="2950"/>
      <c r="UR21" s="2950"/>
      <c r="US21" s="2950"/>
      <c r="UT21" s="2950"/>
      <c r="UU21" s="2950"/>
      <c r="UV21" s="2950"/>
      <c r="UW21" s="2950"/>
      <c r="UX21" s="2950"/>
      <c r="UY21" s="2950"/>
      <c r="UZ21" s="2950"/>
      <c r="VA21" s="2950"/>
      <c r="VB21" s="2950"/>
      <c r="VC21" s="2950"/>
      <c r="VD21" s="2950"/>
      <c r="VE21" s="2950"/>
      <c r="VF21" s="2950"/>
      <c r="VG21" s="2950"/>
      <c r="VH21" s="2950"/>
      <c r="VI21" s="2950"/>
      <c r="VJ21" s="2950"/>
      <c r="VK21" s="2950"/>
      <c r="VL21" s="2950"/>
      <c r="VM21" s="2950"/>
      <c r="VN21" s="2950"/>
      <c r="VO21" s="2950"/>
      <c r="VP21" s="2950"/>
      <c r="VQ21" s="2950"/>
      <c r="VR21" s="2950"/>
      <c r="VS21" s="2950"/>
      <c r="VT21" s="2950"/>
      <c r="VU21" s="2950"/>
      <c r="VV21" s="2950"/>
      <c r="VW21" s="2950"/>
      <c r="VX21" s="2950"/>
      <c r="VY21" s="2950"/>
      <c r="VZ21" s="2950"/>
      <c r="WA21" s="2950"/>
      <c r="WB21" s="2950"/>
      <c r="WC21" s="2950"/>
      <c r="WD21" s="2950"/>
      <c r="WE21" s="2950"/>
      <c r="WF21" s="2950"/>
      <c r="WG21" s="2950"/>
      <c r="WH21" s="2950"/>
      <c r="WI21" s="2950"/>
      <c r="WJ21" s="2950"/>
      <c r="WK21" s="2950"/>
      <c r="WL21" s="2950"/>
      <c r="WM21" s="2950"/>
      <c r="WN21" s="2950"/>
      <c r="WO21" s="2950"/>
      <c r="WP21" s="2950"/>
      <c r="WQ21" s="2950"/>
      <c r="WR21" s="2950"/>
      <c r="WS21" s="2950"/>
      <c r="WT21" s="2950"/>
      <c r="WU21" s="2950"/>
      <c r="WV21" s="2950"/>
      <c r="WW21" s="2950"/>
      <c r="WX21" s="2950"/>
      <c r="WY21" s="2950"/>
      <c r="WZ21" s="2950"/>
      <c r="XA21" s="2950"/>
      <c r="XB21" s="2950"/>
      <c r="XC21" s="2950"/>
      <c r="XD21" s="2950"/>
      <c r="XE21" s="2950"/>
      <c r="XF21" s="2950"/>
      <c r="XG21" s="2950"/>
      <c r="XH21" s="2950"/>
      <c r="XI21" s="2950"/>
      <c r="XJ21" s="2950"/>
      <c r="XK21" s="2950"/>
      <c r="XL21" s="2950"/>
      <c r="XM21" s="2950"/>
      <c r="XN21" s="2950"/>
      <c r="XO21" s="2950"/>
      <c r="XP21" s="2950"/>
      <c r="XQ21" s="2950"/>
      <c r="XR21" s="2950"/>
      <c r="XS21" s="2950"/>
      <c r="XT21" s="2950"/>
      <c r="XU21" s="2950"/>
      <c r="XV21" s="2950"/>
      <c r="XW21" s="2950"/>
      <c r="XX21" s="2950"/>
      <c r="XY21" s="2950"/>
      <c r="XZ21" s="2950"/>
      <c r="YA21" s="2950"/>
      <c r="YB21" s="2950"/>
      <c r="YC21" s="2950"/>
      <c r="YD21" s="2950"/>
      <c r="YE21" s="2950"/>
      <c r="YF21" s="2950"/>
      <c r="YG21" s="2950"/>
      <c r="YH21" s="2950"/>
      <c r="YI21" s="2950"/>
      <c r="YJ21" s="2950"/>
      <c r="YK21" s="2950"/>
      <c r="YL21" s="2950"/>
      <c r="YM21" s="2950"/>
      <c r="YN21" s="2950"/>
      <c r="YO21" s="2950"/>
      <c r="YP21" s="2950"/>
      <c r="YQ21" s="2950"/>
      <c r="YR21" s="2950"/>
      <c r="YS21" s="2950"/>
      <c r="YT21" s="2950"/>
      <c r="YU21" s="2950"/>
      <c r="YV21" s="2950"/>
      <c r="YW21" s="2950"/>
      <c r="YX21" s="2950"/>
      <c r="YY21" s="2950"/>
      <c r="YZ21" s="2950"/>
      <c r="ZA21" s="2950"/>
      <c r="ZB21" s="2950"/>
      <c r="ZC21" s="2950"/>
      <c r="ZD21" s="2950"/>
      <c r="ZE21" s="2950"/>
      <c r="ZF21" s="2950"/>
      <c r="ZG21" s="2950"/>
      <c r="ZH21" s="2950"/>
      <c r="ZI21" s="2950"/>
      <c r="ZJ21" s="2950"/>
      <c r="ZK21" s="2950"/>
      <c r="ZL21" s="2950"/>
      <c r="ZM21" s="2950"/>
      <c r="ZN21" s="2950"/>
      <c r="ZO21" s="2950"/>
      <c r="ZP21" s="2950"/>
      <c r="ZQ21" s="2950"/>
      <c r="ZR21" s="2950"/>
      <c r="ZS21" s="2950"/>
      <c r="ZT21" s="2950"/>
      <c r="ZU21" s="2950"/>
      <c r="ZV21" s="2950"/>
      <c r="ZW21" s="2950"/>
      <c r="ZX21" s="2950"/>
      <c r="ZY21" s="2950"/>
      <c r="ZZ21" s="2950"/>
      <c r="AAA21" s="2950"/>
      <c r="AAB21" s="2950"/>
      <c r="AAC21" s="2950"/>
      <c r="AAD21" s="2950"/>
      <c r="AAE21" s="2950"/>
      <c r="AAF21" s="2950"/>
      <c r="AAG21" s="2950"/>
      <c r="AAH21" s="2950"/>
      <c r="AAI21" s="2950"/>
      <c r="AAJ21" s="2950"/>
      <c r="AAK21" s="2950"/>
      <c r="AAL21" s="2950"/>
      <c r="AAM21" s="2950"/>
      <c r="AAN21" s="2950"/>
      <c r="AAO21" s="2950"/>
      <c r="AAP21" s="2950"/>
      <c r="AAQ21" s="2950"/>
      <c r="AAR21" s="2950"/>
      <c r="AAS21" s="2950"/>
      <c r="AAT21" s="2950"/>
      <c r="AAU21" s="2950"/>
      <c r="AAV21" s="2950"/>
      <c r="AAW21" s="2950"/>
      <c r="AAX21" s="2950"/>
      <c r="AAY21" s="2950"/>
      <c r="AAZ21" s="2950"/>
      <c r="ABA21" s="2950"/>
      <c r="ABB21" s="2950"/>
      <c r="ABC21" s="2950"/>
      <c r="ABD21" s="2950"/>
      <c r="ABE21" s="2950"/>
      <c r="ABF21" s="2950"/>
      <c r="ABG21" s="2950"/>
      <c r="ABH21" s="2950"/>
      <c r="ABI21" s="2950"/>
      <c r="ABJ21" s="2950"/>
      <c r="ABK21" s="2950"/>
      <c r="ABL21" s="2950"/>
      <c r="ABM21" s="2950"/>
      <c r="ABN21" s="2950"/>
      <c r="ABO21" s="2950"/>
      <c r="ABP21" s="2950"/>
      <c r="ABQ21" s="2950"/>
      <c r="ABR21" s="2950"/>
      <c r="ABS21" s="2950"/>
      <c r="ABT21" s="2950"/>
      <c r="ABU21" s="2950"/>
      <c r="ABV21" s="2950"/>
      <c r="ABW21" s="2950"/>
      <c r="ABX21" s="2950"/>
      <c r="ABY21" s="2950"/>
      <c r="ABZ21" s="2950"/>
      <c r="ACA21" s="2950"/>
      <c r="ACB21" s="2950"/>
      <c r="ACC21" s="2950"/>
      <c r="ACD21" s="2950"/>
      <c r="ACE21" s="2950"/>
      <c r="ACF21" s="2950"/>
      <c r="ACG21" s="2950"/>
      <c r="ACH21" s="2950"/>
      <c r="ACI21" s="2950"/>
      <c r="ACJ21" s="2950"/>
      <c r="ACK21" s="2950"/>
      <c r="ACL21" s="2950"/>
      <c r="ACM21" s="2950"/>
      <c r="ACN21" s="2950"/>
      <c r="ACO21" s="2950"/>
      <c r="ACP21" s="2950"/>
      <c r="ACQ21" s="2950"/>
      <c r="ACR21" s="2950"/>
      <c r="ACS21" s="2950"/>
      <c r="ACT21" s="2950"/>
      <c r="ACU21" s="2950"/>
      <c r="ACV21" s="2950"/>
      <c r="ACW21" s="2950"/>
      <c r="ACX21" s="2950"/>
      <c r="ACY21" s="2950"/>
      <c r="ACZ21" s="2950"/>
      <c r="ADA21" s="2950"/>
      <c r="ADB21" s="2950"/>
      <c r="ADC21" s="2950"/>
      <c r="ADD21" s="2950"/>
      <c r="ADE21" s="2950"/>
      <c r="ADF21" s="2950"/>
      <c r="ADG21" s="2950"/>
      <c r="ADH21" s="2950"/>
      <c r="ADI21" s="2950"/>
      <c r="ADJ21" s="2950"/>
      <c r="ADK21" s="2950"/>
      <c r="ADL21" s="2950"/>
      <c r="ADM21" s="2950"/>
      <c r="ADN21" s="2950"/>
      <c r="ADO21" s="2950"/>
      <c r="ADP21" s="2950"/>
      <c r="ADQ21" s="2950"/>
      <c r="ADR21" s="2950"/>
      <c r="ADS21" s="2950"/>
      <c r="ADT21" s="2950"/>
      <c r="ADU21" s="2950"/>
      <c r="ADV21" s="2950"/>
      <c r="ADW21" s="2950"/>
      <c r="ADX21" s="2950"/>
      <c r="ADY21" s="2950"/>
      <c r="ADZ21" s="2950"/>
      <c r="AEA21" s="2950"/>
      <c r="AEB21" s="2950"/>
      <c r="AEC21" s="2950"/>
      <c r="AED21" s="2950"/>
      <c r="AEE21" s="2950"/>
      <c r="AEF21" s="2950"/>
      <c r="AEG21" s="2950"/>
      <c r="AEH21" s="2950"/>
      <c r="AEI21" s="2950"/>
      <c r="AEJ21" s="2950"/>
      <c r="AEK21" s="2950"/>
      <c r="AEL21" s="2950"/>
      <c r="AEM21" s="2950"/>
      <c r="AEN21" s="2950"/>
      <c r="AEO21" s="2950"/>
      <c r="AEP21" s="2950"/>
      <c r="AEQ21" s="2950"/>
      <c r="AER21" s="2950"/>
      <c r="AES21" s="2950"/>
      <c r="AET21" s="2950"/>
      <c r="AEU21" s="2950"/>
      <c r="AEV21" s="2950"/>
      <c r="AEW21" s="2950"/>
      <c r="AEX21" s="2950"/>
      <c r="AEY21" s="2950"/>
      <c r="AEZ21" s="2950"/>
      <c r="AFA21" s="2950"/>
      <c r="AFB21" s="2950"/>
      <c r="AFC21" s="2950"/>
      <c r="AFD21" s="2950"/>
      <c r="AFE21" s="2950"/>
      <c r="AFF21" s="2950"/>
      <c r="AFG21" s="2950"/>
      <c r="AFH21" s="2950"/>
      <c r="AFI21" s="2950"/>
      <c r="AFJ21" s="2950"/>
      <c r="AFK21" s="2950"/>
      <c r="AFL21" s="2950"/>
      <c r="AFM21" s="2950"/>
      <c r="AFN21" s="2950"/>
      <c r="AFO21" s="2950"/>
      <c r="AFP21" s="2950"/>
      <c r="AFQ21" s="2950"/>
      <c r="AFR21" s="2950"/>
      <c r="AFS21" s="2950"/>
      <c r="AFT21" s="2950"/>
      <c r="AFU21" s="2950"/>
      <c r="AFV21" s="2950"/>
      <c r="AFW21" s="2950"/>
      <c r="AFX21" s="2950"/>
      <c r="AFY21" s="2950"/>
      <c r="AFZ21" s="2950"/>
      <c r="AGA21" s="2950"/>
      <c r="AGB21" s="2950"/>
      <c r="AGC21" s="2950"/>
      <c r="AGD21" s="2950"/>
      <c r="AGE21" s="2950"/>
      <c r="AGF21" s="2950"/>
      <c r="AGG21" s="2950"/>
      <c r="AGH21" s="2950"/>
      <c r="AGI21" s="2950"/>
      <c r="AGJ21" s="2950"/>
      <c r="AGK21" s="2950"/>
      <c r="AGL21" s="2950"/>
      <c r="AGM21" s="2950"/>
      <c r="AGN21" s="2950"/>
      <c r="AGO21" s="2950"/>
      <c r="AGP21" s="2950"/>
      <c r="AGQ21" s="2950"/>
      <c r="AGR21" s="2950"/>
      <c r="AGS21" s="2950"/>
      <c r="AGT21" s="2950"/>
      <c r="AGU21" s="2950"/>
      <c r="AGV21" s="2950"/>
      <c r="AGW21" s="2950"/>
      <c r="AGX21" s="2950"/>
      <c r="AGY21" s="2950"/>
      <c r="AGZ21" s="2950"/>
      <c r="AHA21" s="2950"/>
      <c r="AHB21" s="2950"/>
      <c r="AHC21" s="2950"/>
      <c r="AHD21" s="2950"/>
      <c r="AHE21" s="2950"/>
      <c r="AHF21" s="2950"/>
      <c r="AHG21" s="2950"/>
      <c r="AHH21" s="2950"/>
      <c r="AHI21" s="2950"/>
      <c r="AHJ21" s="2950"/>
      <c r="AHK21" s="2950"/>
      <c r="AHL21" s="2950"/>
      <c r="AHM21" s="2950"/>
      <c r="AHN21" s="2950"/>
      <c r="AHO21" s="2950"/>
      <c r="AHP21" s="2950"/>
      <c r="AHQ21" s="2950"/>
      <c r="AHR21" s="2950"/>
      <c r="AHS21" s="2950"/>
      <c r="AHT21" s="2950"/>
      <c r="AHU21" s="2950"/>
      <c r="AHV21" s="2950"/>
      <c r="AHW21" s="2950"/>
      <c r="AHX21" s="2950"/>
      <c r="AHY21" s="2950"/>
      <c r="AHZ21" s="2950"/>
      <c r="AIA21" s="2950"/>
      <c r="AIB21" s="2950"/>
      <c r="AIC21" s="2950"/>
      <c r="AID21" s="2950"/>
      <c r="AIE21" s="2950"/>
      <c r="AIF21" s="2950"/>
      <c r="AIG21" s="2950"/>
      <c r="AIH21" s="2950"/>
      <c r="AII21" s="2950"/>
      <c r="AIJ21" s="2950"/>
      <c r="AIK21" s="2950"/>
      <c r="AIL21" s="2950"/>
      <c r="AIM21" s="2950"/>
      <c r="AIN21" s="2950"/>
      <c r="AIO21" s="2950"/>
      <c r="AIP21" s="2950"/>
      <c r="AIQ21" s="2950"/>
      <c r="AIR21" s="2950"/>
      <c r="AIS21" s="2950"/>
      <c r="AIT21" s="2950"/>
      <c r="AIU21" s="2950"/>
      <c r="AIV21" s="2950"/>
      <c r="AIW21" s="2950"/>
      <c r="AIX21" s="2950"/>
      <c r="AIY21" s="2950"/>
      <c r="AIZ21" s="2950"/>
      <c r="AJA21" s="2950"/>
      <c r="AJB21" s="2950"/>
      <c r="AJC21" s="2950"/>
      <c r="AJD21" s="2950"/>
      <c r="AJE21" s="2950"/>
      <c r="AJF21" s="2950"/>
      <c r="AJG21" s="2950"/>
      <c r="AJH21" s="2950"/>
      <c r="AJI21" s="2950"/>
      <c r="AJJ21" s="2950"/>
      <c r="AJK21" s="2950"/>
      <c r="AJL21" s="2950"/>
      <c r="AJM21" s="2950"/>
      <c r="AJN21" s="2950"/>
      <c r="AJO21" s="2950"/>
      <c r="AJP21" s="2950"/>
      <c r="AJQ21" s="2950"/>
      <c r="AJR21" s="2950"/>
      <c r="AJS21" s="2950"/>
      <c r="AJT21" s="2950"/>
      <c r="AJU21" s="2950"/>
      <c r="AJV21" s="2950"/>
      <c r="AJW21" s="2950"/>
      <c r="AJX21" s="2950"/>
      <c r="AJY21" s="2950"/>
      <c r="AJZ21" s="2950"/>
      <c r="AKA21" s="2950"/>
      <c r="AKB21" s="2950"/>
      <c r="AKC21" s="2950"/>
      <c r="AKD21" s="2950"/>
      <c r="AKE21" s="2950"/>
      <c r="AKF21" s="2950"/>
      <c r="AKG21" s="2950"/>
      <c r="AKH21" s="2950"/>
      <c r="AKI21" s="2950"/>
      <c r="AKJ21" s="2950"/>
      <c r="AKK21" s="2950"/>
      <c r="AKL21" s="2950"/>
      <c r="AKM21" s="2950"/>
      <c r="AKN21" s="2950"/>
      <c r="AKO21" s="2950"/>
      <c r="AKP21" s="2950"/>
      <c r="AKQ21" s="2950"/>
      <c r="AKR21" s="2950"/>
      <c r="AKS21" s="2950"/>
      <c r="AKT21" s="2950"/>
      <c r="AKU21" s="2950"/>
      <c r="AKV21" s="2950"/>
      <c r="AKW21" s="2950"/>
      <c r="AKX21" s="2950"/>
      <c r="AKY21" s="2950"/>
      <c r="AKZ21" s="2950"/>
      <c r="ALA21" s="2950"/>
      <c r="ALB21" s="2950"/>
      <c r="ALC21" s="2950"/>
      <c r="ALD21" s="2950"/>
      <c r="ALE21" s="2950"/>
      <c r="ALF21" s="2950"/>
      <c r="ALG21" s="2950"/>
      <c r="ALH21" s="2950"/>
      <c r="ALI21" s="2950"/>
      <c r="ALJ21" s="2950"/>
      <c r="ALK21" s="2950"/>
      <c r="ALL21" s="2950"/>
      <c r="ALM21" s="2950"/>
      <c r="ALN21" s="2950"/>
      <c r="ALO21" s="2950"/>
      <c r="ALP21" s="2950"/>
      <c r="ALQ21" s="2950"/>
      <c r="ALR21" s="2950"/>
      <c r="ALS21" s="2950"/>
      <c r="ALT21" s="2950"/>
      <c r="ALU21" s="2950"/>
      <c r="ALV21" s="2950"/>
      <c r="ALW21" s="2950"/>
      <c r="ALX21" s="2950"/>
      <c r="ALY21" s="2950"/>
      <c r="ALZ21" s="2950"/>
      <c r="AMA21" s="2950"/>
      <c r="AMB21" s="2950"/>
      <c r="AMC21" s="2950"/>
      <c r="AMD21" s="2950"/>
      <c r="AME21" s="2950"/>
      <c r="AMF21" s="2950"/>
      <c r="AMG21" s="2950"/>
      <c r="AMH21" s="2950"/>
      <c r="AMI21" s="2950"/>
      <c r="AMJ21" s="2950"/>
      <c r="AMK21" s="2950"/>
      <c r="AML21" s="2950"/>
      <c r="AMM21" s="2950"/>
      <c r="AMN21" s="2950"/>
      <c r="AMO21" s="2950"/>
      <c r="AMP21" s="2950"/>
      <c r="AMQ21" s="2950"/>
      <c r="AMR21" s="2950"/>
      <c r="AMS21" s="2950"/>
      <c r="AMT21" s="2950"/>
      <c r="AMU21" s="2950"/>
      <c r="AMV21" s="2950"/>
      <c r="AMW21" s="2950"/>
      <c r="AMX21" s="2950"/>
      <c r="AMY21" s="2950"/>
      <c r="AMZ21" s="2950"/>
      <c r="ANA21" s="2950"/>
      <c r="ANB21" s="2950"/>
      <c r="ANC21" s="2950"/>
      <c r="AND21" s="2950"/>
      <c r="ANE21" s="2950"/>
      <c r="ANF21" s="2950"/>
      <c r="ANG21" s="2950"/>
      <c r="ANH21" s="2950"/>
      <c r="ANI21" s="2950"/>
      <c r="ANJ21" s="2950"/>
      <c r="ANK21" s="2950"/>
      <c r="ANL21" s="2950"/>
      <c r="ANM21" s="2950"/>
      <c r="ANN21" s="2950"/>
      <c r="ANO21" s="2950"/>
      <c r="ANP21" s="2950"/>
      <c r="ANQ21" s="2950"/>
      <c r="ANR21" s="2950"/>
      <c r="ANS21" s="2950"/>
      <c r="ANT21" s="2950"/>
      <c r="ANU21" s="2950"/>
      <c r="ANV21" s="2950"/>
      <c r="ANW21" s="2950"/>
      <c r="ANX21" s="2950"/>
      <c r="ANY21" s="2950"/>
      <c r="ANZ21" s="2950"/>
      <c r="AOA21" s="2950"/>
      <c r="AOB21" s="2950"/>
      <c r="AOC21" s="2950"/>
      <c r="AOD21" s="2950"/>
      <c r="AOE21" s="2950"/>
      <c r="AOF21" s="2950"/>
      <c r="AOG21" s="2950"/>
      <c r="AOH21" s="2950"/>
      <c r="AOI21" s="2950"/>
      <c r="AOJ21" s="2950"/>
      <c r="AOK21" s="2950"/>
      <c r="AOL21" s="2950"/>
      <c r="AOM21" s="2950"/>
      <c r="AON21" s="2950"/>
      <c r="AOO21" s="2950"/>
      <c r="AOP21" s="2950"/>
      <c r="AOQ21" s="2950"/>
      <c r="AOR21" s="2950"/>
      <c r="AOS21" s="2950"/>
      <c r="AOT21" s="2950"/>
      <c r="AOU21" s="2950"/>
      <c r="AOV21" s="2950"/>
      <c r="AOW21" s="2950"/>
      <c r="AOX21" s="2950"/>
      <c r="AOY21" s="2950"/>
      <c r="AOZ21" s="2950"/>
      <c r="APA21" s="2950"/>
      <c r="APB21" s="2950"/>
      <c r="APC21" s="2950"/>
      <c r="APD21" s="2950"/>
      <c r="APE21" s="2950"/>
      <c r="APF21" s="2950"/>
      <c r="APG21" s="2950"/>
      <c r="APH21" s="2950"/>
      <c r="API21" s="2950"/>
      <c r="APJ21" s="2950"/>
      <c r="APK21" s="2950"/>
      <c r="APL21" s="2950"/>
      <c r="APM21" s="2950"/>
      <c r="APN21" s="2950"/>
      <c r="APO21" s="2950"/>
      <c r="APP21" s="2950"/>
      <c r="APQ21" s="2950"/>
      <c r="APR21" s="2950"/>
      <c r="APS21" s="2950"/>
      <c r="APT21" s="2950"/>
      <c r="APU21" s="2950"/>
      <c r="APV21" s="2950"/>
      <c r="APW21" s="2950"/>
      <c r="APX21" s="2950"/>
      <c r="APY21" s="2950"/>
      <c r="APZ21" s="2950"/>
      <c r="AQA21" s="2950"/>
      <c r="AQB21" s="2950"/>
      <c r="AQC21" s="2950"/>
      <c r="AQD21" s="2950"/>
      <c r="AQE21" s="2950"/>
      <c r="AQF21" s="2950"/>
      <c r="AQG21" s="2950"/>
      <c r="AQH21" s="2950"/>
      <c r="AQI21" s="2950"/>
      <c r="AQJ21" s="2950"/>
      <c r="AQK21" s="2950"/>
      <c r="AQL21" s="2950"/>
      <c r="AQM21" s="2950"/>
      <c r="AQN21" s="2950"/>
      <c r="AQO21" s="2950"/>
      <c r="AQP21" s="2950"/>
      <c r="AQQ21" s="2950"/>
      <c r="AQR21" s="2950"/>
      <c r="AQS21" s="2950"/>
      <c r="AQT21" s="2950"/>
      <c r="AQU21" s="2950"/>
      <c r="AQV21" s="2950"/>
      <c r="AQW21" s="2950"/>
      <c r="AQX21" s="2950"/>
      <c r="AQY21" s="2950"/>
      <c r="AQZ21" s="2950"/>
      <c r="ARA21" s="2950"/>
      <c r="ARB21" s="2950"/>
      <c r="ARC21" s="2950"/>
      <c r="ARD21" s="2950"/>
      <c r="ARE21" s="2950"/>
      <c r="ARF21" s="2950"/>
      <c r="ARG21" s="2950"/>
      <c r="ARH21" s="2950"/>
      <c r="ARI21" s="2950"/>
      <c r="ARJ21" s="2950"/>
      <c r="ARK21" s="2950"/>
      <c r="ARL21" s="2950"/>
      <c r="ARM21" s="2950"/>
      <c r="ARN21" s="2950"/>
      <c r="ARO21" s="2950"/>
      <c r="ARP21" s="2950"/>
      <c r="ARQ21" s="2950"/>
      <c r="ARR21" s="2950"/>
      <c r="ARS21" s="2950"/>
      <c r="ART21" s="2950"/>
      <c r="ARU21" s="2950"/>
      <c r="ARV21" s="2950"/>
      <c r="ARW21" s="2950"/>
      <c r="ARX21" s="2950"/>
      <c r="ARY21" s="2950"/>
      <c r="ARZ21" s="2950"/>
      <c r="ASA21" s="2950"/>
      <c r="ASB21" s="2950"/>
      <c r="ASC21" s="2950"/>
      <c r="ASD21" s="2950"/>
      <c r="ASE21" s="2950"/>
      <c r="ASF21" s="2950"/>
      <c r="ASG21" s="2950"/>
      <c r="ASH21" s="2950"/>
      <c r="ASI21" s="2950"/>
      <c r="ASJ21" s="2950"/>
      <c r="ASK21" s="2950"/>
      <c r="ASL21" s="2950"/>
      <c r="ASM21" s="2950"/>
      <c r="ASN21" s="2950"/>
      <c r="ASO21" s="2950"/>
      <c r="ASP21" s="2950"/>
      <c r="ASQ21" s="2950"/>
      <c r="ASR21" s="2950"/>
      <c r="ASS21" s="2950"/>
      <c r="AST21" s="2950"/>
      <c r="ASU21" s="2950"/>
      <c r="ASV21" s="2950"/>
      <c r="ASW21" s="2950"/>
      <c r="ASX21" s="2950"/>
      <c r="ASY21" s="2950"/>
      <c r="ASZ21" s="2950"/>
      <c r="ATA21" s="2950"/>
      <c r="ATB21" s="2950"/>
      <c r="ATC21" s="2950"/>
      <c r="ATD21" s="2950"/>
      <c r="ATE21" s="2950"/>
      <c r="ATF21" s="2950"/>
      <c r="ATG21" s="2950"/>
      <c r="ATH21" s="2950"/>
      <c r="ATI21" s="2950"/>
      <c r="ATJ21" s="2950"/>
      <c r="ATK21" s="2950"/>
      <c r="ATL21" s="2950"/>
      <c r="ATM21" s="2950"/>
      <c r="ATN21" s="2950"/>
      <c r="ATO21" s="2950"/>
      <c r="ATP21" s="2950"/>
      <c r="ATQ21" s="2950"/>
      <c r="ATR21" s="2950"/>
      <c r="ATS21" s="2950"/>
      <c r="ATT21" s="2950"/>
      <c r="ATU21" s="2950"/>
      <c r="ATV21" s="2950"/>
      <c r="ATW21" s="2950"/>
      <c r="ATX21" s="2950"/>
      <c r="ATY21" s="2950"/>
      <c r="ATZ21" s="2950"/>
      <c r="AUA21" s="2950"/>
      <c r="AUB21" s="2950"/>
      <c r="AUC21" s="2950"/>
      <c r="AUD21" s="2950"/>
      <c r="AUE21" s="2950"/>
      <c r="AUF21" s="2950"/>
      <c r="AUG21" s="2950"/>
      <c r="AUH21" s="2950"/>
      <c r="AUI21" s="2950"/>
      <c r="AUJ21" s="2950"/>
      <c r="AUK21" s="2950"/>
      <c r="AUL21" s="2950"/>
      <c r="AUM21" s="2950"/>
      <c r="AUN21" s="2950"/>
      <c r="AUO21" s="2950"/>
      <c r="AUP21" s="2950"/>
      <c r="AUQ21" s="2950"/>
      <c r="AUR21" s="2950"/>
      <c r="AUS21" s="2950"/>
      <c r="AUT21" s="2950"/>
      <c r="AUU21" s="2950"/>
      <c r="AUV21" s="2950"/>
      <c r="AUW21" s="2950"/>
      <c r="AUX21" s="2950"/>
      <c r="AUY21" s="2950"/>
      <c r="AUZ21" s="2950"/>
      <c r="AVA21" s="2950"/>
      <c r="AVB21" s="2950"/>
      <c r="AVC21" s="2950"/>
      <c r="AVD21" s="2950"/>
      <c r="AVE21" s="2950"/>
      <c r="AVF21" s="2950"/>
      <c r="AVG21" s="2950"/>
      <c r="AVH21" s="2950"/>
      <c r="AVI21" s="2950"/>
      <c r="AVJ21" s="2950"/>
      <c r="AVK21" s="2950"/>
      <c r="AVL21" s="2950"/>
      <c r="AVM21" s="2950"/>
      <c r="AVN21" s="2950"/>
      <c r="AVO21" s="2950"/>
      <c r="AVP21" s="2950"/>
      <c r="AVQ21" s="2950"/>
      <c r="AVR21" s="2950"/>
      <c r="AVS21" s="2950"/>
      <c r="AVT21" s="2950"/>
      <c r="AVU21" s="2950"/>
      <c r="AVV21" s="2950"/>
      <c r="AVW21" s="2950"/>
      <c r="AVX21" s="2950"/>
      <c r="AVY21" s="2950"/>
      <c r="AVZ21" s="2950"/>
      <c r="AWA21" s="2950"/>
      <c r="AWB21" s="2950"/>
      <c r="AWC21" s="2950"/>
      <c r="AWD21" s="2950"/>
      <c r="AWE21" s="2950"/>
      <c r="AWF21" s="2950"/>
      <c r="AWG21" s="2950"/>
      <c r="AWH21" s="2950"/>
      <c r="AWI21" s="2950"/>
      <c r="AWJ21" s="2950"/>
      <c r="AWK21" s="2950"/>
      <c r="AWL21" s="2950"/>
      <c r="AWM21" s="2950"/>
      <c r="AWN21" s="2950"/>
      <c r="AWO21" s="2950"/>
      <c r="AWP21" s="2950"/>
      <c r="AWQ21" s="2950"/>
      <c r="AWR21" s="2950"/>
      <c r="AWS21" s="2950"/>
      <c r="AWT21" s="2950"/>
      <c r="AWU21" s="2950"/>
      <c r="AWV21" s="2950"/>
      <c r="AWW21" s="2950"/>
      <c r="AWX21" s="2950"/>
      <c r="AWY21" s="2950"/>
      <c r="AWZ21" s="2950"/>
      <c r="AXA21" s="2950"/>
      <c r="AXB21" s="2950"/>
      <c r="AXC21" s="2950"/>
      <c r="AXD21" s="2950"/>
      <c r="AXE21" s="2950"/>
      <c r="AXF21" s="2950"/>
      <c r="AXG21" s="2950"/>
      <c r="AXH21" s="2950"/>
      <c r="AXI21" s="2950"/>
      <c r="AXJ21" s="2950"/>
      <c r="AXK21" s="2950"/>
      <c r="AXL21" s="2950"/>
      <c r="AXM21" s="2950"/>
      <c r="AXN21" s="2950"/>
      <c r="AXO21" s="2950"/>
      <c r="AXP21" s="2950"/>
      <c r="AXQ21" s="2950"/>
      <c r="AXR21" s="2950"/>
      <c r="AXS21" s="2950"/>
      <c r="AXT21" s="2950"/>
      <c r="AXU21" s="2950"/>
      <c r="AXV21" s="2950"/>
      <c r="AXW21" s="2950"/>
      <c r="AXX21" s="2950"/>
      <c r="AXY21" s="2950"/>
      <c r="AXZ21" s="2950"/>
      <c r="AYA21" s="2950"/>
      <c r="AYB21" s="2950"/>
      <c r="AYC21" s="2950"/>
      <c r="AYD21" s="2950"/>
      <c r="AYE21" s="2950"/>
      <c r="AYF21" s="2950"/>
      <c r="AYG21" s="2950"/>
      <c r="AYH21" s="2950"/>
      <c r="AYI21" s="2950"/>
      <c r="AYJ21" s="2950"/>
      <c r="AYK21" s="2950"/>
      <c r="AYL21" s="2950"/>
      <c r="AYM21" s="2950"/>
      <c r="AYN21" s="2950"/>
      <c r="AYO21" s="2950"/>
      <c r="AYP21" s="2950"/>
      <c r="AYQ21" s="2950"/>
      <c r="AYR21" s="2950"/>
      <c r="AYS21" s="2950"/>
      <c r="AYT21" s="2950"/>
      <c r="AYU21" s="2950"/>
      <c r="AYV21" s="2950"/>
      <c r="AYW21" s="2950"/>
      <c r="AYX21" s="2950"/>
      <c r="AYY21" s="2950"/>
      <c r="AYZ21" s="2950"/>
      <c r="AZA21" s="2950"/>
      <c r="AZB21" s="2950"/>
      <c r="AZC21" s="2950"/>
      <c r="AZD21" s="2950"/>
      <c r="AZE21" s="2950"/>
      <c r="AZF21" s="2950"/>
      <c r="AZG21" s="2950"/>
      <c r="AZH21" s="2950"/>
      <c r="AZI21" s="2950"/>
      <c r="AZJ21" s="2950"/>
      <c r="AZK21" s="2950"/>
      <c r="AZL21" s="2950"/>
      <c r="AZM21" s="2950"/>
      <c r="AZN21" s="2950"/>
      <c r="AZO21" s="2950"/>
      <c r="AZP21" s="2950"/>
      <c r="AZQ21" s="2950"/>
      <c r="AZR21" s="2950"/>
      <c r="AZS21" s="2950"/>
      <c r="AZT21" s="2950"/>
      <c r="AZU21" s="2950"/>
      <c r="AZV21" s="2950"/>
      <c r="AZW21" s="2950"/>
      <c r="AZX21" s="2950"/>
      <c r="AZY21" s="2950"/>
      <c r="AZZ21" s="2950"/>
      <c r="BAA21" s="2950"/>
      <c r="BAB21" s="2950"/>
      <c r="BAC21" s="2950"/>
      <c r="BAD21" s="2950"/>
      <c r="BAE21" s="2950"/>
      <c r="BAF21" s="2950"/>
      <c r="BAG21" s="2950"/>
      <c r="BAH21" s="2950"/>
      <c r="BAI21" s="2950"/>
      <c r="BAJ21" s="2950"/>
      <c r="BAK21" s="2950"/>
      <c r="BAL21" s="2950"/>
      <c r="BAM21" s="2950"/>
      <c r="BAN21" s="2950"/>
      <c r="BAO21" s="2950"/>
      <c r="BAP21" s="2950"/>
      <c r="BAQ21" s="2950"/>
      <c r="BAR21" s="2950"/>
      <c r="BAS21" s="2950"/>
      <c r="BAT21" s="2950"/>
      <c r="BAU21" s="2950"/>
      <c r="BAV21" s="2950"/>
      <c r="BAW21" s="2950"/>
      <c r="BAX21" s="2950"/>
      <c r="BAY21" s="2950"/>
      <c r="BAZ21" s="2950"/>
      <c r="BBA21" s="2950"/>
      <c r="BBB21" s="2950"/>
      <c r="BBC21" s="2950"/>
      <c r="BBD21" s="2950"/>
      <c r="BBE21" s="2950"/>
      <c r="BBF21" s="2950"/>
      <c r="BBG21" s="2950"/>
      <c r="BBH21" s="2950"/>
      <c r="BBI21" s="2950"/>
      <c r="BBJ21" s="2950"/>
      <c r="BBK21" s="2950"/>
      <c r="BBL21" s="2950"/>
      <c r="BBM21" s="2950"/>
      <c r="BBN21" s="2950"/>
      <c r="BBO21" s="2950"/>
      <c r="BBP21" s="2950"/>
      <c r="BBQ21" s="2950"/>
      <c r="BBR21" s="2950"/>
      <c r="BBS21" s="2950"/>
      <c r="BBT21" s="2950"/>
      <c r="BBU21" s="2950"/>
      <c r="BBV21" s="2950"/>
      <c r="BBW21" s="2950"/>
      <c r="BBX21" s="2950"/>
      <c r="BBY21" s="2950"/>
      <c r="BBZ21" s="2950"/>
      <c r="BCA21" s="2950"/>
      <c r="BCB21" s="2950"/>
      <c r="BCC21" s="2950"/>
      <c r="BCD21" s="2950"/>
      <c r="BCE21" s="2950"/>
      <c r="BCF21" s="2950"/>
      <c r="BCG21" s="2950"/>
      <c r="BCH21" s="2950"/>
      <c r="BCI21" s="2950"/>
      <c r="BCJ21" s="2950"/>
      <c r="BCK21" s="2950"/>
      <c r="BCL21" s="2950"/>
      <c r="BCM21" s="2950"/>
      <c r="BCN21" s="2950"/>
      <c r="BCO21" s="2950"/>
      <c r="BCP21" s="2950"/>
      <c r="BCQ21" s="2950"/>
      <c r="BCR21" s="2950"/>
      <c r="BCS21" s="2950"/>
      <c r="BCT21" s="2950"/>
      <c r="BCU21" s="2950"/>
      <c r="BCV21" s="2950"/>
      <c r="BCW21" s="2950"/>
      <c r="BCX21" s="2950"/>
      <c r="BCY21" s="2950"/>
      <c r="BCZ21" s="2950"/>
      <c r="BDA21" s="2950"/>
      <c r="BDB21" s="2950"/>
      <c r="BDC21" s="2950"/>
      <c r="BDD21" s="2950"/>
      <c r="BDE21" s="2950"/>
      <c r="BDF21" s="2950"/>
      <c r="BDG21" s="2950"/>
      <c r="BDH21" s="2950"/>
      <c r="BDI21" s="2950"/>
      <c r="BDJ21" s="2950"/>
      <c r="BDK21" s="2950"/>
      <c r="BDL21" s="2950"/>
      <c r="BDM21" s="2950"/>
      <c r="BDN21" s="2950"/>
      <c r="BDO21" s="2950"/>
      <c r="BDP21" s="2950"/>
      <c r="BDQ21" s="2950"/>
      <c r="BDR21" s="2950"/>
      <c r="BDS21" s="2950"/>
      <c r="BDT21" s="2950"/>
      <c r="BDU21" s="2950"/>
      <c r="BDV21" s="2950"/>
      <c r="BDW21" s="2950"/>
      <c r="BDX21" s="2950"/>
      <c r="BDY21" s="2950"/>
      <c r="BDZ21" s="2950"/>
      <c r="BEA21" s="2950"/>
      <c r="BEB21" s="2950"/>
      <c r="BEC21" s="2950"/>
      <c r="BED21" s="2950"/>
      <c r="BEE21" s="2950"/>
      <c r="BEF21" s="2950"/>
      <c r="BEG21" s="2950"/>
      <c r="BEH21" s="2950"/>
      <c r="BEI21" s="2950"/>
      <c r="BEJ21" s="2950"/>
      <c r="BEK21" s="2950"/>
      <c r="BEL21" s="2950"/>
      <c r="BEM21" s="2950"/>
      <c r="BEN21" s="2950"/>
      <c r="BEO21" s="2950"/>
      <c r="BEP21" s="2950"/>
      <c r="BEQ21" s="2950"/>
      <c r="BER21" s="2950"/>
      <c r="BES21" s="2950"/>
      <c r="BET21" s="2950"/>
      <c r="BEU21" s="2950"/>
      <c r="BEV21" s="2950"/>
      <c r="BEW21" s="2950"/>
      <c r="BEX21" s="2950"/>
      <c r="BEY21" s="2950"/>
      <c r="BEZ21" s="2950"/>
      <c r="BFA21" s="2950"/>
      <c r="BFB21" s="2950"/>
      <c r="BFC21" s="2950"/>
      <c r="BFD21" s="2950"/>
      <c r="BFE21" s="2950"/>
      <c r="BFF21" s="2950"/>
      <c r="BFG21" s="2950"/>
      <c r="BFH21" s="2950"/>
      <c r="BFI21" s="2950"/>
      <c r="BFJ21" s="2950"/>
      <c r="BFK21" s="2950"/>
      <c r="BFL21" s="2950"/>
      <c r="BFM21" s="2950"/>
      <c r="BFN21" s="2950"/>
      <c r="BFO21" s="2950"/>
      <c r="BFP21" s="2950"/>
      <c r="BFQ21" s="2950"/>
      <c r="BFR21" s="2950"/>
      <c r="BFS21" s="2950"/>
      <c r="BFT21" s="2950"/>
      <c r="BFU21" s="2950"/>
      <c r="BFV21" s="2950"/>
      <c r="BFW21" s="2950"/>
      <c r="BFX21" s="2950"/>
      <c r="BFY21" s="2950"/>
      <c r="BFZ21" s="2950"/>
      <c r="BGA21" s="2950"/>
      <c r="BGB21" s="2950"/>
      <c r="BGC21" s="2950"/>
      <c r="BGD21" s="2950"/>
      <c r="BGE21" s="2950"/>
      <c r="BGF21" s="2950"/>
      <c r="BGG21" s="2950"/>
      <c r="BGH21" s="2950"/>
      <c r="BGI21" s="2950"/>
      <c r="BGJ21" s="2950"/>
      <c r="BGK21" s="2950"/>
      <c r="BGL21" s="2950"/>
      <c r="BGM21" s="2950"/>
      <c r="BGN21" s="2950"/>
      <c r="BGO21" s="2950"/>
      <c r="BGP21" s="2950"/>
      <c r="BGQ21" s="2950"/>
      <c r="BGR21" s="2950"/>
      <c r="BGS21" s="2950"/>
      <c r="BGT21" s="2950"/>
      <c r="BGU21" s="2950"/>
      <c r="BGV21" s="2950"/>
      <c r="BGW21" s="2950"/>
      <c r="BGX21" s="2950"/>
      <c r="BGY21" s="2950"/>
      <c r="BGZ21" s="2950"/>
      <c r="BHA21" s="2950"/>
      <c r="BHB21" s="2950"/>
      <c r="BHC21" s="2950"/>
      <c r="BHD21" s="2950"/>
      <c r="BHE21" s="2950"/>
      <c r="BHF21" s="2950"/>
      <c r="BHG21" s="2950"/>
      <c r="BHH21" s="2950"/>
      <c r="BHI21" s="2950"/>
      <c r="BHJ21" s="2950"/>
      <c r="BHK21" s="2950"/>
      <c r="BHL21" s="2950"/>
      <c r="BHM21" s="2950"/>
      <c r="BHN21" s="2950"/>
      <c r="BHO21" s="2950"/>
      <c r="BHP21" s="2950"/>
      <c r="BHQ21" s="2950"/>
      <c r="BHR21" s="2950"/>
      <c r="BHS21" s="2950"/>
      <c r="BHT21" s="2950"/>
      <c r="BHU21" s="2950"/>
      <c r="BHV21" s="2950"/>
      <c r="BHW21" s="2950"/>
      <c r="BHX21" s="2950"/>
      <c r="BHY21" s="2950"/>
      <c r="BHZ21" s="2950"/>
      <c r="BIA21" s="2950"/>
      <c r="BIB21" s="2950"/>
      <c r="BIC21" s="2950"/>
      <c r="BID21" s="2950"/>
      <c r="BIE21" s="2950"/>
      <c r="BIF21" s="2950"/>
      <c r="BIG21" s="2950"/>
      <c r="BIH21" s="2950"/>
      <c r="BII21" s="2950"/>
      <c r="BIJ21" s="2950"/>
      <c r="BIK21" s="2950"/>
      <c r="BIL21" s="2950"/>
      <c r="BIM21" s="2950"/>
      <c r="BIN21" s="2950"/>
      <c r="BIO21" s="2950"/>
      <c r="BIP21" s="2950"/>
      <c r="BIQ21" s="2950"/>
      <c r="BIR21" s="2950"/>
      <c r="BIS21" s="2950"/>
      <c r="BIT21" s="2950"/>
      <c r="BIU21" s="2950"/>
      <c r="BIV21" s="2950"/>
      <c r="BIW21" s="2950"/>
      <c r="BIX21" s="2950"/>
      <c r="BIY21" s="2950"/>
      <c r="BIZ21" s="2950"/>
      <c r="BJA21" s="2950"/>
      <c r="BJB21" s="2950"/>
      <c r="BJC21" s="2950"/>
      <c r="BJD21" s="2950"/>
      <c r="BJE21" s="2950"/>
      <c r="BJF21" s="2950"/>
      <c r="BJG21" s="2950"/>
      <c r="BJH21" s="2950"/>
      <c r="BJI21" s="2950"/>
      <c r="BJJ21" s="2950"/>
      <c r="BJK21" s="2950"/>
      <c r="BJL21" s="2950"/>
      <c r="BJM21" s="2950"/>
      <c r="BJN21" s="2950"/>
      <c r="BJO21" s="2950"/>
      <c r="BJP21" s="2950"/>
      <c r="BJQ21" s="2950"/>
      <c r="BJR21" s="2950"/>
      <c r="BJS21" s="2950"/>
      <c r="BJT21" s="2950"/>
      <c r="BJU21" s="2950"/>
      <c r="BJV21" s="2950"/>
      <c r="BJW21" s="2950"/>
      <c r="BJX21" s="2950"/>
      <c r="BJY21" s="2950"/>
      <c r="BJZ21" s="2950"/>
      <c r="BKA21" s="2950"/>
      <c r="BKB21" s="2950"/>
      <c r="BKC21" s="2950"/>
      <c r="BKD21" s="2950"/>
      <c r="BKE21" s="2950"/>
      <c r="BKF21" s="2950"/>
      <c r="BKG21" s="2950"/>
      <c r="BKH21" s="2950"/>
      <c r="BKI21" s="2950"/>
      <c r="BKJ21" s="2950"/>
      <c r="BKK21" s="2950"/>
      <c r="BKL21" s="2950"/>
      <c r="BKM21" s="2950"/>
      <c r="BKN21" s="2950"/>
      <c r="BKO21" s="2950"/>
      <c r="BKP21" s="2950"/>
      <c r="BKQ21" s="2950"/>
      <c r="BKR21" s="2950"/>
      <c r="BKS21" s="2950"/>
      <c r="BKT21" s="2950"/>
      <c r="BKU21" s="2950"/>
      <c r="BKV21" s="2950"/>
      <c r="BKW21" s="2950"/>
      <c r="BKX21" s="2950"/>
      <c r="BKY21" s="2950"/>
      <c r="BKZ21" s="2950"/>
      <c r="BLA21" s="2950"/>
      <c r="BLB21" s="2950"/>
      <c r="BLC21" s="2950"/>
      <c r="BLD21" s="2950"/>
      <c r="BLE21" s="2950"/>
      <c r="BLF21" s="2950"/>
      <c r="BLG21" s="2950"/>
      <c r="BLH21" s="2950"/>
      <c r="BLI21" s="2950"/>
      <c r="BLJ21" s="2950"/>
      <c r="BLK21" s="2950"/>
      <c r="BLL21" s="2950"/>
      <c r="BLM21" s="2950"/>
      <c r="BLN21" s="2950"/>
      <c r="BLO21" s="2950"/>
      <c r="BLP21" s="2950"/>
      <c r="BLQ21" s="2950"/>
      <c r="BLR21" s="2950"/>
      <c r="BLS21" s="2950"/>
      <c r="BLT21" s="2950"/>
      <c r="BLU21" s="2950"/>
      <c r="BLV21" s="2950"/>
      <c r="BLW21" s="2950"/>
      <c r="BLX21" s="2950"/>
      <c r="BLY21" s="2950"/>
      <c r="BLZ21" s="2950"/>
      <c r="BMA21" s="2950"/>
      <c r="BMB21" s="2950"/>
      <c r="BMC21" s="2950"/>
      <c r="BMD21" s="2950"/>
      <c r="BME21" s="2950"/>
      <c r="BMF21" s="2950"/>
      <c r="BMG21" s="2950"/>
      <c r="BMH21" s="2950"/>
      <c r="BMI21" s="2950"/>
      <c r="BMJ21" s="2950"/>
      <c r="BMK21" s="2950"/>
      <c r="BML21" s="2950"/>
      <c r="BMM21" s="2950"/>
      <c r="BMN21" s="2950"/>
      <c r="BMO21" s="2950"/>
      <c r="BMP21" s="2950"/>
      <c r="BMQ21" s="2950"/>
      <c r="BMR21" s="2950"/>
      <c r="BMS21" s="2950"/>
      <c r="BMT21" s="2950"/>
      <c r="BMU21" s="2950"/>
      <c r="BMV21" s="2950"/>
      <c r="BMW21" s="2950"/>
      <c r="BMX21" s="2950"/>
      <c r="BMY21" s="2950"/>
      <c r="BMZ21" s="2950"/>
      <c r="BNA21" s="2950"/>
      <c r="BNB21" s="2950"/>
      <c r="BNC21" s="2950"/>
      <c r="BND21" s="2950"/>
      <c r="BNE21" s="2950"/>
      <c r="BNF21" s="2950"/>
      <c r="BNG21" s="2950"/>
      <c r="BNH21" s="2950"/>
      <c r="BNI21" s="2950"/>
      <c r="BNJ21" s="2950"/>
      <c r="BNK21" s="2950"/>
      <c r="BNL21" s="2950"/>
      <c r="BNM21" s="2950"/>
      <c r="BNN21" s="2950"/>
      <c r="BNO21" s="2950"/>
      <c r="BNP21" s="2950"/>
      <c r="BNQ21" s="2950"/>
      <c r="BNR21" s="2950"/>
      <c r="BNS21" s="2950"/>
      <c r="BNT21" s="2950"/>
      <c r="BNU21" s="2950"/>
      <c r="BNV21" s="2950"/>
      <c r="BNW21" s="2950"/>
      <c r="BNX21" s="2950"/>
      <c r="BNY21" s="2950"/>
      <c r="BNZ21" s="2950"/>
      <c r="BOA21" s="2950"/>
      <c r="BOB21" s="2950"/>
      <c r="BOC21" s="2950"/>
      <c r="BOD21" s="2950"/>
      <c r="BOE21" s="2950"/>
      <c r="BOF21" s="2950"/>
      <c r="BOG21" s="2950"/>
      <c r="BOH21" s="2950"/>
      <c r="BOI21" s="2950"/>
      <c r="BOJ21" s="2950"/>
      <c r="BOK21" s="2950"/>
      <c r="BOL21" s="2950"/>
      <c r="BOM21" s="2950"/>
      <c r="BON21" s="2950"/>
      <c r="BOO21" s="2950"/>
      <c r="BOP21" s="2950"/>
      <c r="BOQ21" s="2950"/>
      <c r="BOR21" s="2950"/>
      <c r="BOS21" s="2950"/>
      <c r="BOT21" s="2950"/>
      <c r="BOU21" s="2950"/>
      <c r="BOV21" s="2950"/>
      <c r="BOW21" s="2950"/>
      <c r="BOX21" s="2950"/>
      <c r="BOY21" s="2950"/>
      <c r="BOZ21" s="2950"/>
      <c r="BPA21" s="2950"/>
      <c r="BPB21" s="2950"/>
      <c r="BPC21" s="2950"/>
      <c r="BPD21" s="2950"/>
      <c r="BPE21" s="2950"/>
      <c r="BPF21" s="2950"/>
      <c r="BPG21" s="2950"/>
      <c r="BPH21" s="2950"/>
      <c r="BPI21" s="2950"/>
      <c r="BPJ21" s="2950"/>
      <c r="BPK21" s="2950"/>
      <c r="BPL21" s="2950"/>
      <c r="BPM21" s="2950"/>
      <c r="BPN21" s="2950"/>
      <c r="BPO21" s="2950"/>
      <c r="BPP21" s="2950"/>
      <c r="BPQ21" s="2950"/>
      <c r="BPR21" s="2950"/>
      <c r="BPS21" s="2950"/>
      <c r="BPT21" s="2950"/>
      <c r="BPU21" s="2950"/>
      <c r="BPV21" s="2950"/>
      <c r="BPW21" s="2950"/>
      <c r="BPX21" s="2950"/>
      <c r="BPY21" s="2950"/>
      <c r="BPZ21" s="2950"/>
      <c r="BQA21" s="2950"/>
      <c r="BQB21" s="2950"/>
      <c r="BQC21" s="2950"/>
      <c r="BQD21" s="2950"/>
      <c r="BQE21" s="2950"/>
      <c r="BQF21" s="2950"/>
      <c r="BQG21" s="2950"/>
      <c r="BQH21" s="2950"/>
      <c r="BQI21" s="2950"/>
      <c r="BQJ21" s="2950"/>
      <c r="BQK21" s="2950"/>
      <c r="BQL21" s="2950"/>
      <c r="BQM21" s="2950"/>
      <c r="BQN21" s="2950"/>
      <c r="BQO21" s="2950"/>
      <c r="BQP21" s="2950"/>
      <c r="BQQ21" s="2950"/>
      <c r="BQR21" s="2950"/>
      <c r="BQS21" s="2950"/>
      <c r="BQT21" s="2950"/>
      <c r="BQU21" s="2950"/>
      <c r="BQV21" s="2950"/>
      <c r="BQW21" s="2950"/>
      <c r="BQX21" s="2950"/>
      <c r="BQY21" s="2950"/>
      <c r="BQZ21" s="2950"/>
      <c r="BRA21" s="2950"/>
      <c r="BRB21" s="2950"/>
      <c r="BRC21" s="2950"/>
      <c r="BRD21" s="2950"/>
      <c r="BRE21" s="2950"/>
      <c r="BRF21" s="2950"/>
      <c r="BRG21" s="2950"/>
      <c r="BRH21" s="2950"/>
      <c r="BRI21" s="2950"/>
      <c r="BRJ21" s="2950"/>
      <c r="BRK21" s="2950"/>
      <c r="BRL21" s="2950"/>
      <c r="BRM21" s="2950"/>
      <c r="BRN21" s="2950"/>
      <c r="BRO21" s="2950"/>
      <c r="BRP21" s="2950"/>
      <c r="BRQ21" s="2950"/>
      <c r="BRR21" s="2950"/>
      <c r="BRS21" s="2950"/>
      <c r="BRT21" s="2950"/>
      <c r="BRU21" s="2950"/>
      <c r="BRV21" s="2950"/>
      <c r="BRW21" s="2950"/>
      <c r="BRX21" s="2950"/>
      <c r="BRY21" s="2950"/>
      <c r="BRZ21" s="2950"/>
      <c r="BSA21" s="2950"/>
      <c r="BSB21" s="2950"/>
      <c r="BSC21" s="2950"/>
      <c r="BSD21" s="2950"/>
      <c r="BSE21" s="2950"/>
      <c r="BSF21" s="2950"/>
      <c r="BSG21" s="2950"/>
      <c r="BSH21" s="2950"/>
      <c r="BSI21" s="2950"/>
      <c r="BSJ21" s="2950"/>
      <c r="BSK21" s="2950"/>
      <c r="BSL21" s="2950"/>
      <c r="BSM21" s="2950"/>
      <c r="BSN21" s="2950"/>
      <c r="BSO21" s="2950"/>
      <c r="BSP21" s="2950"/>
      <c r="BSQ21" s="2950"/>
      <c r="BSR21" s="2950"/>
      <c r="BSS21" s="2950"/>
      <c r="BST21" s="2950"/>
      <c r="BSU21" s="2950"/>
      <c r="BSV21" s="2950"/>
      <c r="BSW21" s="2950"/>
      <c r="BSX21" s="2950"/>
      <c r="BSY21" s="2950"/>
      <c r="BSZ21" s="2950"/>
      <c r="BTA21" s="2950"/>
      <c r="BTB21" s="2950"/>
      <c r="BTC21" s="2950"/>
      <c r="BTD21" s="2950"/>
      <c r="BTE21" s="2950"/>
      <c r="BTF21" s="2950"/>
      <c r="BTG21" s="2950"/>
      <c r="BTH21" s="2950"/>
      <c r="BTI21" s="2950"/>
      <c r="BTJ21" s="2950"/>
      <c r="BTK21" s="2950"/>
      <c r="BTL21" s="2950"/>
      <c r="BTM21" s="2950"/>
      <c r="BTN21" s="2950"/>
      <c r="BTO21" s="2950"/>
      <c r="BTP21" s="2950"/>
      <c r="BTQ21" s="2950"/>
      <c r="BTR21" s="2950"/>
      <c r="BTS21" s="2950"/>
      <c r="BTT21" s="2950"/>
      <c r="BTU21" s="2950"/>
      <c r="BTV21" s="2950"/>
      <c r="BTW21" s="2950"/>
      <c r="BTX21" s="2950"/>
      <c r="BTY21" s="2950"/>
      <c r="BTZ21" s="2950"/>
      <c r="BUA21" s="2950"/>
      <c r="BUB21" s="2950"/>
      <c r="BUC21" s="2950"/>
      <c r="BUD21" s="2950"/>
      <c r="BUE21" s="2950"/>
      <c r="BUF21" s="2950"/>
      <c r="BUG21" s="2950"/>
      <c r="BUH21" s="2950"/>
      <c r="BUI21" s="2950"/>
      <c r="BUJ21" s="2950"/>
      <c r="BUK21" s="2950"/>
      <c r="BUL21" s="2950"/>
      <c r="BUM21" s="2950"/>
      <c r="BUN21" s="2950"/>
      <c r="BUO21" s="2950"/>
      <c r="BUP21" s="2950"/>
      <c r="BUQ21" s="2950"/>
      <c r="BUR21" s="2950"/>
      <c r="BUS21" s="2950"/>
      <c r="BUT21" s="2950"/>
      <c r="BUU21" s="2950"/>
      <c r="BUV21" s="2950"/>
      <c r="BUW21" s="2950"/>
      <c r="BUX21" s="2950"/>
      <c r="BUY21" s="2950"/>
      <c r="BUZ21" s="2950"/>
      <c r="BVA21" s="2950"/>
      <c r="BVB21" s="2950"/>
      <c r="BVC21" s="2950"/>
      <c r="BVD21" s="2950"/>
      <c r="BVE21" s="2950"/>
      <c r="BVF21" s="2950"/>
      <c r="BVG21" s="2950"/>
      <c r="BVH21" s="2950"/>
      <c r="BVI21" s="2950"/>
      <c r="BVJ21" s="2950"/>
      <c r="BVK21" s="2950"/>
      <c r="BVL21" s="2950"/>
      <c r="BVM21" s="2950"/>
      <c r="BVN21" s="2950"/>
      <c r="BVO21" s="2950"/>
      <c r="BVP21" s="2950"/>
      <c r="BVQ21" s="2950"/>
      <c r="BVR21" s="2950"/>
      <c r="BVS21" s="2950"/>
      <c r="BVT21" s="2950"/>
      <c r="BVU21" s="2950"/>
      <c r="BVV21" s="2950"/>
      <c r="BVW21" s="2950"/>
      <c r="BVX21" s="2950"/>
      <c r="BVY21" s="2950"/>
      <c r="BVZ21" s="2950"/>
      <c r="BWA21" s="2950"/>
      <c r="BWB21" s="2950"/>
      <c r="BWC21" s="2950"/>
      <c r="BWD21" s="2950"/>
      <c r="BWE21" s="2950"/>
      <c r="BWF21" s="2950"/>
      <c r="BWG21" s="2950"/>
      <c r="BWH21" s="2950"/>
      <c r="BWI21" s="2950"/>
      <c r="BWJ21" s="2950"/>
      <c r="BWK21" s="2950"/>
      <c r="BWL21" s="2950"/>
      <c r="BWM21" s="2950"/>
      <c r="BWN21" s="2950"/>
      <c r="BWO21" s="2950"/>
      <c r="BWP21" s="2950"/>
      <c r="BWQ21" s="2950"/>
      <c r="BWR21" s="2950"/>
      <c r="BWS21" s="2950"/>
      <c r="BWT21" s="2950"/>
      <c r="BWU21" s="2950"/>
      <c r="BWV21" s="2950"/>
      <c r="BWW21" s="2950"/>
      <c r="BWX21" s="2950"/>
      <c r="BWY21" s="2950"/>
      <c r="BWZ21" s="2950"/>
      <c r="BXA21" s="2950"/>
      <c r="BXB21" s="2950"/>
      <c r="BXC21" s="2950"/>
      <c r="BXD21" s="2950"/>
      <c r="BXE21" s="2950"/>
      <c r="BXF21" s="2950"/>
      <c r="BXG21" s="2950"/>
      <c r="BXH21" s="2950"/>
      <c r="BXI21" s="2950"/>
      <c r="BXJ21" s="2950"/>
      <c r="BXK21" s="2950"/>
      <c r="BXL21" s="2950"/>
      <c r="BXM21" s="2950"/>
      <c r="BXN21" s="2950"/>
      <c r="BXO21" s="2950"/>
      <c r="BXP21" s="2950"/>
      <c r="BXQ21" s="2950"/>
      <c r="BXR21" s="2950"/>
      <c r="BXS21" s="2950"/>
      <c r="BXT21" s="2950"/>
      <c r="BXU21" s="2950"/>
      <c r="BXV21" s="2950"/>
      <c r="BXW21" s="2950"/>
      <c r="BXX21" s="2950"/>
      <c r="BXY21" s="2950"/>
      <c r="BXZ21" s="2950"/>
      <c r="BYA21" s="2950"/>
      <c r="BYB21" s="2950"/>
      <c r="BYC21" s="2950"/>
      <c r="BYD21" s="2950"/>
      <c r="BYE21" s="2950"/>
      <c r="BYF21" s="2950"/>
      <c r="BYG21" s="2950"/>
      <c r="BYH21" s="2950"/>
      <c r="BYI21" s="2950"/>
      <c r="BYJ21" s="2950"/>
      <c r="BYK21" s="2950"/>
      <c r="BYL21" s="2950"/>
      <c r="BYM21" s="2950"/>
      <c r="BYN21" s="2950"/>
      <c r="BYO21" s="2950"/>
      <c r="BYP21" s="2950"/>
      <c r="BYQ21" s="2950"/>
      <c r="BYR21" s="2950"/>
      <c r="BYS21" s="2950"/>
      <c r="BYT21" s="2950"/>
      <c r="BYU21" s="2950"/>
      <c r="BYV21" s="2950"/>
      <c r="BYW21" s="2950"/>
      <c r="BYX21" s="2950"/>
      <c r="BYY21" s="2950"/>
      <c r="BYZ21" s="2950"/>
      <c r="BZA21" s="2950"/>
      <c r="BZB21" s="2950"/>
      <c r="BZC21" s="2950"/>
      <c r="BZD21" s="2950"/>
      <c r="BZE21" s="2950"/>
      <c r="BZF21" s="2950"/>
      <c r="BZG21" s="2950"/>
      <c r="BZH21" s="2950"/>
      <c r="BZI21" s="2950"/>
      <c r="BZJ21" s="2950"/>
      <c r="BZK21" s="2950"/>
      <c r="BZL21" s="2950"/>
      <c r="BZM21" s="2950"/>
      <c r="BZN21" s="2950"/>
      <c r="BZO21" s="2950"/>
      <c r="BZP21" s="2950"/>
      <c r="BZQ21" s="2950"/>
      <c r="BZR21" s="2950"/>
      <c r="BZS21" s="2950"/>
      <c r="BZT21" s="2950"/>
      <c r="BZU21" s="2950"/>
      <c r="BZV21" s="2950"/>
      <c r="BZW21" s="2950"/>
      <c r="BZX21" s="2950"/>
      <c r="BZY21" s="2950"/>
      <c r="BZZ21" s="2950"/>
      <c r="CAA21" s="2950"/>
      <c r="CAB21" s="2950"/>
      <c r="CAC21" s="2950"/>
      <c r="CAD21" s="2950"/>
      <c r="CAE21" s="2950"/>
      <c r="CAF21" s="2950"/>
      <c r="CAG21" s="2950"/>
      <c r="CAH21" s="2950"/>
      <c r="CAI21" s="2950"/>
      <c r="CAJ21" s="2950"/>
      <c r="CAK21" s="2950"/>
      <c r="CAL21" s="2950"/>
      <c r="CAM21" s="2950"/>
      <c r="CAN21" s="2950"/>
      <c r="CAO21" s="2950"/>
      <c r="CAP21" s="2950"/>
      <c r="CAQ21" s="2950"/>
      <c r="CAR21" s="2950"/>
      <c r="CAS21" s="2950"/>
      <c r="CAT21" s="2950"/>
      <c r="CAU21" s="2950"/>
      <c r="CAV21" s="2950"/>
      <c r="CAW21" s="2950"/>
      <c r="CAX21" s="2950"/>
      <c r="CAY21" s="2950"/>
      <c r="CAZ21" s="2950"/>
      <c r="CBA21" s="2950"/>
      <c r="CBB21" s="2950"/>
      <c r="CBC21" s="2950"/>
      <c r="CBD21" s="2950"/>
      <c r="CBE21" s="2950"/>
      <c r="CBF21" s="2950"/>
      <c r="CBG21" s="2950"/>
      <c r="CBH21" s="2950"/>
      <c r="CBI21" s="2950"/>
      <c r="CBJ21" s="2950"/>
      <c r="CBK21" s="2950"/>
      <c r="CBL21" s="2950"/>
      <c r="CBM21" s="2950"/>
      <c r="CBN21" s="2950"/>
      <c r="CBO21" s="2950"/>
      <c r="CBP21" s="2950"/>
      <c r="CBQ21" s="2950"/>
      <c r="CBR21" s="2950"/>
      <c r="CBS21" s="2950"/>
      <c r="CBT21" s="2950"/>
      <c r="CBU21" s="2950"/>
      <c r="CBV21" s="2950"/>
      <c r="CBW21" s="2950"/>
      <c r="CBX21" s="2950"/>
      <c r="CBY21" s="2950"/>
      <c r="CBZ21" s="2950"/>
      <c r="CCA21" s="2950"/>
      <c r="CCB21" s="2950"/>
      <c r="CCC21" s="2950"/>
      <c r="CCD21" s="2950"/>
      <c r="CCE21" s="2950"/>
      <c r="CCF21" s="2950"/>
      <c r="CCG21" s="2950"/>
      <c r="CCH21" s="2950"/>
      <c r="CCI21" s="2950"/>
      <c r="CCJ21" s="2950"/>
      <c r="CCK21" s="2950"/>
      <c r="CCL21" s="2950"/>
      <c r="CCM21" s="2950"/>
      <c r="CCN21" s="2950"/>
      <c r="CCO21" s="2950"/>
      <c r="CCP21" s="2950"/>
      <c r="CCQ21" s="2950"/>
      <c r="CCR21" s="2950"/>
      <c r="CCS21" s="2950"/>
      <c r="CCT21" s="2950"/>
      <c r="CCU21" s="2950"/>
      <c r="CCV21" s="2950"/>
      <c r="CCW21" s="2950"/>
      <c r="CCX21" s="2950"/>
      <c r="CCY21" s="2950"/>
      <c r="CCZ21" s="2950"/>
      <c r="CDA21" s="2950"/>
      <c r="CDB21" s="2950"/>
      <c r="CDC21" s="2950"/>
      <c r="CDD21" s="2950"/>
      <c r="CDE21" s="2950"/>
      <c r="CDF21" s="2950"/>
      <c r="CDG21" s="2950"/>
      <c r="CDH21" s="2950"/>
      <c r="CDI21" s="2950"/>
      <c r="CDJ21" s="2950"/>
      <c r="CDK21" s="2950"/>
      <c r="CDL21" s="2950"/>
      <c r="CDM21" s="2950"/>
      <c r="CDN21" s="2950"/>
      <c r="CDO21" s="2950"/>
      <c r="CDP21" s="2950"/>
      <c r="CDQ21" s="2950"/>
      <c r="CDR21" s="2950"/>
      <c r="CDS21" s="2950"/>
      <c r="CDT21" s="2950"/>
      <c r="CDU21" s="2950"/>
      <c r="CDV21" s="2950"/>
      <c r="CDW21" s="2950"/>
      <c r="CDX21" s="2950"/>
      <c r="CDY21" s="2950"/>
      <c r="CDZ21" s="2950"/>
      <c r="CEA21" s="2950"/>
      <c r="CEB21" s="2950"/>
      <c r="CEC21" s="2950"/>
      <c r="CED21" s="2950"/>
      <c r="CEE21" s="2950"/>
      <c r="CEF21" s="2950"/>
      <c r="CEG21" s="2950"/>
      <c r="CEH21" s="2950"/>
      <c r="CEI21" s="2950"/>
      <c r="CEJ21" s="2950"/>
      <c r="CEK21" s="2950"/>
      <c r="CEL21" s="2950"/>
      <c r="CEM21" s="2950"/>
      <c r="CEN21" s="2950"/>
      <c r="CEO21" s="2950"/>
      <c r="CEP21" s="2950"/>
      <c r="CEQ21" s="2950"/>
      <c r="CER21" s="2950"/>
      <c r="CES21" s="2950"/>
      <c r="CET21" s="2950"/>
      <c r="CEU21" s="2950"/>
      <c r="CEV21" s="2950"/>
      <c r="CEW21" s="2950"/>
      <c r="CEX21" s="2950"/>
      <c r="CEY21" s="2950"/>
      <c r="CEZ21" s="2950"/>
      <c r="CFA21" s="2950"/>
      <c r="CFB21" s="2950"/>
      <c r="CFC21" s="2950"/>
      <c r="CFD21" s="2950"/>
      <c r="CFE21" s="2950"/>
      <c r="CFF21" s="2950"/>
      <c r="CFG21" s="2950"/>
      <c r="CFH21" s="2950"/>
      <c r="CFI21" s="2950"/>
      <c r="CFJ21" s="2950"/>
      <c r="CFK21" s="2950"/>
      <c r="CFL21" s="2950"/>
      <c r="CFM21" s="2950"/>
      <c r="CFN21" s="2950"/>
      <c r="CFO21" s="2950"/>
      <c r="CFP21" s="2950"/>
      <c r="CFQ21" s="2950"/>
      <c r="CFR21" s="2950"/>
      <c r="CFS21" s="2950"/>
      <c r="CFT21" s="2950"/>
      <c r="CFU21" s="2950"/>
      <c r="CFV21" s="2950"/>
      <c r="CFW21" s="2950"/>
      <c r="CFX21" s="2950"/>
      <c r="CFY21" s="2950"/>
      <c r="CFZ21" s="2950"/>
      <c r="CGA21" s="2950"/>
      <c r="CGB21" s="2950"/>
      <c r="CGC21" s="2950"/>
      <c r="CGD21" s="2950"/>
      <c r="CGE21" s="2950"/>
      <c r="CGF21" s="2950"/>
      <c r="CGG21" s="2950"/>
      <c r="CGH21" s="2950"/>
      <c r="CGI21" s="2950"/>
      <c r="CGJ21" s="2950"/>
      <c r="CGK21" s="2950"/>
      <c r="CGL21" s="2950"/>
      <c r="CGM21" s="2950"/>
      <c r="CGN21" s="2950"/>
      <c r="CGO21" s="2950"/>
      <c r="CGP21" s="2950"/>
      <c r="CGQ21" s="2950"/>
      <c r="CGR21" s="2950"/>
      <c r="CGS21" s="2950"/>
      <c r="CGT21" s="2950"/>
      <c r="CGU21" s="2950"/>
      <c r="CGV21" s="2950"/>
      <c r="CGW21" s="2950"/>
      <c r="CGX21" s="2950"/>
      <c r="CGY21" s="2950"/>
      <c r="CGZ21" s="2950"/>
      <c r="CHA21" s="2950"/>
      <c r="CHB21" s="2950"/>
      <c r="CHC21" s="2950"/>
      <c r="CHD21" s="2950"/>
      <c r="CHE21" s="2950"/>
      <c r="CHF21" s="2950"/>
      <c r="CHG21" s="2950"/>
      <c r="CHH21" s="2950"/>
      <c r="CHI21" s="2950"/>
      <c r="CHJ21" s="2950"/>
      <c r="CHK21" s="2950"/>
      <c r="CHL21" s="2950"/>
      <c r="CHM21" s="2950"/>
      <c r="CHN21" s="2950"/>
      <c r="CHO21" s="2950"/>
      <c r="CHP21" s="2950"/>
      <c r="CHQ21" s="2950"/>
      <c r="CHR21" s="2950"/>
      <c r="CHS21" s="2950"/>
      <c r="CHT21" s="2950"/>
      <c r="CHU21" s="2950"/>
      <c r="CHV21" s="2950"/>
      <c r="CHW21" s="2950"/>
      <c r="CHX21" s="2950"/>
      <c r="CHY21" s="2950"/>
      <c r="CHZ21" s="2950"/>
      <c r="CIA21" s="2950"/>
      <c r="CIB21" s="2950"/>
      <c r="CIC21" s="2950"/>
      <c r="CID21" s="2950"/>
      <c r="CIE21" s="2950"/>
      <c r="CIF21" s="2950"/>
      <c r="CIG21" s="2950"/>
      <c r="CIH21" s="2950"/>
      <c r="CII21" s="2950"/>
      <c r="CIJ21" s="2950"/>
      <c r="CIK21" s="2950"/>
      <c r="CIL21" s="2950"/>
      <c r="CIM21" s="2950"/>
      <c r="CIN21" s="2950"/>
      <c r="CIO21" s="2950"/>
      <c r="CIP21" s="2950"/>
      <c r="CIQ21" s="2950"/>
      <c r="CIR21" s="2950"/>
      <c r="CIS21" s="2950"/>
      <c r="CIT21" s="2950"/>
      <c r="CIU21" s="2950"/>
      <c r="CIV21" s="2950"/>
      <c r="CIW21" s="2950"/>
      <c r="CIX21" s="2950"/>
      <c r="CIY21" s="2950"/>
      <c r="CIZ21" s="2950"/>
      <c r="CJA21" s="2950"/>
      <c r="CJB21" s="2950"/>
      <c r="CJC21" s="2950"/>
      <c r="CJD21" s="2950"/>
      <c r="CJE21" s="2950"/>
      <c r="CJF21" s="2950"/>
      <c r="CJG21" s="2950"/>
      <c r="CJH21" s="2950"/>
      <c r="CJI21" s="2950"/>
      <c r="CJJ21" s="2950"/>
      <c r="CJK21" s="2950"/>
      <c r="CJL21" s="2950"/>
      <c r="CJM21" s="2950"/>
      <c r="CJN21" s="2950"/>
      <c r="CJO21" s="2950"/>
      <c r="CJP21" s="2950"/>
      <c r="CJQ21" s="2950"/>
      <c r="CJR21" s="2950"/>
      <c r="CJS21" s="2950"/>
      <c r="CJT21" s="2950"/>
      <c r="CJU21" s="2950"/>
      <c r="CJV21" s="2950"/>
      <c r="CJW21" s="2950"/>
      <c r="CJX21" s="2950"/>
      <c r="CJY21" s="2950"/>
      <c r="CJZ21" s="2950"/>
      <c r="CKA21" s="2950"/>
      <c r="CKB21" s="2950"/>
      <c r="CKC21" s="2950"/>
      <c r="CKD21" s="2950"/>
      <c r="CKE21" s="2950"/>
      <c r="CKF21" s="2950"/>
      <c r="CKG21" s="2950"/>
      <c r="CKH21" s="2950"/>
      <c r="CKI21" s="2950"/>
      <c r="CKJ21" s="2950"/>
      <c r="CKK21" s="2950"/>
      <c r="CKL21" s="2950"/>
      <c r="CKM21" s="2950"/>
      <c r="CKN21" s="2950"/>
      <c r="CKO21" s="2950"/>
      <c r="CKP21" s="2950"/>
      <c r="CKQ21" s="2950"/>
      <c r="CKR21" s="2950"/>
      <c r="CKS21" s="2950"/>
      <c r="CKT21" s="2950"/>
      <c r="CKU21" s="2950"/>
      <c r="CKV21" s="2950"/>
      <c r="CKW21" s="2950"/>
      <c r="CKX21" s="2950"/>
      <c r="CKY21" s="2950"/>
      <c r="CKZ21" s="2950"/>
      <c r="CLA21" s="2950"/>
      <c r="CLB21" s="2950"/>
      <c r="CLC21" s="2950"/>
      <c r="CLD21" s="2950"/>
      <c r="CLE21" s="2950"/>
      <c r="CLF21" s="2950"/>
      <c r="CLG21" s="2950"/>
      <c r="CLH21" s="2950"/>
      <c r="CLI21" s="2950"/>
      <c r="CLJ21" s="2950"/>
      <c r="CLK21" s="2950"/>
      <c r="CLL21" s="2950"/>
      <c r="CLM21" s="2950"/>
      <c r="CLN21" s="2950"/>
      <c r="CLO21" s="2950"/>
      <c r="CLP21" s="2950"/>
      <c r="CLQ21" s="2950"/>
      <c r="CLR21" s="2950"/>
      <c r="CLS21" s="2950"/>
      <c r="CLT21" s="2950"/>
      <c r="CLU21" s="2950"/>
      <c r="CLV21" s="2950"/>
      <c r="CLW21" s="2950"/>
      <c r="CLX21" s="2950"/>
      <c r="CLY21" s="2950"/>
      <c r="CLZ21" s="2950"/>
      <c r="CMA21" s="2950"/>
      <c r="CMB21" s="2950"/>
      <c r="CMC21" s="2950"/>
      <c r="CMD21" s="2950"/>
      <c r="CME21" s="2950"/>
      <c r="CMF21" s="2950"/>
      <c r="CMG21" s="2950"/>
      <c r="CMH21" s="2950"/>
      <c r="CMI21" s="2950"/>
      <c r="CMJ21" s="2950"/>
      <c r="CMK21" s="2950"/>
      <c r="CML21" s="2950"/>
      <c r="CMM21" s="2950"/>
      <c r="CMN21" s="2950"/>
      <c r="CMO21" s="2950"/>
      <c r="CMP21" s="2950"/>
      <c r="CMQ21" s="2950"/>
      <c r="CMR21" s="2950"/>
      <c r="CMS21" s="2950"/>
      <c r="CMT21" s="2950"/>
      <c r="CMU21" s="2950"/>
      <c r="CMV21" s="2950"/>
      <c r="CMW21" s="2950"/>
      <c r="CMX21" s="2950"/>
      <c r="CMY21" s="2950"/>
      <c r="CMZ21" s="2950"/>
      <c r="CNA21" s="2950"/>
      <c r="CNB21" s="2950"/>
      <c r="CNC21" s="2950"/>
      <c r="CND21" s="2950"/>
      <c r="CNE21" s="2950"/>
      <c r="CNF21" s="2950"/>
      <c r="CNG21" s="2950"/>
      <c r="CNH21" s="2950"/>
      <c r="CNI21" s="2950"/>
      <c r="CNJ21" s="2950"/>
      <c r="CNK21" s="2950"/>
      <c r="CNL21" s="2950"/>
      <c r="CNM21" s="2950"/>
      <c r="CNN21" s="2950"/>
      <c r="CNO21" s="2950"/>
      <c r="CNP21" s="2950"/>
      <c r="CNQ21" s="2950"/>
      <c r="CNR21" s="2950"/>
      <c r="CNS21" s="2950"/>
      <c r="CNT21" s="2950"/>
      <c r="CNU21" s="2950"/>
      <c r="CNV21" s="2950"/>
      <c r="CNW21" s="2950"/>
      <c r="CNX21" s="2950"/>
      <c r="CNY21" s="2950"/>
      <c r="CNZ21" s="2950"/>
      <c r="COA21" s="2950"/>
      <c r="COB21" s="2950"/>
      <c r="COC21" s="2950"/>
      <c r="COD21" s="2950"/>
      <c r="COE21" s="2950"/>
      <c r="COF21" s="2950"/>
      <c r="COG21" s="2950"/>
      <c r="COH21" s="2950"/>
      <c r="COI21" s="2950"/>
      <c r="COJ21" s="2950"/>
      <c r="COK21" s="2950"/>
      <c r="COL21" s="2950"/>
      <c r="COM21" s="2950"/>
      <c r="CON21" s="2950"/>
      <c r="COO21" s="2950"/>
      <c r="COP21" s="2950"/>
      <c r="COQ21" s="2950"/>
      <c r="COR21" s="2950"/>
      <c r="COS21" s="2950"/>
      <c r="COT21" s="2950"/>
      <c r="COU21" s="2950"/>
      <c r="COV21" s="2950"/>
      <c r="COW21" s="2950"/>
      <c r="COX21" s="2950"/>
      <c r="COY21" s="2950"/>
      <c r="COZ21" s="2950"/>
      <c r="CPA21" s="2950"/>
      <c r="CPB21" s="2950"/>
      <c r="CPC21" s="2950"/>
      <c r="CPD21" s="2950"/>
      <c r="CPE21" s="2950"/>
      <c r="CPF21" s="2950"/>
      <c r="CPG21" s="2950"/>
      <c r="CPH21" s="2950"/>
      <c r="CPI21" s="2950"/>
      <c r="CPJ21" s="2950"/>
      <c r="CPK21" s="2950"/>
      <c r="CPL21" s="2950"/>
      <c r="CPM21" s="2950"/>
      <c r="CPN21" s="2950"/>
      <c r="CPO21" s="2950"/>
      <c r="CPP21" s="2950"/>
      <c r="CPQ21" s="2950"/>
      <c r="CPR21" s="2950"/>
      <c r="CPS21" s="2950"/>
      <c r="CPT21" s="2950"/>
      <c r="CPU21" s="2950"/>
      <c r="CPV21" s="2950"/>
      <c r="CPW21" s="2950"/>
      <c r="CPX21" s="2950"/>
      <c r="CPY21" s="2950"/>
      <c r="CPZ21" s="2950"/>
      <c r="CQA21" s="2950"/>
      <c r="CQB21" s="2950"/>
      <c r="CQC21" s="2950"/>
      <c r="CQD21" s="2950"/>
      <c r="CQE21" s="2950"/>
      <c r="CQF21" s="2950"/>
      <c r="CQG21" s="2950"/>
      <c r="CQH21" s="2950"/>
      <c r="CQI21" s="2950"/>
      <c r="CQJ21" s="2950"/>
      <c r="CQK21" s="2950"/>
      <c r="CQL21" s="2950"/>
      <c r="CQM21" s="2950"/>
      <c r="CQN21" s="2950"/>
      <c r="CQO21" s="2950"/>
      <c r="CQP21" s="2950"/>
      <c r="CQQ21" s="2950"/>
      <c r="CQR21" s="2950"/>
      <c r="CQS21" s="2950"/>
      <c r="CQT21" s="2950"/>
      <c r="CQU21" s="2950"/>
      <c r="CQV21" s="2950"/>
      <c r="CQW21" s="2950"/>
      <c r="CQX21" s="2950"/>
      <c r="CQY21" s="2950"/>
      <c r="CQZ21" s="2950"/>
      <c r="CRA21" s="2950"/>
      <c r="CRB21" s="2950"/>
      <c r="CRC21" s="2950"/>
      <c r="CRD21" s="2950"/>
      <c r="CRE21" s="2950"/>
      <c r="CRF21" s="2950"/>
      <c r="CRG21" s="2950"/>
      <c r="CRH21" s="2950"/>
      <c r="CRI21" s="2950"/>
      <c r="CRJ21" s="2950"/>
      <c r="CRK21" s="2950"/>
      <c r="CRL21" s="2950"/>
      <c r="CRM21" s="2950"/>
      <c r="CRN21" s="2950"/>
      <c r="CRO21" s="2950"/>
      <c r="CRP21" s="2950"/>
      <c r="CRQ21" s="2950"/>
      <c r="CRR21" s="2950"/>
      <c r="CRS21" s="2950"/>
      <c r="CRT21" s="2950"/>
      <c r="CRU21" s="2950"/>
      <c r="CRV21" s="2950"/>
      <c r="CRW21" s="2950"/>
      <c r="CRX21" s="2950"/>
      <c r="CRY21" s="2950"/>
      <c r="CRZ21" s="2950"/>
      <c r="CSA21" s="2950"/>
      <c r="CSB21" s="2950"/>
      <c r="CSC21" s="2950"/>
      <c r="CSD21" s="2950"/>
      <c r="CSE21" s="2950"/>
      <c r="CSF21" s="2950"/>
      <c r="CSG21" s="2950"/>
      <c r="CSH21" s="2950"/>
      <c r="CSI21" s="2950"/>
      <c r="CSJ21" s="2950"/>
      <c r="CSK21" s="2950"/>
      <c r="CSL21" s="2950"/>
      <c r="CSM21" s="2950"/>
      <c r="CSN21" s="2950"/>
      <c r="CSO21" s="2950"/>
      <c r="CSP21" s="2950"/>
      <c r="CSQ21" s="2950"/>
      <c r="CSR21" s="2950"/>
      <c r="CSS21" s="2950"/>
      <c r="CST21" s="2950"/>
      <c r="CSU21" s="2950"/>
      <c r="CSV21" s="2950"/>
      <c r="CSW21" s="2950"/>
      <c r="CSX21" s="2950"/>
      <c r="CSY21" s="2950"/>
      <c r="CSZ21" s="2950"/>
      <c r="CTA21" s="2950"/>
      <c r="CTB21" s="2950"/>
      <c r="CTC21" s="2950"/>
      <c r="CTD21" s="2950"/>
      <c r="CTE21" s="2950"/>
      <c r="CTF21" s="2950"/>
      <c r="CTG21" s="2950"/>
      <c r="CTH21" s="2950"/>
      <c r="CTI21" s="2950"/>
      <c r="CTJ21" s="2950"/>
      <c r="CTK21" s="2950"/>
      <c r="CTL21" s="2950"/>
      <c r="CTM21" s="2950"/>
      <c r="CTN21" s="2950"/>
      <c r="CTO21" s="2950"/>
      <c r="CTP21" s="2950"/>
      <c r="CTQ21" s="2950"/>
      <c r="CTR21" s="2950"/>
      <c r="CTS21" s="2950"/>
      <c r="CTT21" s="2950"/>
      <c r="CTU21" s="2950"/>
      <c r="CTV21" s="2950"/>
      <c r="CTW21" s="2950"/>
      <c r="CTX21" s="2950"/>
      <c r="CTY21" s="2950"/>
      <c r="CTZ21" s="2950"/>
      <c r="CUA21" s="2950"/>
      <c r="CUB21" s="2950"/>
      <c r="CUC21" s="2950"/>
      <c r="CUD21" s="2950"/>
      <c r="CUE21" s="2950"/>
      <c r="CUF21" s="2950"/>
      <c r="CUG21" s="2950"/>
      <c r="CUH21" s="2950"/>
      <c r="CUI21" s="2950"/>
      <c r="CUJ21" s="2950"/>
      <c r="CUK21" s="2950"/>
      <c r="CUL21" s="2950"/>
      <c r="CUM21" s="2950"/>
      <c r="CUN21" s="2950"/>
      <c r="CUO21" s="2950"/>
      <c r="CUP21" s="2950"/>
      <c r="CUQ21" s="2950"/>
      <c r="CUR21" s="2950"/>
      <c r="CUS21" s="2950"/>
      <c r="CUT21" s="2950"/>
      <c r="CUU21" s="2950"/>
      <c r="CUV21" s="2950"/>
      <c r="CUW21" s="2950"/>
      <c r="CUX21" s="2950"/>
      <c r="CUY21" s="2950"/>
      <c r="CUZ21" s="2950"/>
      <c r="CVA21" s="2950"/>
      <c r="CVB21" s="2950"/>
      <c r="CVC21" s="2950"/>
      <c r="CVD21" s="2950"/>
      <c r="CVE21" s="2950"/>
      <c r="CVF21" s="2950"/>
      <c r="CVG21" s="2950"/>
      <c r="CVH21" s="2950"/>
      <c r="CVI21" s="2950"/>
      <c r="CVJ21" s="2950"/>
      <c r="CVK21" s="2950"/>
      <c r="CVL21" s="2950"/>
      <c r="CVM21" s="2950"/>
      <c r="CVN21" s="2950"/>
      <c r="CVO21" s="2950"/>
      <c r="CVP21" s="2950"/>
      <c r="CVQ21" s="2950"/>
      <c r="CVR21" s="2950"/>
      <c r="CVS21" s="2950"/>
      <c r="CVT21" s="2950"/>
      <c r="CVU21" s="2950"/>
      <c r="CVV21" s="2950"/>
      <c r="CVW21" s="2950"/>
      <c r="CVX21" s="2950"/>
      <c r="CVY21" s="2950"/>
      <c r="CVZ21" s="2950"/>
      <c r="CWA21" s="2950"/>
      <c r="CWB21" s="2950"/>
      <c r="CWC21" s="2950"/>
      <c r="CWD21" s="2950"/>
      <c r="CWE21" s="2950"/>
      <c r="CWF21" s="2950"/>
      <c r="CWG21" s="2950"/>
      <c r="CWH21" s="2950"/>
      <c r="CWI21" s="2950"/>
      <c r="CWJ21" s="2950"/>
      <c r="CWK21" s="2950"/>
      <c r="CWL21" s="2950"/>
      <c r="CWM21" s="2950"/>
      <c r="CWN21" s="2950"/>
      <c r="CWO21" s="2950"/>
      <c r="CWP21" s="2950"/>
      <c r="CWQ21" s="2950"/>
      <c r="CWR21" s="2950"/>
      <c r="CWS21" s="2950"/>
      <c r="CWT21" s="2950"/>
      <c r="CWU21" s="2950"/>
      <c r="CWV21" s="2950"/>
      <c r="CWW21" s="2950"/>
      <c r="CWX21" s="2950"/>
      <c r="CWY21" s="2950"/>
      <c r="CWZ21" s="2950"/>
      <c r="CXA21" s="2950"/>
      <c r="CXB21" s="2950"/>
      <c r="CXC21" s="2950"/>
      <c r="CXD21" s="2950"/>
      <c r="CXE21" s="2950"/>
      <c r="CXF21" s="2950"/>
      <c r="CXG21" s="2950"/>
      <c r="CXH21" s="2950"/>
      <c r="CXI21" s="2950"/>
      <c r="CXJ21" s="2950"/>
      <c r="CXK21" s="2950"/>
      <c r="CXL21" s="2950"/>
      <c r="CXM21" s="2950"/>
      <c r="CXN21" s="2950"/>
      <c r="CXO21" s="2950"/>
      <c r="CXP21" s="2950"/>
      <c r="CXQ21" s="2950"/>
      <c r="CXR21" s="2950"/>
      <c r="CXS21" s="2950"/>
      <c r="CXT21" s="2950"/>
      <c r="CXU21" s="2950"/>
      <c r="CXV21" s="2950"/>
      <c r="CXW21" s="2950"/>
      <c r="CXX21" s="2950"/>
      <c r="CXY21" s="2950"/>
      <c r="CXZ21" s="2950"/>
      <c r="CYA21" s="2950"/>
      <c r="CYB21" s="2950"/>
      <c r="CYC21" s="2950"/>
      <c r="CYD21" s="2950"/>
      <c r="CYE21" s="2950"/>
      <c r="CYF21" s="2950"/>
      <c r="CYG21" s="2950"/>
      <c r="CYH21" s="2950"/>
      <c r="CYI21" s="2950"/>
      <c r="CYJ21" s="2950"/>
      <c r="CYK21" s="2950"/>
      <c r="CYL21" s="2950"/>
      <c r="CYM21" s="2950"/>
      <c r="CYN21" s="2950"/>
      <c r="CYO21" s="2950"/>
      <c r="CYP21" s="2950"/>
      <c r="CYQ21" s="2950"/>
      <c r="CYR21" s="2950"/>
      <c r="CYS21" s="2950"/>
      <c r="CYT21" s="2950"/>
      <c r="CYU21" s="2950"/>
      <c r="CYV21" s="2950"/>
      <c r="CYW21" s="2950"/>
      <c r="CYX21" s="2950"/>
      <c r="CYY21" s="2950"/>
      <c r="CYZ21" s="2950"/>
      <c r="CZA21" s="2950"/>
      <c r="CZB21" s="2950"/>
      <c r="CZC21" s="2950"/>
      <c r="CZD21" s="2950"/>
      <c r="CZE21" s="2950"/>
      <c r="CZF21" s="2950"/>
      <c r="CZG21" s="2950"/>
      <c r="CZH21" s="2950"/>
      <c r="CZI21" s="2950"/>
      <c r="CZJ21" s="2950"/>
      <c r="CZK21" s="2950"/>
      <c r="CZL21" s="2950"/>
      <c r="CZM21" s="2950"/>
      <c r="CZN21" s="2950"/>
      <c r="CZO21" s="2950"/>
      <c r="CZP21" s="2950"/>
      <c r="CZQ21" s="2950"/>
      <c r="CZR21" s="2950"/>
      <c r="CZS21" s="2950"/>
      <c r="CZT21" s="2950"/>
      <c r="CZU21" s="2950"/>
      <c r="CZV21" s="2950"/>
      <c r="CZW21" s="2950"/>
      <c r="CZX21" s="2950"/>
      <c r="CZY21" s="2950"/>
      <c r="CZZ21" s="2950"/>
      <c r="DAA21" s="2950"/>
      <c r="DAB21" s="2950"/>
      <c r="DAC21" s="2950"/>
      <c r="DAD21" s="2950"/>
      <c r="DAE21" s="2950"/>
      <c r="DAF21" s="2950"/>
      <c r="DAG21" s="2950"/>
      <c r="DAH21" s="2950"/>
      <c r="DAI21" s="2950"/>
      <c r="DAJ21" s="2950"/>
      <c r="DAK21" s="2950"/>
      <c r="DAL21" s="2950"/>
      <c r="DAM21" s="2950"/>
      <c r="DAN21" s="2950"/>
      <c r="DAO21" s="2950"/>
      <c r="DAP21" s="2950"/>
      <c r="DAQ21" s="2950"/>
      <c r="DAR21" s="2950"/>
      <c r="DAS21" s="2950"/>
      <c r="DAT21" s="2950"/>
      <c r="DAU21" s="2950"/>
      <c r="DAV21" s="2950"/>
      <c r="DAW21" s="2950"/>
      <c r="DAX21" s="2950"/>
      <c r="DAY21" s="2950"/>
      <c r="DAZ21" s="2950"/>
      <c r="DBA21" s="2950"/>
      <c r="DBB21" s="2950"/>
      <c r="DBC21" s="2950"/>
      <c r="DBD21" s="2950"/>
      <c r="DBE21" s="2950"/>
      <c r="DBF21" s="2950"/>
      <c r="DBG21" s="2950"/>
      <c r="DBH21" s="2950"/>
      <c r="DBI21" s="2950"/>
      <c r="DBJ21" s="2950"/>
      <c r="DBK21" s="2950"/>
      <c r="DBL21" s="2950"/>
      <c r="DBM21" s="2950"/>
      <c r="DBN21" s="2950"/>
      <c r="DBO21" s="2950"/>
      <c r="DBP21" s="2950"/>
      <c r="DBQ21" s="2950"/>
      <c r="DBR21" s="2950"/>
      <c r="DBS21" s="2950"/>
      <c r="DBT21" s="2950"/>
      <c r="DBU21" s="2950"/>
      <c r="DBV21" s="2950"/>
      <c r="DBW21" s="2950"/>
      <c r="DBX21" s="2950"/>
      <c r="DBY21" s="2950"/>
      <c r="DBZ21" s="2950"/>
      <c r="DCA21" s="2950"/>
      <c r="DCB21" s="2950"/>
      <c r="DCC21" s="2950"/>
      <c r="DCD21" s="2950"/>
      <c r="DCE21" s="2950"/>
      <c r="DCF21" s="2950"/>
      <c r="DCG21" s="2950"/>
      <c r="DCH21" s="2950"/>
      <c r="DCI21" s="2950"/>
      <c r="DCJ21" s="2950"/>
      <c r="DCK21" s="2950"/>
      <c r="DCL21" s="2950"/>
      <c r="DCM21" s="2950"/>
      <c r="DCN21" s="2950"/>
      <c r="DCO21" s="2950"/>
      <c r="DCP21" s="2950"/>
      <c r="DCQ21" s="2950"/>
      <c r="DCR21" s="2950"/>
      <c r="DCS21" s="2950"/>
      <c r="DCT21" s="2950"/>
      <c r="DCU21" s="2950"/>
      <c r="DCV21" s="2950"/>
      <c r="DCW21" s="2950"/>
      <c r="DCX21" s="2950"/>
      <c r="DCY21" s="2950"/>
      <c r="DCZ21" s="2950"/>
      <c r="DDA21" s="2950"/>
      <c r="DDB21" s="2950"/>
      <c r="DDC21" s="2950"/>
      <c r="DDD21" s="2950"/>
      <c r="DDE21" s="2950"/>
      <c r="DDF21" s="2950"/>
      <c r="DDG21" s="2950"/>
      <c r="DDH21" s="2950"/>
      <c r="DDI21" s="2950"/>
      <c r="DDJ21" s="2950"/>
      <c r="DDK21" s="2950"/>
      <c r="DDL21" s="2950"/>
      <c r="DDM21" s="2950"/>
      <c r="DDN21" s="2950"/>
      <c r="DDO21" s="2950"/>
      <c r="DDP21" s="2950"/>
      <c r="DDQ21" s="2950"/>
      <c r="DDR21" s="2950"/>
      <c r="DDS21" s="2950"/>
      <c r="DDT21" s="2950"/>
      <c r="DDU21" s="2950"/>
      <c r="DDV21" s="2950"/>
      <c r="DDW21" s="2950"/>
      <c r="DDX21" s="2950"/>
      <c r="DDY21" s="2950"/>
      <c r="DDZ21" s="2950"/>
      <c r="DEA21" s="2950"/>
      <c r="DEB21" s="2950"/>
      <c r="DEC21" s="2950"/>
      <c r="DED21" s="2950"/>
      <c r="DEE21" s="2950"/>
      <c r="DEF21" s="2950"/>
      <c r="DEG21" s="2950"/>
      <c r="DEH21" s="2950"/>
      <c r="DEI21" s="2950"/>
      <c r="DEJ21" s="2950"/>
      <c r="DEK21" s="2950"/>
      <c r="DEL21" s="2950"/>
      <c r="DEM21" s="2950"/>
      <c r="DEN21" s="2950"/>
      <c r="DEO21" s="2950"/>
      <c r="DEP21" s="2950"/>
      <c r="DEQ21" s="2950"/>
      <c r="DER21" s="2950"/>
      <c r="DES21" s="2950"/>
      <c r="DET21" s="2950"/>
      <c r="DEU21" s="2950"/>
      <c r="DEV21" s="2950"/>
      <c r="DEW21" s="2950"/>
      <c r="DEX21" s="2950"/>
      <c r="DEY21" s="2950"/>
      <c r="DEZ21" s="2950"/>
      <c r="DFA21" s="2950"/>
      <c r="DFB21" s="2950"/>
      <c r="DFC21" s="2950"/>
      <c r="DFD21" s="2950"/>
      <c r="DFE21" s="2950"/>
      <c r="DFF21" s="2950"/>
      <c r="DFG21" s="2950"/>
      <c r="DFH21" s="2950"/>
      <c r="DFI21" s="2950"/>
      <c r="DFJ21" s="2950"/>
      <c r="DFK21" s="2950"/>
      <c r="DFL21" s="2950"/>
      <c r="DFM21" s="2950"/>
      <c r="DFN21" s="2950"/>
      <c r="DFO21" s="2950"/>
      <c r="DFP21" s="2950"/>
      <c r="DFQ21" s="2950"/>
      <c r="DFR21" s="2950"/>
      <c r="DFS21" s="2950"/>
      <c r="DFT21" s="2950"/>
      <c r="DFU21" s="2950"/>
      <c r="DFV21" s="2950"/>
      <c r="DFW21" s="2950"/>
      <c r="DFX21" s="2950"/>
      <c r="DFY21" s="2950"/>
      <c r="DFZ21" s="2950"/>
      <c r="DGA21" s="2950"/>
      <c r="DGB21" s="2950"/>
      <c r="DGC21" s="2950"/>
      <c r="DGD21" s="2950"/>
      <c r="DGE21" s="2950"/>
      <c r="DGF21" s="2950"/>
      <c r="DGG21" s="2950"/>
      <c r="DGH21" s="2950"/>
      <c r="DGI21" s="2950"/>
      <c r="DGJ21" s="2950"/>
      <c r="DGK21" s="2950"/>
      <c r="DGL21" s="2950"/>
      <c r="DGM21" s="2950"/>
      <c r="DGN21" s="2950"/>
      <c r="DGO21" s="2950"/>
      <c r="DGP21" s="2950"/>
      <c r="DGQ21" s="2950"/>
      <c r="DGR21" s="2950"/>
      <c r="DGS21" s="2950"/>
      <c r="DGT21" s="2950"/>
      <c r="DGU21" s="2950"/>
      <c r="DGV21" s="2950"/>
      <c r="DGW21" s="2950"/>
      <c r="DGX21" s="2950"/>
      <c r="DGY21" s="2950"/>
      <c r="DGZ21" s="2950"/>
      <c r="DHA21" s="2950"/>
      <c r="DHB21" s="2950"/>
      <c r="DHC21" s="2950"/>
      <c r="DHD21" s="2950"/>
      <c r="DHE21" s="2950"/>
      <c r="DHF21" s="2950"/>
      <c r="DHG21" s="2950"/>
      <c r="DHH21" s="2950"/>
      <c r="DHI21" s="2950"/>
      <c r="DHJ21" s="2950"/>
      <c r="DHK21" s="2950"/>
      <c r="DHL21" s="2950"/>
      <c r="DHM21" s="2950"/>
      <c r="DHN21" s="2950"/>
      <c r="DHO21" s="2950"/>
      <c r="DHP21" s="2950"/>
      <c r="DHQ21" s="2950"/>
      <c r="DHR21" s="2950"/>
      <c r="DHS21" s="2950"/>
      <c r="DHT21" s="2950"/>
      <c r="DHU21" s="2950"/>
      <c r="DHV21" s="2950"/>
      <c r="DHW21" s="2950"/>
      <c r="DHX21" s="2950"/>
      <c r="DHY21" s="2950"/>
      <c r="DHZ21" s="2950"/>
      <c r="DIA21" s="2950"/>
      <c r="DIB21" s="2950"/>
      <c r="DIC21" s="2950"/>
      <c r="DID21" s="2950"/>
      <c r="DIE21" s="2950"/>
      <c r="DIF21" s="2950"/>
      <c r="DIG21" s="2950"/>
      <c r="DIH21" s="2950"/>
      <c r="DII21" s="2950"/>
      <c r="DIJ21" s="2950"/>
      <c r="DIK21" s="2950"/>
      <c r="DIL21" s="2950"/>
      <c r="DIM21" s="2950"/>
      <c r="DIN21" s="2950"/>
      <c r="DIO21" s="2950"/>
      <c r="DIP21" s="2950"/>
      <c r="DIQ21" s="2950"/>
      <c r="DIR21" s="2950"/>
      <c r="DIS21" s="2950"/>
      <c r="DIT21" s="2950"/>
      <c r="DIU21" s="2950"/>
      <c r="DIV21" s="2950"/>
      <c r="DIW21" s="2950"/>
      <c r="DIX21" s="2950"/>
      <c r="DIY21" s="2950"/>
      <c r="DIZ21" s="2950"/>
      <c r="DJA21" s="2950"/>
      <c r="DJB21" s="2950"/>
      <c r="DJC21" s="2950"/>
      <c r="DJD21" s="2950"/>
      <c r="DJE21" s="2950"/>
      <c r="DJF21" s="2950"/>
      <c r="DJG21" s="2950"/>
      <c r="DJH21" s="2950"/>
      <c r="DJI21" s="2950"/>
      <c r="DJJ21" s="2950"/>
      <c r="DJK21" s="2950"/>
      <c r="DJL21" s="2950"/>
      <c r="DJM21" s="2950"/>
      <c r="DJN21" s="2950"/>
      <c r="DJO21" s="2950"/>
      <c r="DJP21" s="2950"/>
      <c r="DJQ21" s="2950"/>
      <c r="DJR21" s="2950"/>
      <c r="DJS21" s="2950"/>
      <c r="DJT21" s="2950"/>
      <c r="DJU21" s="2950"/>
      <c r="DJV21" s="2950"/>
      <c r="DJW21" s="2950"/>
      <c r="DJX21" s="2950"/>
      <c r="DJY21" s="2950"/>
      <c r="DJZ21" s="2950"/>
      <c r="DKA21" s="2950"/>
      <c r="DKB21" s="2950"/>
      <c r="DKC21" s="2950"/>
      <c r="DKD21" s="2950"/>
      <c r="DKE21" s="2950"/>
      <c r="DKF21" s="2950"/>
      <c r="DKG21" s="2950"/>
      <c r="DKH21" s="2950"/>
      <c r="DKI21" s="2950"/>
      <c r="DKJ21" s="2950"/>
      <c r="DKK21" s="2950"/>
      <c r="DKL21" s="2950"/>
      <c r="DKM21" s="2950"/>
      <c r="DKN21" s="2950"/>
      <c r="DKO21" s="2950"/>
      <c r="DKP21" s="2950"/>
      <c r="DKQ21" s="2950"/>
      <c r="DKR21" s="2950"/>
      <c r="DKS21" s="2950"/>
      <c r="DKT21" s="2950"/>
      <c r="DKU21" s="2950"/>
      <c r="DKV21" s="2950"/>
      <c r="DKW21" s="2950"/>
      <c r="DKX21" s="2950"/>
      <c r="DKY21" s="2950"/>
      <c r="DKZ21" s="2950"/>
      <c r="DLA21" s="2950"/>
      <c r="DLB21" s="2950"/>
      <c r="DLC21" s="2950"/>
      <c r="DLD21" s="2950"/>
      <c r="DLE21" s="2950"/>
      <c r="DLF21" s="2950"/>
      <c r="DLG21" s="2950"/>
      <c r="DLH21" s="2950"/>
      <c r="DLI21" s="2950"/>
      <c r="DLJ21" s="2950"/>
      <c r="DLK21" s="2950"/>
      <c r="DLL21" s="2950"/>
      <c r="DLM21" s="2950"/>
      <c r="DLN21" s="2950"/>
      <c r="DLO21" s="2950"/>
      <c r="DLP21" s="2950"/>
      <c r="DLQ21" s="2950"/>
      <c r="DLR21" s="2950"/>
      <c r="DLS21" s="2950"/>
      <c r="DLT21" s="2950"/>
      <c r="DLU21" s="2950"/>
      <c r="DLV21" s="2950"/>
      <c r="DLW21" s="2950"/>
      <c r="DLX21" s="2950"/>
      <c r="DLY21" s="2950"/>
      <c r="DLZ21" s="2950"/>
      <c r="DMA21" s="2950"/>
      <c r="DMB21" s="2950"/>
      <c r="DMC21" s="2950"/>
      <c r="DMD21" s="2950"/>
      <c r="DME21" s="2950"/>
      <c r="DMF21" s="2950"/>
      <c r="DMG21" s="2950"/>
      <c r="DMH21" s="2950"/>
      <c r="DMI21" s="2950"/>
      <c r="DMJ21" s="2950"/>
      <c r="DMK21" s="2950"/>
      <c r="DML21" s="2950"/>
      <c r="DMM21" s="2950"/>
      <c r="DMN21" s="2950"/>
      <c r="DMO21" s="2950"/>
      <c r="DMP21" s="2950"/>
      <c r="DMQ21" s="2950"/>
      <c r="DMR21" s="2950"/>
      <c r="DMS21" s="2950"/>
      <c r="DMT21" s="2950"/>
      <c r="DMU21" s="2950"/>
      <c r="DMV21" s="2950"/>
      <c r="DMW21" s="2950"/>
      <c r="DMX21" s="2950"/>
      <c r="DMY21" s="2950"/>
      <c r="DMZ21" s="2950"/>
      <c r="DNA21" s="2950"/>
      <c r="DNB21" s="2950"/>
      <c r="DNC21" s="2950"/>
      <c r="DND21" s="2950"/>
      <c r="DNE21" s="2950"/>
      <c r="DNF21" s="2950"/>
      <c r="DNG21" s="2950"/>
      <c r="DNH21" s="2950"/>
      <c r="DNI21" s="2950"/>
      <c r="DNJ21" s="2950"/>
      <c r="DNK21" s="2950"/>
      <c r="DNL21" s="2950"/>
      <c r="DNM21" s="2950"/>
      <c r="DNN21" s="2950"/>
      <c r="DNO21" s="2950"/>
      <c r="DNP21" s="2950"/>
      <c r="DNQ21" s="2950"/>
      <c r="DNR21" s="2950"/>
      <c r="DNS21" s="2950"/>
      <c r="DNT21" s="2950"/>
      <c r="DNU21" s="2950"/>
      <c r="DNV21" s="2950"/>
      <c r="DNW21" s="2950"/>
      <c r="DNX21" s="2950"/>
      <c r="DNY21" s="2950"/>
      <c r="DNZ21" s="2950"/>
      <c r="DOA21" s="2950"/>
      <c r="DOB21" s="2950"/>
      <c r="DOC21" s="2950"/>
      <c r="DOD21" s="2950"/>
      <c r="DOE21" s="2950"/>
      <c r="DOF21" s="2950"/>
      <c r="DOG21" s="2950"/>
      <c r="DOH21" s="2950"/>
      <c r="DOI21" s="2950"/>
      <c r="DOJ21" s="2950"/>
      <c r="DOK21" s="2950"/>
      <c r="DOL21" s="2950"/>
      <c r="DOM21" s="2950"/>
      <c r="DON21" s="2950"/>
      <c r="DOO21" s="2950"/>
      <c r="DOP21" s="2950"/>
      <c r="DOQ21" s="2950"/>
      <c r="DOR21" s="2950"/>
      <c r="DOS21" s="2950"/>
      <c r="DOT21" s="2950"/>
      <c r="DOU21" s="2950"/>
      <c r="DOV21" s="2950"/>
      <c r="DOW21" s="2950"/>
      <c r="DOX21" s="2950"/>
      <c r="DOY21" s="2950"/>
      <c r="DOZ21" s="2950"/>
      <c r="DPA21" s="2950"/>
      <c r="DPB21" s="2950"/>
      <c r="DPC21" s="2950"/>
      <c r="DPD21" s="2950"/>
      <c r="DPE21" s="2950"/>
      <c r="DPF21" s="2950"/>
      <c r="DPG21" s="2950"/>
      <c r="DPH21" s="2950"/>
      <c r="DPI21" s="2950"/>
      <c r="DPJ21" s="2950"/>
      <c r="DPK21" s="2950"/>
      <c r="DPL21" s="2950"/>
      <c r="DPM21" s="2950"/>
      <c r="DPN21" s="2950"/>
      <c r="DPO21" s="2950"/>
      <c r="DPP21" s="2950"/>
      <c r="DPQ21" s="2950"/>
      <c r="DPR21" s="2950"/>
      <c r="DPS21" s="2950"/>
      <c r="DPT21" s="2950"/>
      <c r="DPU21" s="2950"/>
      <c r="DPV21" s="2950"/>
      <c r="DPW21" s="2950"/>
      <c r="DPX21" s="2950"/>
      <c r="DPY21" s="2950"/>
      <c r="DPZ21" s="2950"/>
      <c r="DQA21" s="2950"/>
      <c r="DQB21" s="2950"/>
      <c r="DQC21" s="2950"/>
      <c r="DQD21" s="2950"/>
      <c r="DQE21" s="2950"/>
      <c r="DQF21" s="2950"/>
      <c r="DQG21" s="2950"/>
      <c r="DQH21" s="2950"/>
      <c r="DQI21" s="2950"/>
      <c r="DQJ21" s="2950"/>
      <c r="DQK21" s="2950"/>
      <c r="DQL21" s="2950"/>
      <c r="DQM21" s="2950"/>
      <c r="DQN21" s="2950"/>
      <c r="DQO21" s="2950"/>
      <c r="DQP21" s="2950"/>
      <c r="DQQ21" s="2950"/>
      <c r="DQR21" s="2950"/>
      <c r="DQS21" s="2950"/>
      <c r="DQT21" s="2950"/>
      <c r="DQU21" s="2950"/>
      <c r="DQV21" s="2950"/>
      <c r="DQW21" s="2950"/>
      <c r="DQX21" s="2950"/>
      <c r="DQY21" s="2950"/>
      <c r="DQZ21" s="2950"/>
      <c r="DRA21" s="2950"/>
      <c r="DRB21" s="2950"/>
      <c r="DRC21" s="2950"/>
      <c r="DRD21" s="2950"/>
      <c r="DRE21" s="2950"/>
      <c r="DRF21" s="2950"/>
      <c r="DRG21" s="2950"/>
      <c r="DRH21" s="2950"/>
      <c r="DRI21" s="2950"/>
      <c r="DRJ21" s="2950"/>
      <c r="DRK21" s="2950"/>
      <c r="DRL21" s="2950"/>
      <c r="DRM21" s="2950"/>
      <c r="DRN21" s="2950"/>
      <c r="DRO21" s="2950"/>
      <c r="DRP21" s="2950"/>
      <c r="DRQ21" s="2950"/>
      <c r="DRR21" s="2950"/>
      <c r="DRS21" s="2950"/>
      <c r="DRT21" s="2950"/>
      <c r="DRU21" s="2950"/>
      <c r="DRV21" s="2950"/>
      <c r="DRW21" s="2950"/>
      <c r="DRX21" s="2950"/>
      <c r="DRY21" s="2950"/>
      <c r="DRZ21" s="2950"/>
      <c r="DSA21" s="2950"/>
      <c r="DSB21" s="2950"/>
      <c r="DSC21" s="2950"/>
      <c r="DSD21" s="2950"/>
      <c r="DSE21" s="2950"/>
      <c r="DSF21" s="2950"/>
      <c r="DSG21" s="2950"/>
      <c r="DSH21" s="2950"/>
      <c r="DSI21" s="2950"/>
      <c r="DSJ21" s="2950"/>
      <c r="DSK21" s="2950"/>
      <c r="DSL21" s="2950"/>
      <c r="DSM21" s="2950"/>
      <c r="DSN21" s="2950"/>
      <c r="DSO21" s="2950"/>
      <c r="DSP21" s="2950"/>
      <c r="DSQ21" s="2950"/>
      <c r="DSR21" s="2950"/>
      <c r="DSS21" s="2950"/>
      <c r="DST21" s="2950"/>
      <c r="DSU21" s="2950"/>
      <c r="DSV21" s="2950"/>
      <c r="DSW21" s="2950"/>
      <c r="DSX21" s="2950"/>
      <c r="DSY21" s="2950"/>
      <c r="DSZ21" s="2950"/>
      <c r="DTA21" s="2950"/>
      <c r="DTB21" s="2950"/>
      <c r="DTC21" s="2950"/>
      <c r="DTD21" s="2950"/>
      <c r="DTE21" s="2950"/>
      <c r="DTF21" s="2950"/>
      <c r="DTG21" s="2950"/>
      <c r="DTH21" s="2950"/>
      <c r="DTI21" s="2950"/>
      <c r="DTJ21" s="2950"/>
      <c r="DTK21" s="2950"/>
      <c r="DTL21" s="2950"/>
      <c r="DTM21" s="2950"/>
      <c r="DTN21" s="2950"/>
      <c r="DTO21" s="2950"/>
      <c r="DTP21" s="2950"/>
      <c r="DTQ21" s="2950"/>
      <c r="DTR21" s="2950"/>
      <c r="DTS21" s="2950"/>
      <c r="DTT21" s="2950"/>
      <c r="DTU21" s="2950"/>
      <c r="DTV21" s="2950"/>
      <c r="DTW21" s="2950"/>
      <c r="DTX21" s="2950"/>
      <c r="DTY21" s="2950"/>
      <c r="DTZ21" s="2950"/>
      <c r="DUA21" s="2950"/>
      <c r="DUB21" s="2950"/>
      <c r="DUC21" s="2950"/>
      <c r="DUD21" s="2950"/>
      <c r="DUE21" s="2950"/>
      <c r="DUF21" s="2950"/>
      <c r="DUG21" s="2950"/>
      <c r="DUH21" s="2950"/>
      <c r="DUI21" s="2950"/>
      <c r="DUJ21" s="2950"/>
      <c r="DUK21" s="2950"/>
      <c r="DUL21" s="2950"/>
      <c r="DUM21" s="2950"/>
      <c r="DUN21" s="2950"/>
      <c r="DUO21" s="2950"/>
      <c r="DUP21" s="2950"/>
      <c r="DUQ21" s="2950"/>
      <c r="DUR21" s="2950"/>
      <c r="DUS21" s="2950"/>
      <c r="DUT21" s="2950"/>
      <c r="DUU21" s="2950"/>
      <c r="DUV21" s="2950"/>
      <c r="DUW21" s="2950"/>
      <c r="DUX21" s="2950"/>
      <c r="DUY21" s="2950"/>
      <c r="DUZ21" s="2950"/>
      <c r="DVA21" s="2950"/>
      <c r="DVB21" s="2950"/>
      <c r="DVC21" s="2950"/>
      <c r="DVD21" s="2950"/>
      <c r="DVE21" s="2950"/>
      <c r="DVF21" s="2950"/>
      <c r="DVG21" s="2950"/>
      <c r="DVH21" s="2950"/>
      <c r="DVI21" s="2950"/>
      <c r="DVJ21" s="2950"/>
      <c r="DVK21" s="2950"/>
      <c r="DVL21" s="2950"/>
      <c r="DVM21" s="2950"/>
      <c r="DVN21" s="2950"/>
      <c r="DVO21" s="2950"/>
      <c r="DVP21" s="2950"/>
      <c r="DVQ21" s="2950"/>
      <c r="DVR21" s="2950"/>
      <c r="DVS21" s="2950"/>
      <c r="DVT21" s="2950"/>
      <c r="DVU21" s="2950"/>
      <c r="DVV21" s="2950"/>
      <c r="DVW21" s="2950"/>
      <c r="DVX21" s="2950"/>
      <c r="DVY21" s="2950"/>
      <c r="DVZ21" s="2950"/>
      <c r="DWA21" s="2950"/>
      <c r="DWB21" s="2950"/>
      <c r="DWC21" s="2950"/>
      <c r="DWD21" s="2950"/>
      <c r="DWE21" s="2950"/>
      <c r="DWF21" s="2950"/>
      <c r="DWG21" s="2950"/>
      <c r="DWH21" s="2950"/>
      <c r="DWI21" s="2950"/>
      <c r="DWJ21" s="2950"/>
      <c r="DWK21" s="2950"/>
      <c r="DWL21" s="2950"/>
      <c r="DWM21" s="2950"/>
      <c r="DWN21" s="2950"/>
      <c r="DWO21" s="2950"/>
      <c r="DWP21" s="2950"/>
      <c r="DWQ21" s="2950"/>
      <c r="DWR21" s="2950"/>
      <c r="DWS21" s="2950"/>
      <c r="DWT21" s="2950"/>
      <c r="DWU21" s="2950"/>
      <c r="DWV21" s="2950"/>
      <c r="DWW21" s="2950"/>
      <c r="DWX21" s="2950"/>
      <c r="DWY21" s="2950"/>
      <c r="DWZ21" s="2950"/>
      <c r="DXA21" s="2950"/>
      <c r="DXB21" s="2950"/>
      <c r="DXC21" s="2950"/>
      <c r="DXD21" s="2950"/>
      <c r="DXE21" s="2950"/>
      <c r="DXF21" s="2950"/>
      <c r="DXG21" s="2950"/>
      <c r="DXH21" s="2950"/>
      <c r="DXI21" s="2950"/>
      <c r="DXJ21" s="2950"/>
      <c r="DXK21" s="2950"/>
      <c r="DXL21" s="2950"/>
      <c r="DXM21" s="2950"/>
      <c r="DXN21" s="2950"/>
      <c r="DXO21" s="2950"/>
      <c r="DXP21" s="2950"/>
      <c r="DXQ21" s="2950"/>
      <c r="DXR21" s="2950"/>
      <c r="DXS21" s="2950"/>
      <c r="DXT21" s="2950"/>
      <c r="DXU21" s="2950"/>
      <c r="DXV21" s="2950"/>
      <c r="DXW21" s="2950"/>
      <c r="DXX21" s="2950"/>
      <c r="DXY21" s="2950"/>
      <c r="DXZ21" s="2950"/>
      <c r="DYA21" s="2950"/>
      <c r="DYB21" s="2950"/>
      <c r="DYC21" s="2950"/>
      <c r="DYD21" s="2950"/>
      <c r="DYE21" s="2950"/>
      <c r="DYF21" s="2950"/>
      <c r="DYG21" s="2950"/>
      <c r="DYH21" s="2950"/>
      <c r="DYI21" s="2950"/>
      <c r="DYJ21" s="2950"/>
      <c r="DYK21" s="2950"/>
      <c r="DYL21" s="2950"/>
      <c r="DYM21" s="2950"/>
      <c r="DYN21" s="2950"/>
      <c r="DYO21" s="2950"/>
      <c r="DYP21" s="2950"/>
      <c r="DYQ21" s="2950"/>
      <c r="DYR21" s="2950"/>
      <c r="DYS21" s="2950"/>
      <c r="DYT21" s="2950"/>
      <c r="DYU21" s="2950"/>
      <c r="DYV21" s="2950"/>
      <c r="DYW21" s="2950"/>
      <c r="DYX21" s="2950"/>
      <c r="DYY21" s="2950"/>
      <c r="DYZ21" s="2950"/>
      <c r="DZA21" s="2950"/>
      <c r="DZB21" s="2950"/>
      <c r="DZC21" s="2950"/>
      <c r="DZD21" s="2950"/>
      <c r="DZE21" s="2950"/>
      <c r="DZF21" s="2950"/>
      <c r="DZG21" s="2950"/>
      <c r="DZH21" s="2950"/>
      <c r="DZI21" s="2950"/>
      <c r="DZJ21" s="2950"/>
      <c r="DZK21" s="2950"/>
      <c r="DZL21" s="2950"/>
      <c r="DZM21" s="2950"/>
      <c r="DZN21" s="2950"/>
      <c r="DZO21" s="2950"/>
      <c r="DZP21" s="2950"/>
      <c r="DZQ21" s="2950"/>
      <c r="DZR21" s="2950"/>
      <c r="DZS21" s="2950"/>
      <c r="DZT21" s="2950"/>
      <c r="DZU21" s="2950"/>
      <c r="DZV21" s="2950"/>
      <c r="DZW21" s="2950"/>
      <c r="DZX21" s="2950"/>
      <c r="DZY21" s="2950"/>
      <c r="DZZ21" s="2950"/>
      <c r="EAA21" s="2950"/>
      <c r="EAB21" s="2950"/>
      <c r="EAC21" s="2950"/>
      <c r="EAD21" s="2950"/>
      <c r="EAE21" s="2950"/>
      <c r="EAF21" s="2950"/>
      <c r="EAG21" s="2950"/>
      <c r="EAH21" s="2950"/>
      <c r="EAI21" s="2950"/>
      <c r="EAJ21" s="2950"/>
      <c r="EAK21" s="2950"/>
      <c r="EAL21" s="2950"/>
      <c r="EAM21" s="2950"/>
      <c r="EAN21" s="2950"/>
      <c r="EAO21" s="2950"/>
      <c r="EAP21" s="2950"/>
      <c r="EAQ21" s="2950"/>
      <c r="EAR21" s="2950"/>
      <c r="EAS21" s="2950"/>
      <c r="EAT21" s="2950"/>
      <c r="EAU21" s="2950"/>
      <c r="EAV21" s="2950"/>
      <c r="EAW21" s="2950"/>
      <c r="EAX21" s="2950"/>
      <c r="EAY21" s="2950"/>
      <c r="EAZ21" s="2950"/>
      <c r="EBA21" s="2950"/>
      <c r="EBB21" s="2950"/>
      <c r="EBC21" s="2950"/>
      <c r="EBD21" s="2950"/>
      <c r="EBE21" s="2950"/>
      <c r="EBF21" s="2950"/>
      <c r="EBG21" s="2950"/>
      <c r="EBH21" s="2950"/>
      <c r="EBI21" s="2950"/>
      <c r="EBJ21" s="2950"/>
      <c r="EBK21" s="2950"/>
      <c r="EBL21" s="2950"/>
      <c r="EBM21" s="2950"/>
      <c r="EBN21" s="2950"/>
      <c r="EBO21" s="2950"/>
      <c r="EBP21" s="2950"/>
      <c r="EBQ21" s="2950"/>
      <c r="EBR21" s="2950"/>
      <c r="EBS21" s="2950"/>
      <c r="EBT21" s="2950"/>
      <c r="EBU21" s="2950"/>
      <c r="EBV21" s="2950"/>
      <c r="EBW21" s="2950"/>
      <c r="EBX21" s="2950"/>
      <c r="EBY21" s="2950"/>
      <c r="EBZ21" s="2950"/>
      <c r="ECA21" s="2950"/>
      <c r="ECB21" s="2950"/>
      <c r="ECC21" s="2950"/>
      <c r="ECD21" s="2950"/>
      <c r="ECE21" s="2950"/>
      <c r="ECF21" s="2950"/>
      <c r="ECG21" s="2950"/>
      <c r="ECH21" s="2950"/>
      <c r="ECI21" s="2950"/>
      <c r="ECJ21" s="2950"/>
      <c r="ECK21" s="2950"/>
      <c r="ECL21" s="2950"/>
      <c r="ECM21" s="2950"/>
      <c r="ECN21" s="2950"/>
      <c r="ECO21" s="2950"/>
      <c r="ECP21" s="2950"/>
      <c r="ECQ21" s="2950"/>
      <c r="ECR21" s="2950"/>
      <c r="ECS21" s="2950"/>
      <c r="ECT21" s="2950"/>
      <c r="ECU21" s="2950"/>
      <c r="ECV21" s="2950"/>
      <c r="ECW21" s="2950"/>
      <c r="ECX21" s="2950"/>
      <c r="ECY21" s="2950"/>
      <c r="ECZ21" s="2950"/>
      <c r="EDA21" s="2950"/>
      <c r="EDB21" s="2950"/>
      <c r="EDC21" s="2950"/>
      <c r="EDD21" s="2950"/>
      <c r="EDE21" s="2950"/>
      <c r="EDF21" s="2950"/>
      <c r="EDG21" s="2950"/>
      <c r="EDH21" s="2950"/>
      <c r="EDI21" s="2950"/>
      <c r="EDJ21" s="2950"/>
      <c r="EDK21" s="2950"/>
      <c r="EDL21" s="2950"/>
      <c r="EDM21" s="2950"/>
      <c r="EDN21" s="2950"/>
      <c r="EDO21" s="2950"/>
      <c r="EDP21" s="2950"/>
      <c r="EDQ21" s="2950"/>
      <c r="EDR21" s="2950"/>
      <c r="EDS21" s="2950"/>
      <c r="EDT21" s="2950"/>
      <c r="EDU21" s="2950"/>
      <c r="EDV21" s="2950"/>
      <c r="EDW21" s="2950"/>
      <c r="EDX21" s="2950"/>
      <c r="EDY21" s="2950"/>
      <c r="EDZ21" s="2950"/>
      <c r="EEA21" s="2950"/>
      <c r="EEB21" s="2950"/>
      <c r="EEC21" s="2950"/>
      <c r="EED21" s="2950"/>
      <c r="EEE21" s="2950"/>
      <c r="EEF21" s="2950"/>
      <c r="EEG21" s="2950"/>
      <c r="EEH21" s="2950"/>
      <c r="EEI21" s="2950"/>
      <c r="EEJ21" s="2950"/>
      <c r="EEK21" s="2950"/>
      <c r="EEL21" s="2950"/>
      <c r="EEM21" s="2950"/>
      <c r="EEN21" s="2950"/>
      <c r="EEO21" s="2950"/>
      <c r="EEP21" s="2950"/>
      <c r="EEQ21" s="2950"/>
      <c r="EER21" s="2950"/>
      <c r="EES21" s="2950"/>
      <c r="EET21" s="2950"/>
      <c r="EEU21" s="2950"/>
      <c r="EEV21" s="2950"/>
      <c r="EEW21" s="2950"/>
      <c r="EEX21" s="2950"/>
      <c r="EEY21" s="2950"/>
      <c r="EEZ21" s="2950"/>
      <c r="EFA21" s="2950"/>
      <c r="EFB21" s="2950"/>
      <c r="EFC21" s="2950"/>
      <c r="EFD21" s="2950"/>
      <c r="EFE21" s="2950"/>
      <c r="EFF21" s="2950"/>
      <c r="EFG21" s="2950"/>
      <c r="EFH21" s="2950"/>
      <c r="EFI21" s="2950"/>
      <c r="EFJ21" s="2950"/>
      <c r="EFK21" s="2950"/>
      <c r="EFL21" s="2950"/>
      <c r="EFM21" s="2950"/>
      <c r="EFN21" s="2950"/>
      <c r="EFO21" s="2950"/>
      <c r="EFP21" s="2950"/>
      <c r="EFQ21" s="2950"/>
      <c r="EFR21" s="2950"/>
      <c r="EFS21" s="2950"/>
      <c r="EFT21" s="2950"/>
      <c r="EFU21" s="2950"/>
      <c r="EFV21" s="2950"/>
      <c r="EFW21" s="2950"/>
      <c r="EFX21" s="2950"/>
      <c r="EFY21" s="2950"/>
      <c r="EFZ21" s="2950"/>
      <c r="EGA21" s="2950"/>
      <c r="EGB21" s="2950"/>
      <c r="EGC21" s="2950"/>
      <c r="EGD21" s="2950"/>
      <c r="EGE21" s="2950"/>
      <c r="EGF21" s="2950"/>
      <c r="EGG21" s="2950"/>
      <c r="EGH21" s="2950"/>
      <c r="EGI21" s="2950"/>
      <c r="EGJ21" s="2950"/>
      <c r="EGK21" s="2950"/>
      <c r="EGL21" s="2950"/>
      <c r="EGM21" s="2950"/>
      <c r="EGN21" s="2950"/>
      <c r="EGO21" s="2950"/>
      <c r="EGP21" s="2950"/>
      <c r="EGQ21" s="2950"/>
      <c r="EGR21" s="2950"/>
      <c r="EGS21" s="2950"/>
      <c r="EGT21" s="2950"/>
      <c r="EGU21" s="2950"/>
      <c r="EGV21" s="2950"/>
      <c r="EGW21" s="2950"/>
      <c r="EGX21" s="2950"/>
      <c r="EGY21" s="2950"/>
      <c r="EGZ21" s="2950"/>
      <c r="EHA21" s="2950"/>
      <c r="EHB21" s="2950"/>
      <c r="EHC21" s="2950"/>
      <c r="EHD21" s="2950"/>
      <c r="EHE21" s="2950"/>
      <c r="EHF21" s="2950"/>
      <c r="EHG21" s="2950"/>
      <c r="EHH21" s="2950"/>
      <c r="EHI21" s="2950"/>
      <c r="EHJ21" s="2950"/>
      <c r="EHK21" s="2950"/>
      <c r="EHL21" s="2950"/>
      <c r="EHM21" s="2950"/>
      <c r="EHN21" s="2950"/>
      <c r="EHO21" s="2950"/>
      <c r="EHP21" s="2950"/>
      <c r="EHQ21" s="2950"/>
      <c r="EHR21" s="2950"/>
      <c r="EHS21" s="2950"/>
      <c r="EHT21" s="2950"/>
      <c r="EHU21" s="2950"/>
      <c r="EHV21" s="2950"/>
      <c r="EHW21" s="2950"/>
      <c r="EHX21" s="2950"/>
      <c r="EHY21" s="2950"/>
      <c r="EHZ21" s="2950"/>
      <c r="EIA21" s="2950"/>
      <c r="EIB21" s="2950"/>
      <c r="EIC21" s="2950"/>
      <c r="EID21" s="2950"/>
      <c r="EIE21" s="2950"/>
      <c r="EIF21" s="2950"/>
      <c r="EIG21" s="2950"/>
      <c r="EIH21" s="2950"/>
      <c r="EII21" s="2950"/>
      <c r="EIJ21" s="2950"/>
      <c r="EIK21" s="2950"/>
      <c r="EIL21" s="2950"/>
      <c r="EIM21" s="2950"/>
      <c r="EIN21" s="2950"/>
      <c r="EIO21" s="2950"/>
      <c r="EIP21" s="2950"/>
      <c r="EIQ21" s="2950"/>
      <c r="EIR21" s="2950"/>
      <c r="EIS21" s="2950"/>
      <c r="EIT21" s="2950"/>
      <c r="EIU21" s="2950"/>
      <c r="EIV21" s="2950"/>
      <c r="EIW21" s="2950"/>
      <c r="EIX21" s="2950"/>
      <c r="EIY21" s="2950"/>
      <c r="EIZ21" s="2950"/>
      <c r="EJA21" s="2950"/>
      <c r="EJB21" s="2950"/>
      <c r="EJC21" s="2950"/>
      <c r="EJD21" s="2950"/>
      <c r="EJE21" s="2950"/>
      <c r="EJF21" s="2950"/>
      <c r="EJG21" s="2950"/>
      <c r="EJH21" s="2950"/>
      <c r="EJI21" s="2950"/>
      <c r="EJJ21" s="2950"/>
      <c r="EJK21" s="2950"/>
      <c r="EJL21" s="2950"/>
      <c r="EJM21" s="2950"/>
      <c r="EJN21" s="2950"/>
      <c r="EJO21" s="2950"/>
      <c r="EJP21" s="2950"/>
      <c r="EJQ21" s="2950"/>
      <c r="EJR21" s="2950"/>
      <c r="EJS21" s="2950"/>
      <c r="EJT21" s="2950"/>
      <c r="EJU21" s="2950"/>
      <c r="EJV21" s="2950"/>
      <c r="EJW21" s="2950"/>
      <c r="EJX21" s="2950"/>
      <c r="EJY21" s="2950"/>
      <c r="EJZ21" s="2950"/>
      <c r="EKA21" s="2950"/>
      <c r="EKB21" s="2950"/>
      <c r="EKC21" s="2950"/>
      <c r="EKD21" s="2950"/>
      <c r="EKE21" s="2950"/>
      <c r="EKF21" s="2950"/>
      <c r="EKG21" s="2950"/>
      <c r="EKH21" s="2950"/>
      <c r="EKI21" s="2950"/>
      <c r="EKJ21" s="2950"/>
      <c r="EKK21" s="2950"/>
      <c r="EKL21" s="2950"/>
      <c r="EKM21" s="2950"/>
      <c r="EKN21" s="2950"/>
      <c r="EKO21" s="2950"/>
      <c r="EKP21" s="2950"/>
      <c r="EKQ21" s="2950"/>
      <c r="EKR21" s="2950"/>
      <c r="EKS21" s="2950"/>
      <c r="EKT21" s="2950"/>
      <c r="EKU21" s="2950"/>
      <c r="EKV21" s="2950"/>
      <c r="EKW21" s="2950"/>
      <c r="EKX21" s="2950"/>
      <c r="EKY21" s="2950"/>
      <c r="EKZ21" s="2950"/>
      <c r="ELA21" s="2950"/>
      <c r="ELB21" s="2950"/>
      <c r="ELC21" s="2950"/>
      <c r="ELD21" s="2950"/>
      <c r="ELE21" s="2950"/>
      <c r="ELF21" s="2950"/>
      <c r="ELG21" s="2950"/>
      <c r="ELH21" s="2950"/>
      <c r="ELI21" s="2950"/>
      <c r="ELJ21" s="2950"/>
      <c r="ELK21" s="2950"/>
      <c r="ELL21" s="2950"/>
      <c r="ELM21" s="2950"/>
      <c r="ELN21" s="2950"/>
      <c r="ELO21" s="2950"/>
      <c r="ELP21" s="2950"/>
      <c r="ELQ21" s="2950"/>
      <c r="ELR21" s="2950"/>
      <c r="ELS21" s="2950"/>
      <c r="ELT21" s="2950"/>
      <c r="ELU21" s="2950"/>
      <c r="ELV21" s="2950"/>
      <c r="ELW21" s="2950"/>
      <c r="ELX21" s="2950"/>
      <c r="ELY21" s="2950"/>
      <c r="ELZ21" s="2950"/>
      <c r="EMA21" s="2950"/>
      <c r="EMB21" s="2950"/>
      <c r="EMC21" s="2950"/>
      <c r="EMD21" s="2950"/>
      <c r="EME21" s="2950"/>
      <c r="EMF21" s="2950"/>
      <c r="EMG21" s="2950"/>
      <c r="EMH21" s="2950"/>
      <c r="EMI21" s="2950"/>
      <c r="EMJ21" s="2950"/>
      <c r="EMK21" s="2950"/>
      <c r="EML21" s="2950"/>
      <c r="EMM21" s="2950"/>
      <c r="EMN21" s="2950"/>
      <c r="EMO21" s="2950"/>
      <c r="EMP21" s="2950"/>
      <c r="EMQ21" s="2950"/>
      <c r="EMR21" s="2950"/>
      <c r="EMS21" s="2950"/>
      <c r="EMT21" s="2950"/>
      <c r="EMU21" s="2950"/>
      <c r="EMV21" s="2950"/>
      <c r="EMW21" s="2950"/>
      <c r="EMX21" s="2950"/>
      <c r="EMY21" s="2950"/>
      <c r="EMZ21" s="2950"/>
      <c r="ENA21" s="2950"/>
      <c r="ENB21" s="2950"/>
      <c r="ENC21" s="2950"/>
      <c r="END21" s="2950"/>
      <c r="ENE21" s="2950"/>
      <c r="ENF21" s="2950"/>
      <c r="ENG21" s="2950"/>
      <c r="ENH21" s="2950"/>
      <c r="ENI21" s="2950"/>
      <c r="ENJ21" s="2950"/>
      <c r="ENK21" s="2950"/>
      <c r="ENL21" s="2950"/>
      <c r="ENM21" s="2950"/>
      <c r="ENN21" s="2950"/>
      <c r="ENO21" s="2950"/>
      <c r="ENP21" s="2950"/>
      <c r="ENQ21" s="2950"/>
      <c r="ENR21" s="2950"/>
      <c r="ENS21" s="2950"/>
      <c r="ENT21" s="2950"/>
      <c r="ENU21" s="2950"/>
      <c r="ENV21" s="2950"/>
      <c r="ENW21" s="2950"/>
      <c r="ENX21" s="2950"/>
      <c r="ENY21" s="2950"/>
      <c r="ENZ21" s="2950"/>
      <c r="EOA21" s="2950"/>
      <c r="EOB21" s="2950"/>
      <c r="EOC21" s="2950"/>
      <c r="EOD21" s="2950"/>
      <c r="EOE21" s="2950"/>
      <c r="EOF21" s="2950"/>
      <c r="EOG21" s="2950"/>
      <c r="EOH21" s="2950"/>
      <c r="EOI21" s="2950"/>
      <c r="EOJ21" s="2950"/>
      <c r="EOK21" s="2950"/>
      <c r="EOL21" s="2950"/>
      <c r="EOM21" s="2950"/>
      <c r="EON21" s="2950"/>
      <c r="EOO21" s="2950"/>
      <c r="EOP21" s="2950"/>
      <c r="EOQ21" s="2950"/>
      <c r="EOR21" s="2950"/>
      <c r="EOS21" s="2950"/>
      <c r="EOT21" s="2950"/>
      <c r="EOU21" s="2950"/>
      <c r="EOV21" s="2950"/>
      <c r="EOW21" s="2950"/>
      <c r="EOX21" s="2950"/>
      <c r="EOY21" s="2950"/>
      <c r="EOZ21" s="2950"/>
      <c r="EPA21" s="2950"/>
      <c r="EPB21" s="2950"/>
      <c r="EPC21" s="2950"/>
      <c r="EPD21" s="2950"/>
      <c r="EPE21" s="2950"/>
      <c r="EPF21" s="2950"/>
      <c r="EPG21" s="2950"/>
      <c r="EPH21" s="2950"/>
      <c r="EPI21" s="2950"/>
      <c r="EPJ21" s="2950"/>
      <c r="EPK21" s="2950"/>
      <c r="EPL21" s="2950"/>
      <c r="EPM21" s="2950"/>
      <c r="EPN21" s="2950"/>
      <c r="EPO21" s="2950"/>
      <c r="EPP21" s="2950"/>
      <c r="EPQ21" s="2950"/>
      <c r="EPR21" s="2950"/>
      <c r="EPS21" s="2950"/>
      <c r="EPT21" s="2950"/>
      <c r="EPU21" s="2950"/>
      <c r="EPV21" s="2950"/>
      <c r="EPW21" s="2950"/>
      <c r="EPX21" s="2950"/>
      <c r="EPY21" s="2950"/>
      <c r="EPZ21" s="2950"/>
      <c r="EQA21" s="2950"/>
      <c r="EQB21" s="2950"/>
      <c r="EQC21" s="2950"/>
      <c r="EQD21" s="2950"/>
      <c r="EQE21" s="2950"/>
      <c r="EQF21" s="2950"/>
      <c r="EQG21" s="2950"/>
      <c r="EQH21" s="2950"/>
      <c r="EQI21" s="2950"/>
      <c r="EQJ21" s="2950"/>
      <c r="EQK21" s="2950"/>
      <c r="EQL21" s="2950"/>
      <c r="EQM21" s="2950"/>
      <c r="EQN21" s="2950"/>
      <c r="EQO21" s="2950"/>
      <c r="EQP21" s="2950"/>
      <c r="EQQ21" s="2950"/>
      <c r="EQR21" s="2950"/>
      <c r="EQS21" s="2950"/>
      <c r="EQT21" s="2950"/>
      <c r="EQU21" s="2950"/>
      <c r="EQV21" s="2950"/>
      <c r="EQW21" s="2950"/>
      <c r="EQX21" s="2950"/>
      <c r="EQY21" s="2950"/>
      <c r="EQZ21" s="2950"/>
      <c r="ERA21" s="2950"/>
      <c r="ERB21" s="2950"/>
      <c r="ERC21" s="2950"/>
      <c r="ERD21" s="2950"/>
      <c r="ERE21" s="2950"/>
      <c r="ERF21" s="2950"/>
      <c r="ERG21" s="2950"/>
      <c r="ERH21" s="2950"/>
      <c r="ERI21" s="2950"/>
      <c r="ERJ21" s="2950"/>
      <c r="ERK21" s="2950"/>
      <c r="ERL21" s="2950"/>
      <c r="ERM21" s="2950"/>
      <c r="ERN21" s="2950"/>
      <c r="ERO21" s="2950"/>
      <c r="ERP21" s="2950"/>
      <c r="ERQ21" s="2950"/>
      <c r="ERR21" s="2950"/>
      <c r="ERS21" s="2950"/>
      <c r="ERT21" s="2950"/>
      <c r="ERU21" s="2950"/>
      <c r="ERV21" s="2950"/>
      <c r="ERW21" s="2950"/>
      <c r="ERX21" s="2950"/>
      <c r="ERY21" s="2950"/>
      <c r="ERZ21" s="2950"/>
      <c r="ESA21" s="2950"/>
      <c r="ESB21" s="2950"/>
      <c r="ESC21" s="2950"/>
      <c r="ESD21" s="2950"/>
      <c r="ESE21" s="2950"/>
      <c r="ESF21" s="2950"/>
      <c r="ESG21" s="2950"/>
      <c r="ESH21" s="2950"/>
      <c r="ESI21" s="2950"/>
      <c r="ESJ21" s="2950"/>
      <c r="ESK21" s="2950"/>
      <c r="ESL21" s="2950"/>
      <c r="ESM21" s="2950"/>
      <c r="ESN21" s="2950"/>
      <c r="ESO21" s="2950"/>
      <c r="ESP21" s="2950"/>
      <c r="ESQ21" s="2950"/>
      <c r="ESR21" s="2950"/>
      <c r="ESS21" s="2950"/>
      <c r="EST21" s="2950"/>
      <c r="ESU21" s="2950"/>
      <c r="ESV21" s="2950"/>
      <c r="ESW21" s="2950"/>
      <c r="ESX21" s="2950"/>
      <c r="ESY21" s="2950"/>
      <c r="ESZ21" s="2950"/>
      <c r="ETA21" s="2950"/>
      <c r="ETB21" s="2950"/>
      <c r="ETC21" s="2950"/>
      <c r="ETD21" s="2950"/>
      <c r="ETE21" s="2950"/>
      <c r="ETF21" s="2950"/>
      <c r="ETG21" s="2950"/>
      <c r="ETH21" s="2950"/>
      <c r="ETI21" s="2950"/>
      <c r="ETJ21" s="2950"/>
      <c r="ETK21" s="2950"/>
      <c r="ETL21" s="2950"/>
      <c r="ETM21" s="2950"/>
      <c r="ETN21" s="2950"/>
      <c r="ETO21" s="2950"/>
      <c r="ETP21" s="2950"/>
      <c r="ETQ21" s="2950"/>
      <c r="ETR21" s="2950"/>
      <c r="ETS21" s="2950"/>
      <c r="ETT21" s="2950"/>
      <c r="ETU21" s="2950"/>
      <c r="ETV21" s="2950"/>
      <c r="ETW21" s="2950"/>
      <c r="ETX21" s="2950"/>
      <c r="ETY21" s="2950"/>
      <c r="ETZ21" s="2950"/>
      <c r="EUA21" s="2950"/>
      <c r="EUB21" s="2950"/>
      <c r="EUC21" s="2950"/>
      <c r="EUD21" s="2950"/>
      <c r="EUE21" s="2950"/>
      <c r="EUF21" s="2950"/>
      <c r="EUG21" s="2950"/>
      <c r="EUH21" s="2950"/>
      <c r="EUI21" s="2950"/>
      <c r="EUJ21" s="2950"/>
      <c r="EUK21" s="2950"/>
      <c r="EUL21" s="2950"/>
      <c r="EUM21" s="2950"/>
      <c r="EUN21" s="2950"/>
      <c r="EUO21" s="2950"/>
      <c r="EUP21" s="2950"/>
      <c r="EUQ21" s="2950"/>
      <c r="EUR21" s="2950"/>
      <c r="EUS21" s="2950"/>
      <c r="EUT21" s="2950"/>
      <c r="EUU21" s="2950"/>
      <c r="EUV21" s="2950"/>
      <c r="EUW21" s="2950"/>
      <c r="EUX21" s="2950"/>
      <c r="EUY21" s="2950"/>
      <c r="EUZ21" s="2950"/>
      <c r="EVA21" s="2950"/>
      <c r="EVB21" s="2950"/>
      <c r="EVC21" s="2950"/>
      <c r="EVD21" s="2950"/>
      <c r="EVE21" s="2950"/>
      <c r="EVF21" s="2950"/>
      <c r="EVG21" s="2950"/>
      <c r="EVH21" s="2950"/>
      <c r="EVI21" s="2950"/>
      <c r="EVJ21" s="2950"/>
      <c r="EVK21" s="2950"/>
      <c r="EVL21" s="2950"/>
      <c r="EVM21" s="2950"/>
      <c r="EVN21" s="2950"/>
      <c r="EVO21" s="2950"/>
      <c r="EVP21" s="2950"/>
      <c r="EVQ21" s="2950"/>
      <c r="EVR21" s="2950"/>
      <c r="EVS21" s="2950"/>
      <c r="EVT21" s="2950"/>
      <c r="EVU21" s="2950"/>
      <c r="EVV21" s="2950"/>
      <c r="EVW21" s="2950"/>
      <c r="EVX21" s="2950"/>
      <c r="EVY21" s="2950"/>
      <c r="EVZ21" s="2950"/>
      <c r="EWA21" s="2950"/>
      <c r="EWB21" s="2950"/>
      <c r="EWC21" s="2950"/>
      <c r="EWD21" s="2950"/>
      <c r="EWE21" s="2950"/>
      <c r="EWF21" s="2950"/>
      <c r="EWG21" s="2950"/>
      <c r="EWH21" s="2950"/>
      <c r="EWI21" s="2950"/>
      <c r="EWJ21" s="2950"/>
      <c r="EWK21" s="2950"/>
      <c r="EWL21" s="2950"/>
      <c r="EWM21" s="2950"/>
      <c r="EWN21" s="2950"/>
      <c r="EWO21" s="2950"/>
      <c r="EWP21" s="2950"/>
      <c r="EWQ21" s="2950"/>
      <c r="EWR21" s="2950"/>
      <c r="EWS21" s="2950"/>
      <c r="EWT21" s="2950"/>
      <c r="EWU21" s="2950"/>
      <c r="EWV21" s="2950"/>
      <c r="EWW21" s="2950"/>
      <c r="EWX21" s="2950"/>
      <c r="EWY21" s="2950"/>
      <c r="EWZ21" s="2950"/>
      <c r="EXA21" s="2950"/>
      <c r="EXB21" s="2950"/>
      <c r="EXC21" s="2950"/>
      <c r="EXD21" s="2950"/>
      <c r="EXE21" s="2950"/>
      <c r="EXF21" s="2950"/>
      <c r="EXG21" s="2950"/>
      <c r="EXH21" s="2950"/>
      <c r="EXI21" s="2950"/>
      <c r="EXJ21" s="2950"/>
      <c r="EXK21" s="2950"/>
      <c r="EXL21" s="2950"/>
      <c r="EXM21" s="2950"/>
      <c r="EXN21" s="2950"/>
      <c r="EXO21" s="2950"/>
      <c r="EXP21" s="2950"/>
      <c r="EXQ21" s="2950"/>
      <c r="EXR21" s="2950"/>
      <c r="EXS21" s="2950"/>
      <c r="EXT21" s="2950"/>
      <c r="EXU21" s="2950"/>
      <c r="EXV21" s="2950"/>
      <c r="EXW21" s="2950"/>
      <c r="EXX21" s="2950"/>
      <c r="EXY21" s="2950"/>
      <c r="EXZ21" s="2950"/>
      <c r="EYA21" s="2950"/>
      <c r="EYB21" s="2950"/>
      <c r="EYC21" s="2950"/>
      <c r="EYD21" s="2950"/>
      <c r="EYE21" s="2950"/>
      <c r="EYF21" s="2950"/>
      <c r="EYG21" s="2950"/>
      <c r="EYH21" s="2950"/>
      <c r="EYI21" s="2950"/>
      <c r="EYJ21" s="2950"/>
      <c r="EYK21" s="2950"/>
      <c r="EYL21" s="2950"/>
      <c r="EYM21" s="2950"/>
      <c r="EYN21" s="2950"/>
      <c r="EYO21" s="2950"/>
      <c r="EYP21" s="2950"/>
      <c r="EYQ21" s="2950"/>
      <c r="EYR21" s="2950"/>
      <c r="EYS21" s="2950"/>
      <c r="EYT21" s="2950"/>
      <c r="EYU21" s="2950"/>
      <c r="EYV21" s="2950"/>
      <c r="EYW21" s="2950"/>
      <c r="EYX21" s="2950"/>
      <c r="EYY21" s="2950"/>
      <c r="EYZ21" s="2950"/>
      <c r="EZA21" s="2950"/>
      <c r="EZB21" s="2950"/>
      <c r="EZC21" s="2950"/>
      <c r="EZD21" s="2950"/>
      <c r="EZE21" s="2950"/>
      <c r="EZF21" s="2950"/>
      <c r="EZG21" s="2950"/>
      <c r="EZH21" s="2950"/>
      <c r="EZI21" s="2950"/>
      <c r="EZJ21" s="2950"/>
      <c r="EZK21" s="2950"/>
      <c r="EZL21" s="2950"/>
      <c r="EZM21" s="2950"/>
      <c r="EZN21" s="2950"/>
      <c r="EZO21" s="2950"/>
      <c r="EZP21" s="2950"/>
      <c r="EZQ21" s="2950"/>
      <c r="EZR21" s="2950"/>
      <c r="EZS21" s="2950"/>
      <c r="EZT21" s="2950"/>
      <c r="EZU21" s="2950"/>
      <c r="EZV21" s="2950"/>
      <c r="EZW21" s="2950"/>
      <c r="EZX21" s="2950"/>
      <c r="EZY21" s="2950"/>
      <c r="EZZ21" s="2950"/>
      <c r="FAA21" s="2950"/>
      <c r="FAB21" s="2950"/>
      <c r="FAC21" s="2950"/>
      <c r="FAD21" s="2950"/>
      <c r="FAE21" s="2950"/>
      <c r="FAF21" s="2950"/>
      <c r="FAG21" s="2950"/>
      <c r="FAH21" s="2950"/>
      <c r="FAI21" s="2950"/>
      <c r="FAJ21" s="2950"/>
      <c r="FAK21" s="2950"/>
      <c r="FAL21" s="2950"/>
      <c r="FAM21" s="2950"/>
      <c r="FAN21" s="2950"/>
      <c r="FAO21" s="2950"/>
      <c r="FAP21" s="2950"/>
      <c r="FAQ21" s="2950"/>
      <c r="FAR21" s="2950"/>
      <c r="FAS21" s="2950"/>
      <c r="FAT21" s="2950"/>
      <c r="FAU21" s="2950"/>
      <c r="FAV21" s="2950"/>
      <c r="FAW21" s="2950"/>
      <c r="FAX21" s="2950"/>
      <c r="FAY21" s="2950"/>
      <c r="FAZ21" s="2950"/>
      <c r="FBA21" s="2950"/>
      <c r="FBB21" s="2950"/>
      <c r="FBC21" s="2950"/>
      <c r="FBD21" s="2950"/>
      <c r="FBE21" s="2950"/>
      <c r="FBF21" s="2950"/>
      <c r="FBG21" s="2950"/>
      <c r="FBH21" s="2950"/>
      <c r="FBI21" s="2950"/>
      <c r="FBJ21" s="2950"/>
      <c r="FBK21" s="2950"/>
      <c r="FBL21" s="2950"/>
      <c r="FBM21" s="2950"/>
      <c r="FBN21" s="2950"/>
      <c r="FBO21" s="2950"/>
      <c r="FBP21" s="2950"/>
      <c r="FBQ21" s="2950"/>
      <c r="FBR21" s="2950"/>
      <c r="FBS21" s="2950"/>
      <c r="FBT21" s="2950"/>
      <c r="FBU21" s="2950"/>
      <c r="FBV21" s="2950"/>
      <c r="FBW21" s="2950"/>
      <c r="FBX21" s="2950"/>
      <c r="FBY21" s="2950"/>
      <c r="FBZ21" s="2950"/>
      <c r="FCA21" s="2950"/>
      <c r="FCB21" s="2950"/>
      <c r="FCC21" s="2950"/>
      <c r="FCD21" s="2950"/>
      <c r="FCE21" s="2950"/>
      <c r="FCF21" s="2950"/>
      <c r="FCG21" s="2950"/>
      <c r="FCH21" s="2950"/>
      <c r="FCI21" s="2950"/>
      <c r="FCJ21" s="2950"/>
      <c r="FCK21" s="2950"/>
      <c r="FCL21" s="2950"/>
      <c r="FCM21" s="2950"/>
      <c r="FCN21" s="2950"/>
      <c r="FCO21" s="2950"/>
      <c r="FCP21" s="2950"/>
      <c r="FCQ21" s="2950"/>
      <c r="FCR21" s="2950"/>
      <c r="FCS21" s="2950"/>
      <c r="FCT21" s="2950"/>
      <c r="FCU21" s="2950"/>
      <c r="FCV21" s="2950"/>
      <c r="FCW21" s="2950"/>
      <c r="FCX21" s="2950"/>
      <c r="FCY21" s="2950"/>
      <c r="FCZ21" s="2950"/>
      <c r="FDA21" s="2950"/>
      <c r="FDB21" s="2950"/>
      <c r="FDC21" s="2950"/>
      <c r="FDD21" s="2950"/>
      <c r="FDE21" s="2950"/>
      <c r="FDF21" s="2950"/>
      <c r="FDG21" s="2950"/>
      <c r="FDH21" s="2950"/>
      <c r="FDI21" s="2950"/>
      <c r="FDJ21" s="2950"/>
      <c r="FDK21" s="2950"/>
      <c r="FDL21" s="2950"/>
      <c r="FDM21" s="2950"/>
      <c r="FDN21" s="2950"/>
      <c r="FDO21" s="2950"/>
      <c r="FDP21" s="2950"/>
      <c r="FDQ21" s="2950"/>
      <c r="FDR21" s="2950"/>
      <c r="FDS21" s="2950"/>
      <c r="FDT21" s="2950"/>
      <c r="FDU21" s="2950"/>
      <c r="FDV21" s="2950"/>
      <c r="FDW21" s="2950"/>
      <c r="FDX21" s="2950"/>
      <c r="FDY21" s="2950"/>
      <c r="FDZ21" s="2950"/>
      <c r="FEA21" s="2950"/>
      <c r="FEB21" s="2950"/>
      <c r="FEC21" s="2950"/>
      <c r="FED21" s="2950"/>
      <c r="FEE21" s="2950"/>
      <c r="FEF21" s="2950"/>
      <c r="FEG21" s="2950"/>
      <c r="FEH21" s="2950"/>
      <c r="FEI21" s="2950"/>
      <c r="FEJ21" s="2950"/>
      <c r="FEK21" s="2950"/>
      <c r="FEL21" s="2950"/>
      <c r="FEM21" s="2950"/>
      <c r="FEN21" s="2950"/>
      <c r="FEO21" s="2950"/>
      <c r="FEP21" s="2950"/>
      <c r="FEQ21" s="2950"/>
      <c r="FER21" s="2950"/>
      <c r="FES21" s="2950"/>
      <c r="FET21" s="2950"/>
      <c r="FEU21" s="2950"/>
      <c r="FEV21" s="2950"/>
      <c r="FEW21" s="2950"/>
      <c r="FEX21" s="2950"/>
      <c r="FEY21" s="2950"/>
      <c r="FEZ21" s="2950"/>
      <c r="FFA21" s="2950"/>
      <c r="FFB21" s="2950"/>
      <c r="FFC21" s="2950"/>
      <c r="FFD21" s="2950"/>
      <c r="FFE21" s="2950"/>
      <c r="FFF21" s="2950"/>
      <c r="FFG21" s="2950"/>
      <c r="FFH21" s="2950"/>
      <c r="FFI21" s="2950"/>
      <c r="FFJ21" s="2950"/>
      <c r="FFK21" s="2950"/>
      <c r="FFL21" s="2950"/>
      <c r="FFM21" s="2950"/>
      <c r="FFN21" s="2950"/>
      <c r="FFO21" s="2950"/>
      <c r="FFP21" s="2950"/>
      <c r="FFQ21" s="2950"/>
      <c r="FFR21" s="2950"/>
      <c r="FFS21" s="2950"/>
      <c r="FFT21" s="2950"/>
      <c r="FFU21" s="2950"/>
      <c r="FFV21" s="2950"/>
      <c r="FFW21" s="2950"/>
      <c r="FFX21" s="2950"/>
      <c r="FFY21" s="2950"/>
      <c r="FFZ21" s="2950"/>
      <c r="FGA21" s="2950"/>
      <c r="FGB21" s="2950"/>
      <c r="FGC21" s="2950"/>
      <c r="FGD21" s="2950"/>
      <c r="FGE21" s="2950"/>
      <c r="FGF21" s="2950"/>
      <c r="FGG21" s="2950"/>
      <c r="FGH21" s="2950"/>
      <c r="FGI21" s="2950"/>
      <c r="FGJ21" s="2950"/>
      <c r="FGK21" s="2950"/>
      <c r="FGL21" s="2950"/>
      <c r="FGM21" s="2950"/>
      <c r="FGN21" s="2950"/>
      <c r="FGO21" s="2950"/>
      <c r="FGP21" s="2950"/>
      <c r="FGQ21" s="2950"/>
      <c r="FGR21" s="2950"/>
      <c r="FGS21" s="2950"/>
      <c r="FGT21" s="2950"/>
      <c r="FGU21" s="2950"/>
      <c r="FGV21" s="2950"/>
      <c r="FGW21" s="2950"/>
      <c r="FGX21" s="2950"/>
      <c r="FGY21" s="2950"/>
      <c r="FGZ21" s="2950"/>
      <c r="FHA21" s="2950"/>
      <c r="FHB21" s="2950"/>
      <c r="FHC21" s="2950"/>
      <c r="FHD21" s="2950"/>
      <c r="FHE21" s="2950"/>
      <c r="FHF21" s="2950"/>
      <c r="FHG21" s="2950"/>
      <c r="FHH21" s="2950"/>
      <c r="FHI21" s="2950"/>
      <c r="FHJ21" s="2950"/>
      <c r="FHK21" s="2950"/>
      <c r="FHL21" s="2950"/>
      <c r="FHM21" s="2950"/>
      <c r="FHN21" s="2950"/>
      <c r="FHO21" s="2950"/>
      <c r="FHP21" s="2950"/>
      <c r="FHQ21" s="2950"/>
      <c r="FHR21" s="2950"/>
      <c r="FHS21" s="2950"/>
      <c r="FHT21" s="2950"/>
      <c r="FHU21" s="2950"/>
      <c r="FHV21" s="2950"/>
      <c r="FHW21" s="2950"/>
      <c r="FHX21" s="2950"/>
      <c r="FHY21" s="2950"/>
      <c r="FHZ21" s="2950"/>
      <c r="FIA21" s="2950"/>
      <c r="FIB21" s="2950"/>
      <c r="FIC21" s="2950"/>
      <c r="FID21" s="2950"/>
      <c r="FIE21" s="2950"/>
      <c r="FIF21" s="2950"/>
      <c r="FIG21" s="2950"/>
      <c r="FIH21" s="2950"/>
      <c r="FII21" s="2950"/>
      <c r="FIJ21" s="2950"/>
      <c r="FIK21" s="2950"/>
      <c r="FIL21" s="2950"/>
      <c r="FIM21" s="2950"/>
      <c r="FIN21" s="2950"/>
      <c r="FIO21" s="2950"/>
      <c r="FIP21" s="2950"/>
      <c r="FIQ21" s="2950"/>
      <c r="FIR21" s="2950"/>
      <c r="FIS21" s="2950"/>
      <c r="FIT21" s="2950"/>
      <c r="FIU21" s="2950"/>
      <c r="FIV21" s="2950"/>
      <c r="FIW21" s="2950"/>
      <c r="FIX21" s="2950"/>
      <c r="FIY21" s="2950"/>
      <c r="FIZ21" s="2950"/>
      <c r="FJA21" s="2950"/>
      <c r="FJB21" s="2950"/>
      <c r="FJC21" s="2950"/>
      <c r="FJD21" s="2950"/>
      <c r="FJE21" s="2950"/>
      <c r="FJF21" s="2950"/>
      <c r="FJG21" s="2950"/>
      <c r="FJH21" s="2950"/>
      <c r="FJI21" s="2950"/>
      <c r="FJJ21" s="2950"/>
      <c r="FJK21" s="2950"/>
      <c r="FJL21" s="2950"/>
      <c r="FJM21" s="2950"/>
      <c r="FJN21" s="2950"/>
      <c r="FJO21" s="2950"/>
      <c r="FJP21" s="2950"/>
      <c r="FJQ21" s="2950"/>
      <c r="FJR21" s="2950"/>
      <c r="FJS21" s="2950"/>
      <c r="FJT21" s="2950"/>
      <c r="FJU21" s="2950"/>
      <c r="FJV21" s="2950"/>
      <c r="FJW21" s="2950"/>
      <c r="FJX21" s="2950"/>
      <c r="FJY21" s="2950"/>
      <c r="FJZ21" s="2950"/>
      <c r="FKA21" s="2950"/>
      <c r="FKB21" s="2950"/>
      <c r="FKC21" s="2950"/>
      <c r="FKD21" s="2950"/>
      <c r="FKE21" s="2950"/>
      <c r="FKF21" s="2950"/>
      <c r="FKG21" s="2950"/>
      <c r="FKH21" s="2950"/>
      <c r="FKI21" s="2950"/>
      <c r="FKJ21" s="2950"/>
      <c r="FKK21" s="2950"/>
      <c r="FKL21" s="2950"/>
      <c r="FKM21" s="2950"/>
      <c r="FKN21" s="2950"/>
      <c r="FKO21" s="2950"/>
      <c r="FKP21" s="2950"/>
      <c r="FKQ21" s="2950"/>
      <c r="FKR21" s="2950"/>
      <c r="FKS21" s="2950"/>
      <c r="FKT21" s="2950"/>
      <c r="FKU21" s="2950"/>
      <c r="FKV21" s="2950"/>
      <c r="FKW21" s="2950"/>
      <c r="FKX21" s="2950"/>
      <c r="FKY21" s="2950"/>
      <c r="FKZ21" s="2950"/>
      <c r="FLA21" s="2950"/>
      <c r="FLB21" s="2950"/>
      <c r="FLC21" s="2950"/>
      <c r="FLD21" s="2950"/>
      <c r="FLE21" s="2950"/>
      <c r="FLF21" s="2950"/>
      <c r="FLG21" s="2950"/>
      <c r="FLH21" s="2950"/>
      <c r="FLI21" s="2950"/>
      <c r="FLJ21" s="2950"/>
      <c r="FLK21" s="2950"/>
      <c r="FLL21" s="2950"/>
      <c r="FLM21" s="2950"/>
      <c r="FLN21" s="2950"/>
      <c r="FLO21" s="2950"/>
      <c r="FLP21" s="2950"/>
      <c r="FLQ21" s="2950"/>
      <c r="FLR21" s="2950"/>
      <c r="FLS21" s="2950"/>
      <c r="FLT21" s="2950"/>
      <c r="FLU21" s="2950"/>
      <c r="FLV21" s="2950"/>
      <c r="FLW21" s="2950"/>
      <c r="FLX21" s="2950"/>
      <c r="FLY21" s="2950"/>
      <c r="FLZ21" s="2950"/>
      <c r="FMA21" s="2950"/>
      <c r="FMB21" s="2950"/>
      <c r="FMC21" s="2950"/>
      <c r="FMD21" s="2950"/>
      <c r="FME21" s="2950"/>
      <c r="FMF21" s="2950"/>
      <c r="FMG21" s="2950"/>
      <c r="FMH21" s="2950"/>
      <c r="FMI21" s="2950"/>
      <c r="FMJ21" s="2950"/>
      <c r="FMK21" s="2950"/>
      <c r="FML21" s="2950"/>
      <c r="FMM21" s="2950"/>
      <c r="FMN21" s="2950"/>
      <c r="FMO21" s="2950"/>
      <c r="FMP21" s="2950"/>
      <c r="FMQ21" s="2950"/>
      <c r="FMR21" s="2950"/>
      <c r="FMS21" s="2950"/>
      <c r="FMT21" s="2950"/>
      <c r="FMU21" s="2950"/>
      <c r="FMV21" s="2950"/>
      <c r="FMW21" s="2950"/>
      <c r="FMX21" s="2950"/>
      <c r="FMY21" s="2950"/>
      <c r="FMZ21" s="2950"/>
      <c r="FNA21" s="2950"/>
      <c r="FNB21" s="2950"/>
      <c r="FNC21" s="2950"/>
      <c r="FND21" s="2950"/>
      <c r="FNE21" s="2950"/>
      <c r="FNF21" s="2950"/>
      <c r="FNG21" s="2950"/>
      <c r="FNH21" s="2950"/>
      <c r="FNI21" s="2950"/>
      <c r="FNJ21" s="2950"/>
      <c r="FNK21" s="2950"/>
      <c r="FNL21" s="2950"/>
      <c r="FNM21" s="2950"/>
      <c r="FNN21" s="2950"/>
      <c r="FNO21" s="2950"/>
      <c r="FNP21" s="2950"/>
      <c r="FNQ21" s="2950"/>
      <c r="FNR21" s="2950"/>
      <c r="FNS21" s="2950"/>
      <c r="FNT21" s="2950"/>
      <c r="FNU21" s="2950"/>
      <c r="FNV21" s="2950"/>
      <c r="FNW21" s="2950"/>
      <c r="FNX21" s="2950"/>
      <c r="FNY21" s="2950"/>
      <c r="FNZ21" s="2950"/>
      <c r="FOA21" s="2950"/>
      <c r="FOB21" s="2950"/>
      <c r="FOC21" s="2950"/>
      <c r="FOD21" s="2950"/>
      <c r="FOE21" s="2950"/>
      <c r="FOF21" s="2950"/>
      <c r="FOG21" s="2950"/>
      <c r="FOH21" s="2950"/>
      <c r="FOI21" s="2950"/>
      <c r="FOJ21" s="2950"/>
      <c r="FOK21" s="2950"/>
      <c r="FOL21" s="2950"/>
      <c r="FOM21" s="2950"/>
      <c r="FON21" s="2950"/>
      <c r="FOO21" s="2950"/>
      <c r="FOP21" s="2950"/>
      <c r="FOQ21" s="2950"/>
      <c r="FOR21" s="2950"/>
      <c r="FOS21" s="2950"/>
      <c r="FOT21" s="2950"/>
      <c r="FOU21" s="2950"/>
      <c r="FOV21" s="2950"/>
      <c r="FOW21" s="2950"/>
      <c r="FOX21" s="2950"/>
      <c r="FOY21" s="2950"/>
      <c r="FOZ21" s="2950"/>
      <c r="FPA21" s="2950"/>
      <c r="FPB21" s="2950"/>
      <c r="FPC21" s="2950"/>
      <c r="FPD21" s="2950"/>
      <c r="FPE21" s="2950"/>
      <c r="FPF21" s="2950"/>
      <c r="FPG21" s="2950"/>
      <c r="FPH21" s="2950"/>
      <c r="FPI21" s="2950"/>
      <c r="FPJ21" s="2950"/>
      <c r="FPK21" s="2950"/>
      <c r="FPL21" s="2950"/>
      <c r="FPM21" s="2950"/>
      <c r="FPN21" s="2950"/>
      <c r="FPO21" s="2950"/>
      <c r="FPP21" s="2950"/>
      <c r="FPQ21" s="2950"/>
      <c r="FPR21" s="2950"/>
      <c r="FPS21" s="2950"/>
      <c r="FPT21" s="2950"/>
      <c r="FPU21" s="2950"/>
      <c r="FPV21" s="2950"/>
      <c r="FPW21" s="2950"/>
      <c r="FPX21" s="2950"/>
      <c r="FPY21" s="2950"/>
      <c r="FPZ21" s="2950"/>
      <c r="FQA21" s="2950"/>
      <c r="FQB21" s="2950"/>
      <c r="FQC21" s="2950"/>
      <c r="FQD21" s="2950"/>
      <c r="FQE21" s="2950"/>
      <c r="FQF21" s="2950"/>
      <c r="FQG21" s="2950"/>
      <c r="FQH21" s="2950"/>
      <c r="FQI21" s="2950"/>
      <c r="FQJ21" s="2950"/>
      <c r="FQK21" s="2950"/>
      <c r="FQL21" s="2950"/>
      <c r="FQM21" s="2950"/>
      <c r="FQN21" s="2950"/>
      <c r="FQO21" s="2950"/>
      <c r="FQP21" s="2950"/>
      <c r="FQQ21" s="2950"/>
      <c r="FQR21" s="2950"/>
      <c r="FQS21" s="2950"/>
      <c r="FQT21" s="2950"/>
      <c r="FQU21" s="2950"/>
      <c r="FQV21" s="2950"/>
      <c r="FQW21" s="2950"/>
      <c r="FQX21" s="2950"/>
      <c r="FQY21" s="2950"/>
      <c r="FQZ21" s="2950"/>
      <c r="FRA21" s="2950"/>
      <c r="FRB21" s="2950"/>
      <c r="FRC21" s="2950"/>
      <c r="FRD21" s="2950"/>
      <c r="FRE21" s="2950"/>
      <c r="FRF21" s="2950"/>
      <c r="FRG21" s="2950"/>
      <c r="FRH21" s="2950"/>
      <c r="FRI21" s="2950"/>
      <c r="FRJ21" s="2950"/>
      <c r="FRK21" s="2950"/>
      <c r="FRL21" s="2950"/>
      <c r="FRM21" s="2950"/>
      <c r="FRN21" s="2950"/>
      <c r="FRO21" s="2950"/>
      <c r="FRP21" s="2950"/>
      <c r="FRQ21" s="2950"/>
      <c r="FRR21" s="2950"/>
      <c r="FRS21" s="2950"/>
      <c r="FRT21" s="2950"/>
      <c r="FRU21" s="2950"/>
      <c r="FRV21" s="2950"/>
      <c r="FRW21" s="2950"/>
      <c r="FRX21" s="2950"/>
      <c r="FRY21" s="2950"/>
      <c r="FRZ21" s="2950"/>
      <c r="FSA21" s="2950"/>
      <c r="FSB21" s="2950"/>
      <c r="FSC21" s="2950"/>
      <c r="FSD21" s="2950"/>
      <c r="FSE21" s="2950"/>
      <c r="FSF21" s="2950"/>
      <c r="FSG21" s="2950"/>
      <c r="FSH21" s="2950"/>
      <c r="FSI21" s="2950"/>
      <c r="FSJ21" s="2950"/>
      <c r="FSK21" s="2950"/>
      <c r="FSL21" s="2950"/>
      <c r="FSM21" s="2950"/>
      <c r="FSN21" s="2950"/>
      <c r="FSO21" s="2950"/>
      <c r="FSP21" s="2950"/>
      <c r="FSQ21" s="2950"/>
      <c r="FSR21" s="2950"/>
      <c r="FSS21" s="2950"/>
      <c r="FST21" s="2950"/>
      <c r="FSU21" s="2950"/>
      <c r="FSV21" s="2950"/>
      <c r="FSW21" s="2950"/>
      <c r="FSX21" s="2950"/>
      <c r="FSY21" s="2950"/>
      <c r="FSZ21" s="2950"/>
      <c r="FTA21" s="2950"/>
      <c r="FTB21" s="2950"/>
      <c r="FTC21" s="2950"/>
      <c r="FTD21" s="2950"/>
      <c r="FTE21" s="2950"/>
      <c r="FTF21" s="2950"/>
      <c r="FTG21" s="2950"/>
      <c r="FTH21" s="2950"/>
      <c r="FTI21" s="2950"/>
      <c r="FTJ21" s="2950"/>
      <c r="FTK21" s="2950"/>
      <c r="FTL21" s="2950"/>
      <c r="FTM21" s="2950"/>
      <c r="FTN21" s="2950"/>
      <c r="FTO21" s="2950"/>
      <c r="FTP21" s="2950"/>
      <c r="FTQ21" s="2950"/>
      <c r="FTR21" s="2950"/>
      <c r="FTS21" s="2950"/>
      <c r="FTT21" s="2950"/>
      <c r="FTU21" s="2950"/>
      <c r="FTV21" s="2950"/>
      <c r="FTW21" s="2950"/>
      <c r="FTX21" s="2950"/>
      <c r="FTY21" s="2950"/>
      <c r="FTZ21" s="2950"/>
      <c r="FUA21" s="2950"/>
      <c r="FUB21" s="2950"/>
      <c r="FUC21" s="2950"/>
      <c r="FUD21" s="2950"/>
      <c r="FUE21" s="2950"/>
      <c r="FUF21" s="2950"/>
      <c r="FUG21" s="2950"/>
      <c r="FUH21" s="2950"/>
      <c r="FUI21" s="2950"/>
      <c r="FUJ21" s="2950"/>
      <c r="FUK21" s="2950"/>
      <c r="FUL21" s="2950"/>
      <c r="FUM21" s="2950"/>
      <c r="FUN21" s="2950"/>
      <c r="FUO21" s="2950"/>
      <c r="FUP21" s="2950"/>
      <c r="FUQ21" s="2950"/>
      <c r="FUR21" s="2950"/>
      <c r="FUS21" s="2950"/>
      <c r="FUT21" s="2950"/>
      <c r="FUU21" s="2950"/>
      <c r="FUV21" s="2950"/>
      <c r="FUW21" s="2950"/>
      <c r="FUX21" s="2950"/>
      <c r="FUY21" s="2950"/>
      <c r="FUZ21" s="2950"/>
      <c r="FVA21" s="2950"/>
      <c r="FVB21" s="2950"/>
      <c r="FVC21" s="2950"/>
      <c r="FVD21" s="2950"/>
      <c r="FVE21" s="2950"/>
      <c r="FVF21" s="2950"/>
      <c r="FVG21" s="2950"/>
      <c r="FVH21" s="2950"/>
      <c r="FVI21" s="2950"/>
      <c r="FVJ21" s="2950"/>
      <c r="FVK21" s="2950"/>
      <c r="FVL21" s="2950"/>
      <c r="FVM21" s="2950"/>
      <c r="FVN21" s="2950"/>
      <c r="FVO21" s="2950"/>
      <c r="FVP21" s="2950"/>
      <c r="FVQ21" s="2950"/>
      <c r="FVR21" s="2950"/>
      <c r="FVS21" s="2950"/>
      <c r="FVT21" s="2950"/>
      <c r="FVU21" s="2950"/>
      <c r="FVV21" s="2950"/>
      <c r="FVW21" s="2950"/>
      <c r="FVX21" s="2950"/>
      <c r="FVY21" s="2950"/>
      <c r="FVZ21" s="2950"/>
      <c r="FWA21" s="2950"/>
      <c r="FWB21" s="2950"/>
      <c r="FWC21" s="2950"/>
      <c r="FWD21" s="2950"/>
      <c r="FWE21" s="2950"/>
      <c r="FWF21" s="2950"/>
      <c r="FWG21" s="2950"/>
      <c r="FWH21" s="2950"/>
      <c r="FWI21" s="2950"/>
      <c r="FWJ21" s="2950"/>
      <c r="FWK21" s="2950"/>
      <c r="FWL21" s="2950"/>
      <c r="FWM21" s="2950"/>
      <c r="FWN21" s="2950"/>
      <c r="FWO21" s="2950"/>
      <c r="FWP21" s="2950"/>
      <c r="FWQ21" s="2950"/>
      <c r="FWR21" s="2950"/>
      <c r="FWS21" s="2950"/>
      <c r="FWT21" s="2950"/>
      <c r="FWU21" s="2950"/>
      <c r="FWV21" s="2950"/>
      <c r="FWW21" s="2950"/>
      <c r="FWX21" s="2950"/>
      <c r="FWY21" s="2950"/>
      <c r="FWZ21" s="2950"/>
      <c r="FXA21" s="2950"/>
      <c r="FXB21" s="2950"/>
      <c r="FXC21" s="2950"/>
      <c r="FXD21" s="2950"/>
      <c r="FXE21" s="2950"/>
      <c r="FXF21" s="2950"/>
      <c r="FXG21" s="2950"/>
      <c r="FXH21" s="2950"/>
      <c r="FXI21" s="2950"/>
      <c r="FXJ21" s="2950"/>
      <c r="FXK21" s="2950"/>
      <c r="FXL21" s="2950"/>
      <c r="FXM21" s="2950"/>
      <c r="FXN21" s="2950"/>
      <c r="FXO21" s="2950"/>
      <c r="FXP21" s="2950"/>
      <c r="FXQ21" s="2950"/>
      <c r="FXR21" s="2950"/>
      <c r="FXS21" s="2950"/>
      <c r="FXT21" s="2950"/>
      <c r="FXU21" s="2950"/>
      <c r="FXV21" s="2950"/>
      <c r="FXW21" s="2950"/>
      <c r="FXX21" s="2950"/>
      <c r="FXY21" s="2950"/>
      <c r="FXZ21" s="2950"/>
      <c r="FYA21" s="2950"/>
      <c r="FYB21" s="2950"/>
      <c r="FYC21" s="2950"/>
      <c r="FYD21" s="2950"/>
      <c r="FYE21" s="2950"/>
      <c r="FYF21" s="2950"/>
      <c r="FYG21" s="2950"/>
      <c r="FYH21" s="2950"/>
      <c r="FYI21" s="2950"/>
      <c r="FYJ21" s="2950"/>
      <c r="FYK21" s="2950"/>
      <c r="FYL21" s="2950"/>
      <c r="FYM21" s="2950"/>
      <c r="FYN21" s="2950"/>
      <c r="FYO21" s="2950"/>
      <c r="FYP21" s="2950"/>
      <c r="FYQ21" s="2950"/>
      <c r="FYR21" s="2950"/>
      <c r="FYS21" s="2950"/>
      <c r="FYT21" s="2950"/>
      <c r="FYU21" s="2950"/>
      <c r="FYV21" s="2950"/>
      <c r="FYW21" s="2950"/>
      <c r="FYX21" s="2950"/>
      <c r="FYY21" s="2950"/>
      <c r="FYZ21" s="2950"/>
      <c r="FZA21" s="2950"/>
      <c r="FZB21" s="2950"/>
      <c r="FZC21" s="2950"/>
      <c r="FZD21" s="2950"/>
      <c r="FZE21" s="2950"/>
      <c r="FZF21" s="2950"/>
      <c r="FZG21" s="2950"/>
      <c r="FZH21" s="2950"/>
      <c r="FZI21" s="2950"/>
      <c r="FZJ21" s="2950"/>
      <c r="FZK21" s="2950"/>
      <c r="FZL21" s="2950"/>
      <c r="FZM21" s="2950"/>
      <c r="FZN21" s="2950"/>
      <c r="FZO21" s="2950"/>
      <c r="FZP21" s="2950"/>
      <c r="FZQ21" s="2950"/>
      <c r="FZR21" s="2950"/>
      <c r="FZS21" s="2950"/>
      <c r="FZT21" s="2950"/>
      <c r="FZU21" s="2950"/>
      <c r="FZV21" s="2950"/>
      <c r="FZW21" s="2950"/>
      <c r="FZX21" s="2950"/>
      <c r="FZY21" s="2950"/>
      <c r="FZZ21" s="2950"/>
      <c r="GAA21" s="2950"/>
      <c r="GAB21" s="2950"/>
      <c r="GAC21" s="2950"/>
      <c r="GAD21" s="2950"/>
      <c r="GAE21" s="2950"/>
      <c r="GAF21" s="2950"/>
      <c r="GAG21" s="2950"/>
      <c r="GAH21" s="2950"/>
      <c r="GAI21" s="2950"/>
      <c r="GAJ21" s="2950"/>
      <c r="GAK21" s="2950"/>
      <c r="GAL21" s="2950"/>
      <c r="GAM21" s="2950"/>
      <c r="GAN21" s="2950"/>
      <c r="GAO21" s="2950"/>
      <c r="GAP21" s="2950"/>
      <c r="GAQ21" s="2950"/>
      <c r="GAR21" s="2950"/>
      <c r="GAS21" s="2950"/>
      <c r="GAT21" s="2950"/>
      <c r="GAU21" s="2950"/>
      <c r="GAV21" s="2950"/>
      <c r="GAW21" s="2950"/>
      <c r="GAX21" s="2950"/>
      <c r="GAY21" s="2950"/>
      <c r="GAZ21" s="2950"/>
      <c r="GBA21" s="2950"/>
      <c r="GBB21" s="2950"/>
      <c r="GBC21" s="2950"/>
      <c r="GBD21" s="2950"/>
      <c r="GBE21" s="2950"/>
      <c r="GBF21" s="2950"/>
      <c r="GBG21" s="2950"/>
      <c r="GBH21" s="2950"/>
      <c r="GBI21" s="2950"/>
      <c r="GBJ21" s="2950"/>
      <c r="GBK21" s="2950"/>
      <c r="GBL21" s="2950"/>
      <c r="GBM21" s="2950"/>
      <c r="GBN21" s="2950"/>
      <c r="GBO21" s="2950"/>
      <c r="GBP21" s="2950"/>
      <c r="GBQ21" s="2950"/>
      <c r="GBR21" s="2950"/>
      <c r="GBS21" s="2950"/>
      <c r="GBT21" s="2950"/>
      <c r="GBU21" s="2950"/>
      <c r="GBV21" s="2950"/>
      <c r="GBW21" s="2950"/>
      <c r="GBX21" s="2950"/>
      <c r="GBY21" s="2950"/>
      <c r="GBZ21" s="2950"/>
      <c r="GCA21" s="2950"/>
      <c r="GCB21" s="2950"/>
      <c r="GCC21" s="2950"/>
      <c r="GCD21" s="2950"/>
      <c r="GCE21" s="2950"/>
      <c r="GCF21" s="2950"/>
      <c r="GCG21" s="2950"/>
      <c r="GCH21" s="2950"/>
      <c r="GCI21" s="2950"/>
      <c r="GCJ21" s="2950"/>
      <c r="GCK21" s="2950"/>
      <c r="GCL21" s="2950"/>
      <c r="GCM21" s="2950"/>
      <c r="GCN21" s="2950"/>
      <c r="GCO21" s="2950"/>
      <c r="GCP21" s="2950"/>
      <c r="GCQ21" s="2950"/>
      <c r="GCR21" s="2950"/>
      <c r="GCS21" s="2950"/>
      <c r="GCT21" s="2950"/>
      <c r="GCU21" s="2950"/>
      <c r="GCV21" s="2950"/>
      <c r="GCW21" s="2950"/>
      <c r="GCX21" s="2950"/>
      <c r="GCY21" s="2950"/>
      <c r="GCZ21" s="2950"/>
      <c r="GDA21" s="2950"/>
      <c r="GDB21" s="2950"/>
      <c r="GDC21" s="2950"/>
      <c r="GDD21" s="2950"/>
      <c r="GDE21" s="2950"/>
      <c r="GDF21" s="2950"/>
      <c r="GDG21" s="2950"/>
      <c r="GDH21" s="2950"/>
      <c r="GDI21" s="2950"/>
      <c r="GDJ21" s="2950"/>
      <c r="GDK21" s="2950"/>
      <c r="GDL21" s="2950"/>
      <c r="GDM21" s="2950"/>
      <c r="GDN21" s="2950"/>
      <c r="GDO21" s="2950"/>
      <c r="GDP21" s="2950"/>
      <c r="GDQ21" s="2950"/>
      <c r="GDR21" s="2950"/>
      <c r="GDS21" s="2950"/>
      <c r="GDT21" s="2950"/>
      <c r="GDU21" s="2950"/>
      <c r="GDV21" s="2950"/>
      <c r="GDW21" s="2950"/>
      <c r="GDX21" s="2950"/>
      <c r="GDY21" s="2950"/>
      <c r="GDZ21" s="2950"/>
      <c r="GEA21" s="2950"/>
      <c r="GEB21" s="2950"/>
      <c r="GEC21" s="2950"/>
      <c r="GED21" s="2950"/>
      <c r="GEE21" s="2950"/>
      <c r="GEF21" s="2950"/>
      <c r="GEG21" s="2950"/>
      <c r="GEH21" s="2950"/>
      <c r="GEI21" s="2950"/>
      <c r="GEJ21" s="2950"/>
      <c r="GEK21" s="2950"/>
      <c r="GEL21" s="2950"/>
      <c r="GEM21" s="2950"/>
      <c r="GEN21" s="2950"/>
      <c r="GEO21" s="2950"/>
      <c r="GEP21" s="2950"/>
      <c r="GEQ21" s="2950"/>
      <c r="GER21" s="2950"/>
      <c r="GES21" s="2950"/>
      <c r="GET21" s="2950"/>
      <c r="GEU21" s="2950"/>
      <c r="GEV21" s="2950"/>
      <c r="GEW21" s="2950"/>
      <c r="GEX21" s="2950"/>
      <c r="GEY21" s="2950"/>
      <c r="GEZ21" s="2950"/>
      <c r="GFA21" s="2950"/>
      <c r="GFB21" s="2950"/>
      <c r="GFC21" s="2950"/>
      <c r="GFD21" s="2950"/>
      <c r="GFE21" s="2950"/>
      <c r="GFF21" s="2950"/>
      <c r="GFG21" s="2950"/>
      <c r="GFH21" s="2950"/>
      <c r="GFI21" s="2950"/>
      <c r="GFJ21" s="2950"/>
      <c r="GFK21" s="2950"/>
      <c r="GFL21" s="2950"/>
      <c r="GFM21" s="2950"/>
      <c r="GFN21" s="2950"/>
      <c r="GFO21" s="2950"/>
      <c r="GFP21" s="2950"/>
      <c r="GFQ21" s="2950"/>
      <c r="GFR21" s="2950"/>
      <c r="GFS21" s="2950"/>
      <c r="GFT21" s="2950"/>
      <c r="GFU21" s="2950"/>
      <c r="GFV21" s="2950"/>
      <c r="GFW21" s="2950"/>
      <c r="GFX21" s="2950"/>
      <c r="GFY21" s="2950"/>
      <c r="GFZ21" s="2950"/>
      <c r="GGA21" s="2950"/>
      <c r="GGB21" s="2950"/>
      <c r="GGC21" s="2950"/>
      <c r="GGD21" s="2950"/>
      <c r="GGE21" s="2950"/>
      <c r="GGF21" s="2950"/>
      <c r="GGG21" s="2950"/>
      <c r="GGH21" s="2950"/>
      <c r="GGI21" s="2950"/>
      <c r="GGJ21" s="2950"/>
      <c r="GGK21" s="2950"/>
      <c r="GGL21" s="2950"/>
      <c r="GGM21" s="2950"/>
      <c r="GGN21" s="2950"/>
      <c r="GGO21" s="2950"/>
      <c r="GGP21" s="2950"/>
      <c r="GGQ21" s="2950"/>
      <c r="GGR21" s="2950"/>
      <c r="GGS21" s="2950"/>
      <c r="GGT21" s="2950"/>
      <c r="GGU21" s="2950"/>
      <c r="GGV21" s="2950"/>
      <c r="GGW21" s="2950"/>
      <c r="GGX21" s="2950"/>
      <c r="GGY21" s="2950"/>
      <c r="GGZ21" s="2950"/>
      <c r="GHA21" s="2950"/>
      <c r="GHB21" s="2950"/>
      <c r="GHC21" s="2950"/>
      <c r="GHD21" s="2950"/>
      <c r="GHE21" s="2950"/>
      <c r="GHF21" s="2950"/>
      <c r="GHG21" s="2950"/>
      <c r="GHH21" s="2950"/>
      <c r="GHI21" s="2950"/>
      <c r="GHJ21" s="2950"/>
      <c r="GHK21" s="2950"/>
      <c r="GHL21" s="2950"/>
      <c r="GHM21" s="2950"/>
      <c r="GHN21" s="2950"/>
      <c r="GHO21" s="2950"/>
      <c r="GHP21" s="2950"/>
      <c r="GHQ21" s="2950"/>
      <c r="GHR21" s="2950"/>
      <c r="GHS21" s="2950"/>
      <c r="GHT21" s="2950"/>
      <c r="GHU21" s="2950"/>
      <c r="GHV21" s="2950"/>
      <c r="GHW21" s="2950"/>
      <c r="GHX21" s="2950"/>
      <c r="GHY21" s="2950"/>
      <c r="GHZ21" s="2950"/>
      <c r="GIA21" s="2950"/>
      <c r="GIB21" s="2950"/>
      <c r="GIC21" s="2950"/>
      <c r="GID21" s="2950"/>
      <c r="GIE21" s="2950"/>
      <c r="GIF21" s="2950"/>
      <c r="GIG21" s="2950"/>
      <c r="GIH21" s="2950"/>
      <c r="GII21" s="2950"/>
      <c r="GIJ21" s="2950"/>
      <c r="GIK21" s="2950"/>
      <c r="GIL21" s="2950"/>
      <c r="GIM21" s="2950"/>
      <c r="GIN21" s="2950"/>
      <c r="GIO21" s="2950"/>
      <c r="GIP21" s="2950"/>
      <c r="GIQ21" s="2950"/>
      <c r="GIR21" s="2950"/>
      <c r="GIS21" s="2950"/>
      <c r="GIT21" s="2950"/>
      <c r="GIU21" s="2950"/>
      <c r="GIV21" s="2950"/>
      <c r="GIW21" s="2950"/>
      <c r="GIX21" s="2950"/>
      <c r="GIY21" s="2950"/>
      <c r="GIZ21" s="2950"/>
      <c r="GJA21" s="2950"/>
      <c r="GJB21" s="2950"/>
      <c r="GJC21" s="2950"/>
      <c r="GJD21" s="2950"/>
      <c r="GJE21" s="2950"/>
      <c r="GJF21" s="2950"/>
      <c r="GJG21" s="2950"/>
      <c r="GJH21" s="2950"/>
      <c r="GJI21" s="2950"/>
      <c r="GJJ21" s="2950"/>
      <c r="GJK21" s="2950"/>
      <c r="GJL21" s="2950"/>
      <c r="GJM21" s="2950"/>
      <c r="GJN21" s="2950"/>
      <c r="GJO21" s="2950"/>
      <c r="GJP21" s="2950"/>
      <c r="GJQ21" s="2950"/>
      <c r="GJR21" s="2950"/>
      <c r="GJS21" s="2950"/>
      <c r="GJT21" s="2950"/>
      <c r="GJU21" s="2950"/>
      <c r="GJV21" s="2950"/>
      <c r="GJW21" s="2950"/>
      <c r="GJX21" s="2950"/>
      <c r="GJY21" s="2950"/>
      <c r="GJZ21" s="2950"/>
      <c r="GKA21" s="2950"/>
      <c r="GKB21" s="2950"/>
      <c r="GKC21" s="2950"/>
      <c r="GKD21" s="2950"/>
      <c r="GKE21" s="2950"/>
      <c r="GKF21" s="2950"/>
      <c r="GKG21" s="2950"/>
      <c r="GKH21" s="2950"/>
      <c r="GKI21" s="2950"/>
      <c r="GKJ21" s="2950"/>
      <c r="GKK21" s="2950"/>
      <c r="GKL21" s="2950"/>
      <c r="GKM21" s="2950"/>
      <c r="GKN21" s="2950"/>
      <c r="GKO21" s="2950"/>
      <c r="GKP21" s="2950"/>
      <c r="GKQ21" s="2950"/>
      <c r="GKR21" s="2950"/>
      <c r="GKS21" s="2950"/>
      <c r="GKT21" s="2950"/>
      <c r="GKU21" s="2950"/>
      <c r="GKV21" s="2950"/>
      <c r="GKW21" s="2950"/>
      <c r="GKX21" s="2950"/>
      <c r="GKY21" s="2950"/>
      <c r="GKZ21" s="2950"/>
      <c r="GLA21" s="2950"/>
      <c r="GLB21" s="2950"/>
      <c r="GLC21" s="2950"/>
      <c r="GLD21" s="2950"/>
      <c r="GLE21" s="2950"/>
      <c r="GLF21" s="2950"/>
      <c r="GLG21" s="2950"/>
      <c r="GLH21" s="2950"/>
      <c r="GLI21" s="2950"/>
      <c r="GLJ21" s="2950"/>
      <c r="GLK21" s="2950"/>
      <c r="GLL21" s="2950"/>
      <c r="GLM21" s="2950"/>
      <c r="GLN21" s="2950"/>
      <c r="GLO21" s="2950"/>
      <c r="GLP21" s="2950"/>
      <c r="GLQ21" s="2950"/>
      <c r="GLR21" s="2950"/>
      <c r="GLS21" s="2950"/>
      <c r="GLT21" s="2950"/>
      <c r="GLU21" s="2950"/>
      <c r="GLV21" s="2950"/>
      <c r="GLW21" s="2950"/>
      <c r="GLX21" s="2950"/>
      <c r="GLY21" s="2950"/>
      <c r="GLZ21" s="2950"/>
      <c r="GMA21" s="2950"/>
      <c r="GMB21" s="2950"/>
      <c r="GMC21" s="2950"/>
      <c r="GMD21" s="2950"/>
      <c r="GME21" s="2950"/>
      <c r="GMF21" s="2950"/>
      <c r="GMG21" s="2950"/>
      <c r="GMH21" s="2950"/>
      <c r="GMI21" s="2950"/>
      <c r="GMJ21" s="2950"/>
      <c r="GMK21" s="2950"/>
      <c r="GML21" s="2950"/>
      <c r="GMM21" s="2950"/>
      <c r="GMN21" s="2950"/>
      <c r="GMO21" s="2950"/>
      <c r="GMP21" s="2950"/>
      <c r="GMQ21" s="2950"/>
      <c r="GMR21" s="2950"/>
      <c r="GMS21" s="2950"/>
      <c r="GMT21" s="2950"/>
      <c r="GMU21" s="2950"/>
      <c r="GMV21" s="2950"/>
      <c r="GMW21" s="2950"/>
      <c r="GMX21" s="2950"/>
      <c r="GMY21" s="2950"/>
      <c r="GMZ21" s="2950"/>
      <c r="GNA21" s="2950"/>
      <c r="GNB21" s="2950"/>
      <c r="GNC21" s="2950"/>
      <c r="GND21" s="2950"/>
      <c r="GNE21" s="2950"/>
      <c r="GNF21" s="2950"/>
      <c r="GNG21" s="2950"/>
      <c r="GNH21" s="2950"/>
      <c r="GNI21" s="2950"/>
      <c r="GNJ21" s="2950"/>
      <c r="GNK21" s="2950"/>
      <c r="GNL21" s="2950"/>
      <c r="GNM21" s="2950"/>
      <c r="GNN21" s="2950"/>
      <c r="GNO21" s="2950"/>
      <c r="GNP21" s="2950"/>
      <c r="GNQ21" s="2950"/>
      <c r="GNR21" s="2950"/>
      <c r="GNS21" s="2950"/>
      <c r="GNT21" s="2950"/>
      <c r="GNU21" s="2950"/>
      <c r="GNV21" s="2950"/>
      <c r="GNW21" s="2950"/>
      <c r="GNX21" s="2950"/>
      <c r="GNY21" s="2950"/>
      <c r="GNZ21" s="2950"/>
      <c r="GOA21" s="2950"/>
      <c r="GOB21" s="2950"/>
      <c r="GOC21" s="2950"/>
      <c r="GOD21" s="2950"/>
      <c r="GOE21" s="2950"/>
      <c r="GOF21" s="2950"/>
      <c r="GOG21" s="2950"/>
      <c r="GOH21" s="2950"/>
      <c r="GOI21" s="2950"/>
      <c r="GOJ21" s="2950"/>
      <c r="GOK21" s="2950"/>
      <c r="GOL21" s="2950"/>
      <c r="GOM21" s="2950"/>
      <c r="GON21" s="2950"/>
      <c r="GOO21" s="2950"/>
      <c r="GOP21" s="2950"/>
      <c r="GOQ21" s="2950"/>
      <c r="GOR21" s="2950"/>
      <c r="GOS21" s="2950"/>
      <c r="GOT21" s="2950"/>
      <c r="GOU21" s="2950"/>
      <c r="GOV21" s="2950"/>
      <c r="GOW21" s="2950"/>
      <c r="GOX21" s="2950"/>
      <c r="GOY21" s="2950"/>
      <c r="GOZ21" s="2950"/>
      <c r="GPA21" s="2950"/>
      <c r="GPB21" s="2950"/>
      <c r="GPC21" s="2950"/>
      <c r="GPD21" s="2950"/>
      <c r="GPE21" s="2950"/>
      <c r="GPF21" s="2950"/>
      <c r="GPG21" s="2950"/>
      <c r="GPH21" s="2950"/>
      <c r="GPI21" s="2950"/>
      <c r="GPJ21" s="2950"/>
      <c r="GPK21" s="2950"/>
      <c r="GPL21" s="2950"/>
      <c r="GPM21" s="2950"/>
      <c r="GPN21" s="2950"/>
      <c r="GPO21" s="2950"/>
      <c r="GPP21" s="2950"/>
      <c r="GPQ21" s="2950"/>
      <c r="GPR21" s="2950"/>
      <c r="GPS21" s="2950"/>
      <c r="GPT21" s="2950"/>
      <c r="GPU21" s="2950"/>
      <c r="GPV21" s="2950"/>
      <c r="GPW21" s="2950"/>
      <c r="GPX21" s="2950"/>
      <c r="GPY21" s="2950"/>
      <c r="GPZ21" s="2950"/>
      <c r="GQA21" s="2950"/>
      <c r="GQB21" s="2950"/>
      <c r="GQC21" s="2950"/>
      <c r="GQD21" s="2950"/>
      <c r="GQE21" s="2950"/>
      <c r="GQF21" s="2950"/>
      <c r="GQG21" s="2950"/>
      <c r="GQH21" s="2950"/>
      <c r="GQI21" s="2950"/>
      <c r="GQJ21" s="2950"/>
      <c r="GQK21" s="2950"/>
      <c r="GQL21" s="2950"/>
      <c r="GQM21" s="2950"/>
      <c r="GQN21" s="2950"/>
      <c r="GQO21" s="2950"/>
      <c r="GQP21" s="2950"/>
      <c r="GQQ21" s="2950"/>
      <c r="GQR21" s="2950"/>
      <c r="GQS21" s="2950"/>
      <c r="GQT21" s="2950"/>
      <c r="GQU21" s="2950"/>
      <c r="GQV21" s="2950"/>
      <c r="GQW21" s="2950"/>
      <c r="GQX21" s="2950"/>
      <c r="GQY21" s="2950"/>
      <c r="GQZ21" s="2950"/>
      <c r="GRA21" s="2950"/>
      <c r="GRB21" s="2950"/>
      <c r="GRC21" s="2950"/>
      <c r="GRD21" s="2950"/>
      <c r="GRE21" s="2950"/>
      <c r="GRF21" s="2950"/>
      <c r="GRG21" s="2950"/>
      <c r="GRH21" s="2950"/>
      <c r="GRI21" s="2950"/>
      <c r="GRJ21" s="2950"/>
      <c r="GRK21" s="2950"/>
      <c r="GRL21" s="2950"/>
      <c r="GRM21" s="2950"/>
      <c r="GRN21" s="2950"/>
      <c r="GRO21" s="2950"/>
      <c r="GRP21" s="2950"/>
      <c r="GRQ21" s="2950"/>
      <c r="GRR21" s="2950"/>
      <c r="GRS21" s="2950"/>
      <c r="GRT21" s="2950"/>
      <c r="GRU21" s="2950"/>
      <c r="GRV21" s="2950"/>
      <c r="GRW21" s="2950"/>
      <c r="GRX21" s="2950"/>
      <c r="GRY21" s="2950"/>
      <c r="GRZ21" s="2950"/>
      <c r="GSA21" s="2950"/>
      <c r="GSB21" s="2950"/>
      <c r="GSC21" s="2950"/>
      <c r="GSD21" s="2950"/>
      <c r="GSE21" s="2950"/>
      <c r="GSF21" s="2950"/>
      <c r="GSG21" s="2950"/>
      <c r="GSH21" s="2950"/>
      <c r="GSI21" s="2950"/>
      <c r="GSJ21" s="2950"/>
      <c r="GSK21" s="2950"/>
      <c r="GSL21" s="2950"/>
      <c r="GSM21" s="2950"/>
      <c r="GSN21" s="2950"/>
      <c r="GSO21" s="2950"/>
      <c r="GSP21" s="2950"/>
      <c r="GSQ21" s="2950"/>
      <c r="GSR21" s="2950"/>
      <c r="GSS21" s="2950"/>
      <c r="GST21" s="2950"/>
      <c r="GSU21" s="2950"/>
      <c r="GSV21" s="2950"/>
      <c r="GSW21" s="2950"/>
      <c r="GSX21" s="2950"/>
      <c r="GSY21" s="2950"/>
      <c r="GSZ21" s="2950"/>
      <c r="GTA21" s="2950"/>
      <c r="GTB21" s="2950"/>
      <c r="GTC21" s="2950"/>
      <c r="GTD21" s="2950"/>
      <c r="GTE21" s="2950"/>
      <c r="GTF21" s="2950"/>
      <c r="GTG21" s="2950"/>
      <c r="GTH21" s="2950"/>
      <c r="GTI21" s="2950"/>
      <c r="GTJ21" s="2950"/>
      <c r="GTK21" s="2950"/>
      <c r="GTL21" s="2950"/>
      <c r="GTM21" s="2950"/>
      <c r="GTN21" s="2950"/>
      <c r="GTO21" s="2950"/>
      <c r="GTP21" s="2950"/>
      <c r="GTQ21" s="2950"/>
      <c r="GTR21" s="2950"/>
      <c r="GTS21" s="2950"/>
      <c r="GTT21" s="2950"/>
      <c r="GTU21" s="2950"/>
      <c r="GTV21" s="2950"/>
      <c r="GTW21" s="2950"/>
      <c r="GTX21" s="2950"/>
      <c r="GTY21" s="2950"/>
      <c r="GTZ21" s="2950"/>
      <c r="GUA21" s="2950"/>
      <c r="GUB21" s="2950"/>
      <c r="GUC21" s="2950"/>
      <c r="GUD21" s="2950"/>
      <c r="GUE21" s="2950"/>
      <c r="GUF21" s="2950"/>
      <c r="GUG21" s="2950"/>
      <c r="GUH21" s="2950"/>
      <c r="GUI21" s="2950"/>
      <c r="GUJ21" s="2950"/>
      <c r="GUK21" s="2950"/>
      <c r="GUL21" s="2950"/>
      <c r="GUM21" s="2950"/>
      <c r="GUN21" s="2950"/>
      <c r="GUO21" s="2950"/>
      <c r="GUP21" s="2950"/>
      <c r="GUQ21" s="2950"/>
      <c r="GUR21" s="2950"/>
      <c r="GUS21" s="2950"/>
      <c r="GUT21" s="2950"/>
      <c r="GUU21" s="2950"/>
      <c r="GUV21" s="2950"/>
      <c r="GUW21" s="2950"/>
      <c r="GUX21" s="2950"/>
      <c r="GUY21" s="2950"/>
      <c r="GUZ21" s="2950"/>
      <c r="GVA21" s="2950"/>
      <c r="GVB21" s="2950"/>
      <c r="GVC21" s="2950"/>
      <c r="GVD21" s="2950"/>
      <c r="GVE21" s="2950"/>
      <c r="GVF21" s="2950"/>
      <c r="GVG21" s="2950"/>
      <c r="GVH21" s="2950"/>
      <c r="GVI21" s="2950"/>
      <c r="GVJ21" s="2950"/>
      <c r="GVK21" s="2950"/>
      <c r="GVL21" s="2950"/>
      <c r="GVM21" s="2950"/>
      <c r="GVN21" s="2950"/>
      <c r="GVO21" s="2950"/>
      <c r="GVP21" s="2950"/>
      <c r="GVQ21" s="2950"/>
      <c r="GVR21" s="2950"/>
      <c r="GVS21" s="2950"/>
      <c r="GVT21" s="2950"/>
      <c r="GVU21" s="2950"/>
      <c r="GVV21" s="2950"/>
      <c r="GVW21" s="2950"/>
      <c r="GVX21" s="2950"/>
      <c r="GVY21" s="2950"/>
      <c r="GVZ21" s="2950"/>
      <c r="GWA21" s="2950"/>
      <c r="GWB21" s="2950"/>
      <c r="GWC21" s="2950"/>
      <c r="GWD21" s="2950"/>
      <c r="GWE21" s="2950"/>
      <c r="GWF21" s="2950"/>
      <c r="GWG21" s="2950"/>
      <c r="GWH21" s="2950"/>
      <c r="GWI21" s="2950"/>
      <c r="GWJ21" s="2950"/>
      <c r="GWK21" s="2950"/>
      <c r="GWL21" s="2950"/>
      <c r="GWM21" s="2950"/>
      <c r="GWN21" s="2950"/>
      <c r="GWO21" s="2950"/>
      <c r="GWP21" s="2950"/>
      <c r="GWQ21" s="2950"/>
      <c r="GWR21" s="2950"/>
      <c r="GWS21" s="2950"/>
      <c r="GWT21" s="2950"/>
      <c r="GWU21" s="2950"/>
      <c r="GWV21" s="2950"/>
      <c r="GWW21" s="2950"/>
      <c r="GWX21" s="2950"/>
      <c r="GWY21" s="2950"/>
      <c r="GWZ21" s="2950"/>
      <c r="GXA21" s="2950"/>
      <c r="GXB21" s="2950"/>
      <c r="GXC21" s="2950"/>
      <c r="GXD21" s="2950"/>
      <c r="GXE21" s="2950"/>
      <c r="GXF21" s="2950"/>
      <c r="GXG21" s="2950"/>
      <c r="GXH21" s="2950"/>
      <c r="GXI21" s="2950"/>
      <c r="GXJ21" s="2950"/>
      <c r="GXK21" s="2950"/>
      <c r="GXL21" s="2950"/>
      <c r="GXM21" s="2950"/>
      <c r="GXN21" s="2950"/>
      <c r="GXO21" s="2950"/>
      <c r="GXP21" s="2950"/>
      <c r="GXQ21" s="2950"/>
      <c r="GXR21" s="2950"/>
      <c r="GXS21" s="2950"/>
      <c r="GXT21" s="2950"/>
      <c r="GXU21" s="2950"/>
      <c r="GXV21" s="2950"/>
      <c r="GXW21" s="2950"/>
      <c r="GXX21" s="2950"/>
      <c r="GXY21" s="2950"/>
      <c r="GXZ21" s="2950"/>
      <c r="GYA21" s="2950"/>
      <c r="GYB21" s="2950"/>
      <c r="GYC21" s="2950"/>
      <c r="GYD21" s="2950"/>
      <c r="GYE21" s="2950"/>
      <c r="GYF21" s="2950"/>
      <c r="GYG21" s="2950"/>
      <c r="GYH21" s="2950"/>
      <c r="GYI21" s="2950"/>
      <c r="GYJ21" s="2950"/>
      <c r="GYK21" s="2950"/>
      <c r="GYL21" s="2950"/>
      <c r="GYM21" s="2950"/>
      <c r="GYN21" s="2950"/>
      <c r="GYO21" s="2950"/>
      <c r="GYP21" s="2950"/>
      <c r="GYQ21" s="2950"/>
      <c r="GYR21" s="2950"/>
      <c r="GYS21" s="2950"/>
      <c r="GYT21" s="2950"/>
      <c r="GYU21" s="2950"/>
      <c r="GYV21" s="2950"/>
      <c r="GYW21" s="2950"/>
      <c r="GYX21" s="2950"/>
      <c r="GYY21" s="2950"/>
      <c r="GYZ21" s="2950"/>
      <c r="GZA21" s="2950"/>
      <c r="GZB21" s="2950"/>
      <c r="GZC21" s="2950"/>
      <c r="GZD21" s="2950"/>
      <c r="GZE21" s="2950"/>
      <c r="GZF21" s="2950"/>
      <c r="GZG21" s="2950"/>
      <c r="GZH21" s="2950"/>
      <c r="GZI21" s="2950"/>
      <c r="GZJ21" s="2950"/>
      <c r="GZK21" s="2950"/>
      <c r="GZL21" s="2950"/>
      <c r="GZM21" s="2950"/>
      <c r="GZN21" s="2950"/>
      <c r="GZO21" s="2950"/>
      <c r="GZP21" s="2950"/>
      <c r="GZQ21" s="2950"/>
      <c r="GZR21" s="2950"/>
      <c r="GZS21" s="2950"/>
      <c r="GZT21" s="2950"/>
      <c r="GZU21" s="2950"/>
      <c r="GZV21" s="2950"/>
      <c r="GZW21" s="2950"/>
      <c r="GZX21" s="2950"/>
      <c r="GZY21" s="2950"/>
      <c r="GZZ21" s="2950"/>
      <c r="HAA21" s="2950"/>
      <c r="HAB21" s="2950"/>
      <c r="HAC21" s="2950"/>
      <c r="HAD21" s="2950"/>
      <c r="HAE21" s="2950"/>
      <c r="HAF21" s="2950"/>
      <c r="HAG21" s="2950"/>
      <c r="HAH21" s="2950"/>
      <c r="HAI21" s="2950"/>
      <c r="HAJ21" s="2950"/>
      <c r="HAK21" s="2950"/>
      <c r="HAL21" s="2950"/>
      <c r="HAM21" s="2950"/>
      <c r="HAN21" s="2950"/>
      <c r="HAO21" s="2950"/>
      <c r="HAP21" s="2950"/>
      <c r="HAQ21" s="2950"/>
      <c r="HAR21" s="2950"/>
      <c r="HAS21" s="2950"/>
      <c r="HAT21" s="2950"/>
      <c r="HAU21" s="2950"/>
      <c r="HAV21" s="2950"/>
      <c r="HAW21" s="2950"/>
      <c r="HAX21" s="2950"/>
      <c r="HAY21" s="2950"/>
      <c r="HAZ21" s="2950"/>
      <c r="HBA21" s="2950"/>
      <c r="HBB21" s="2950"/>
      <c r="HBC21" s="2950"/>
      <c r="HBD21" s="2950"/>
      <c r="HBE21" s="2950"/>
      <c r="HBF21" s="2950"/>
      <c r="HBG21" s="2950"/>
      <c r="HBH21" s="2950"/>
      <c r="HBI21" s="2950"/>
      <c r="HBJ21" s="2950"/>
      <c r="HBK21" s="2950"/>
      <c r="HBL21" s="2950"/>
      <c r="HBM21" s="2950"/>
      <c r="HBN21" s="2950"/>
      <c r="HBO21" s="2950"/>
      <c r="HBP21" s="2950"/>
      <c r="HBQ21" s="2950"/>
      <c r="HBR21" s="2950"/>
      <c r="HBS21" s="2950"/>
      <c r="HBT21" s="2950"/>
      <c r="HBU21" s="2950"/>
      <c r="HBV21" s="2950"/>
      <c r="HBW21" s="2950"/>
      <c r="HBX21" s="2950"/>
      <c r="HBY21" s="2950"/>
      <c r="HBZ21" s="2950"/>
      <c r="HCA21" s="2950"/>
      <c r="HCB21" s="2950"/>
      <c r="HCC21" s="2950"/>
      <c r="HCD21" s="2950"/>
      <c r="HCE21" s="2950"/>
      <c r="HCF21" s="2950"/>
      <c r="HCG21" s="2950"/>
      <c r="HCH21" s="2950"/>
      <c r="HCI21" s="2950"/>
      <c r="HCJ21" s="2950"/>
      <c r="HCK21" s="2950"/>
      <c r="HCL21" s="2950"/>
      <c r="HCM21" s="2950"/>
      <c r="HCN21" s="2950"/>
      <c r="HCO21" s="2950"/>
      <c r="HCP21" s="2950"/>
      <c r="HCQ21" s="2950"/>
      <c r="HCR21" s="2950"/>
      <c r="HCS21" s="2950"/>
      <c r="HCT21" s="2950"/>
      <c r="HCU21" s="2950"/>
      <c r="HCV21" s="2950"/>
      <c r="HCW21" s="2950"/>
      <c r="HCX21" s="2950"/>
      <c r="HCY21" s="2950"/>
      <c r="HCZ21" s="2950"/>
      <c r="HDA21" s="2950"/>
      <c r="HDB21" s="2950"/>
      <c r="HDC21" s="2950"/>
      <c r="HDD21" s="2950"/>
      <c r="HDE21" s="2950"/>
      <c r="HDF21" s="2950"/>
      <c r="HDG21" s="2950"/>
      <c r="HDH21" s="2950"/>
      <c r="HDI21" s="2950"/>
      <c r="HDJ21" s="2950"/>
      <c r="HDK21" s="2950"/>
      <c r="HDL21" s="2950"/>
      <c r="HDM21" s="2950"/>
      <c r="HDN21" s="2950"/>
      <c r="HDO21" s="2950"/>
      <c r="HDP21" s="2950"/>
      <c r="HDQ21" s="2950"/>
      <c r="HDR21" s="2950"/>
      <c r="HDS21" s="2950"/>
      <c r="HDT21" s="2950"/>
      <c r="HDU21" s="2950"/>
      <c r="HDV21" s="2950"/>
      <c r="HDW21" s="2950"/>
      <c r="HDX21" s="2950"/>
      <c r="HDY21" s="2950"/>
      <c r="HDZ21" s="2950"/>
      <c r="HEA21" s="2950"/>
      <c r="HEB21" s="2950"/>
      <c r="HEC21" s="2950"/>
      <c r="HED21" s="2950"/>
      <c r="HEE21" s="2950"/>
      <c r="HEF21" s="2950"/>
      <c r="HEG21" s="2950"/>
      <c r="HEH21" s="2950"/>
      <c r="HEI21" s="2950"/>
      <c r="HEJ21" s="2950"/>
      <c r="HEK21" s="2950"/>
      <c r="HEL21" s="2950"/>
      <c r="HEM21" s="2950"/>
      <c r="HEN21" s="2950"/>
      <c r="HEO21" s="2950"/>
      <c r="HEP21" s="2950"/>
      <c r="HEQ21" s="2950"/>
      <c r="HER21" s="2950"/>
      <c r="HES21" s="2950"/>
      <c r="HET21" s="2950"/>
      <c r="HEU21" s="2950"/>
      <c r="HEV21" s="2950"/>
      <c r="HEW21" s="2950"/>
      <c r="HEX21" s="2950"/>
      <c r="HEY21" s="2950"/>
      <c r="HEZ21" s="2950"/>
      <c r="HFA21" s="2950"/>
      <c r="HFB21" s="2950"/>
      <c r="HFC21" s="2950"/>
      <c r="HFD21" s="2950"/>
      <c r="HFE21" s="2950"/>
      <c r="HFF21" s="2950"/>
      <c r="HFG21" s="2950"/>
      <c r="HFH21" s="2950"/>
      <c r="HFI21" s="2950"/>
      <c r="HFJ21" s="2950"/>
      <c r="HFK21" s="2950"/>
      <c r="HFL21" s="2950"/>
      <c r="HFM21" s="2950"/>
      <c r="HFN21" s="2950"/>
      <c r="HFO21" s="2950"/>
      <c r="HFP21" s="2950"/>
      <c r="HFQ21" s="2950"/>
      <c r="HFR21" s="2950"/>
      <c r="HFS21" s="2950"/>
      <c r="HFT21" s="2950"/>
      <c r="HFU21" s="2950"/>
      <c r="HFV21" s="2950"/>
      <c r="HFW21" s="2950"/>
      <c r="HFX21" s="2950"/>
      <c r="HFY21" s="2950"/>
      <c r="HFZ21" s="2950"/>
      <c r="HGA21" s="2950"/>
      <c r="HGB21" s="2950"/>
      <c r="HGC21" s="2950"/>
      <c r="HGD21" s="2950"/>
      <c r="HGE21" s="2950"/>
      <c r="HGF21" s="2950"/>
      <c r="HGG21" s="2950"/>
      <c r="HGH21" s="2950"/>
      <c r="HGI21" s="2950"/>
      <c r="HGJ21" s="2950"/>
      <c r="HGK21" s="2950"/>
      <c r="HGL21" s="2950"/>
      <c r="HGM21" s="2950"/>
      <c r="HGN21" s="2950"/>
      <c r="HGO21" s="2950"/>
      <c r="HGP21" s="2950"/>
      <c r="HGQ21" s="2950"/>
      <c r="HGR21" s="2950"/>
      <c r="HGS21" s="2950"/>
      <c r="HGT21" s="2950"/>
      <c r="HGU21" s="2950"/>
      <c r="HGV21" s="2950"/>
      <c r="HGW21" s="2950"/>
      <c r="HGX21" s="2950"/>
      <c r="HGY21" s="2950"/>
      <c r="HGZ21" s="2950"/>
      <c r="HHA21" s="2950"/>
      <c r="HHB21" s="2950"/>
      <c r="HHC21" s="2950"/>
      <c r="HHD21" s="2950"/>
      <c r="HHE21" s="2950"/>
      <c r="HHF21" s="2950"/>
      <c r="HHG21" s="2950"/>
      <c r="HHH21" s="2950"/>
      <c r="HHI21" s="2950"/>
      <c r="HHJ21" s="2950"/>
      <c r="HHK21" s="2950"/>
      <c r="HHL21" s="2950"/>
      <c r="HHM21" s="2950"/>
      <c r="HHN21" s="2950"/>
      <c r="HHO21" s="2950"/>
      <c r="HHP21" s="2950"/>
      <c r="HHQ21" s="2950"/>
      <c r="HHR21" s="2950"/>
      <c r="HHS21" s="2950"/>
      <c r="HHT21" s="2950"/>
      <c r="HHU21" s="2950"/>
      <c r="HHV21" s="2950"/>
      <c r="HHW21" s="2950"/>
      <c r="HHX21" s="2950"/>
      <c r="HHY21" s="2950"/>
      <c r="HHZ21" s="2950"/>
      <c r="HIA21" s="2950"/>
      <c r="HIB21" s="2950"/>
      <c r="HIC21" s="2950"/>
      <c r="HID21" s="2950"/>
      <c r="HIE21" s="2950"/>
      <c r="HIF21" s="2950"/>
      <c r="HIG21" s="2950"/>
      <c r="HIH21" s="2950"/>
      <c r="HII21" s="2950"/>
      <c r="HIJ21" s="2950"/>
      <c r="HIK21" s="2950"/>
      <c r="HIL21" s="2950"/>
      <c r="HIM21" s="2950"/>
      <c r="HIN21" s="2950"/>
      <c r="HIO21" s="2950"/>
      <c r="HIP21" s="2950"/>
      <c r="HIQ21" s="2950"/>
      <c r="HIR21" s="2950"/>
      <c r="HIS21" s="2950"/>
      <c r="HIT21" s="2950"/>
      <c r="HIU21" s="2950"/>
      <c r="HIV21" s="2950"/>
      <c r="HIW21" s="2950"/>
      <c r="HIX21" s="2950"/>
      <c r="HIY21" s="2950"/>
      <c r="HIZ21" s="2950"/>
      <c r="HJA21" s="2950"/>
      <c r="HJB21" s="2950"/>
      <c r="HJC21" s="2950"/>
      <c r="HJD21" s="2950"/>
      <c r="HJE21" s="2950"/>
      <c r="HJF21" s="2950"/>
      <c r="HJG21" s="2950"/>
      <c r="HJH21" s="2950"/>
      <c r="HJI21" s="2950"/>
      <c r="HJJ21" s="2950"/>
      <c r="HJK21" s="2950"/>
      <c r="HJL21" s="2950"/>
      <c r="HJM21" s="2950"/>
      <c r="HJN21" s="2950"/>
      <c r="HJO21" s="2950"/>
      <c r="HJP21" s="2950"/>
      <c r="HJQ21" s="2950"/>
      <c r="HJR21" s="2950"/>
      <c r="HJS21" s="2950"/>
      <c r="HJT21" s="2950"/>
      <c r="HJU21" s="2950"/>
      <c r="HJV21" s="2950"/>
      <c r="HJW21" s="2950"/>
      <c r="HJX21" s="2950"/>
      <c r="HJY21" s="2950"/>
      <c r="HJZ21" s="2950"/>
      <c r="HKA21" s="2950"/>
      <c r="HKB21" s="2950"/>
      <c r="HKC21" s="2950"/>
      <c r="HKD21" s="2950"/>
      <c r="HKE21" s="2950"/>
      <c r="HKF21" s="2950"/>
      <c r="HKG21" s="2950"/>
      <c r="HKH21" s="2950"/>
      <c r="HKI21" s="2950"/>
      <c r="HKJ21" s="2950"/>
      <c r="HKK21" s="2950"/>
      <c r="HKL21" s="2950"/>
      <c r="HKM21" s="2950"/>
      <c r="HKN21" s="2950"/>
      <c r="HKO21" s="2950"/>
      <c r="HKP21" s="2950"/>
      <c r="HKQ21" s="2950"/>
      <c r="HKR21" s="2950"/>
      <c r="HKS21" s="2950"/>
      <c r="HKT21" s="2950"/>
      <c r="HKU21" s="2950"/>
      <c r="HKV21" s="2950"/>
      <c r="HKW21" s="2950"/>
      <c r="HKX21" s="2950"/>
      <c r="HKY21" s="2950"/>
      <c r="HKZ21" s="2950"/>
      <c r="HLA21" s="2950"/>
      <c r="HLB21" s="2950"/>
      <c r="HLC21" s="2950"/>
      <c r="HLD21" s="2950"/>
      <c r="HLE21" s="2950"/>
      <c r="HLF21" s="2950"/>
      <c r="HLG21" s="2950"/>
      <c r="HLH21" s="2950"/>
      <c r="HLI21" s="2950"/>
      <c r="HLJ21" s="2950"/>
      <c r="HLK21" s="2950"/>
      <c r="HLL21" s="2950"/>
      <c r="HLM21" s="2950"/>
      <c r="HLN21" s="2950"/>
      <c r="HLO21" s="2950"/>
      <c r="HLP21" s="2950"/>
      <c r="HLQ21" s="2950"/>
      <c r="HLR21" s="2950"/>
      <c r="HLS21" s="2950"/>
      <c r="HLT21" s="2950"/>
      <c r="HLU21" s="2950"/>
      <c r="HLV21" s="2950"/>
      <c r="HLW21" s="2950"/>
      <c r="HLX21" s="2950"/>
      <c r="HLY21" s="2950"/>
      <c r="HLZ21" s="2950"/>
      <c r="HMA21" s="2950"/>
      <c r="HMB21" s="2950"/>
      <c r="HMC21" s="2950"/>
      <c r="HMD21" s="2950"/>
      <c r="HME21" s="2950"/>
      <c r="HMF21" s="2950"/>
      <c r="HMG21" s="2950"/>
      <c r="HMH21" s="2950"/>
      <c r="HMI21" s="2950"/>
      <c r="HMJ21" s="2950"/>
      <c r="HMK21" s="2950"/>
      <c r="HML21" s="2950"/>
      <c r="HMM21" s="2950"/>
      <c r="HMN21" s="2950"/>
      <c r="HMO21" s="2950"/>
      <c r="HMP21" s="2950"/>
      <c r="HMQ21" s="2950"/>
      <c r="HMR21" s="2950"/>
      <c r="HMS21" s="2950"/>
      <c r="HMT21" s="2950"/>
      <c r="HMU21" s="2950"/>
      <c r="HMV21" s="2950"/>
      <c r="HMW21" s="2950"/>
      <c r="HMX21" s="2950"/>
      <c r="HMY21" s="2950"/>
      <c r="HMZ21" s="2950"/>
      <c r="HNA21" s="2950"/>
      <c r="HNB21" s="2950"/>
      <c r="HNC21" s="2950"/>
      <c r="HND21" s="2950"/>
      <c r="HNE21" s="2950"/>
      <c r="HNF21" s="2950"/>
      <c r="HNG21" s="2950"/>
      <c r="HNH21" s="2950"/>
      <c r="HNI21" s="2950"/>
      <c r="HNJ21" s="2950"/>
      <c r="HNK21" s="2950"/>
      <c r="HNL21" s="2950"/>
      <c r="HNM21" s="2950"/>
      <c r="HNN21" s="2950"/>
      <c r="HNO21" s="2950"/>
      <c r="HNP21" s="2950"/>
      <c r="HNQ21" s="2950"/>
      <c r="HNR21" s="2950"/>
      <c r="HNS21" s="2950"/>
      <c r="HNT21" s="2950"/>
      <c r="HNU21" s="2950"/>
      <c r="HNV21" s="2950"/>
      <c r="HNW21" s="2950"/>
      <c r="HNX21" s="2950"/>
      <c r="HNY21" s="2950"/>
      <c r="HNZ21" s="2950"/>
      <c r="HOA21" s="2950"/>
      <c r="HOB21" s="2950"/>
      <c r="HOC21" s="2950"/>
      <c r="HOD21" s="2950"/>
      <c r="HOE21" s="2950"/>
      <c r="HOF21" s="2950"/>
      <c r="HOG21" s="2950"/>
      <c r="HOH21" s="2950"/>
      <c r="HOI21" s="2950"/>
      <c r="HOJ21" s="2950"/>
      <c r="HOK21" s="2950"/>
      <c r="HOL21" s="2950"/>
      <c r="HOM21" s="2950"/>
      <c r="HON21" s="2950"/>
      <c r="HOO21" s="2950"/>
      <c r="HOP21" s="2950"/>
      <c r="HOQ21" s="2950"/>
      <c r="HOR21" s="2950"/>
      <c r="HOS21" s="2950"/>
      <c r="HOT21" s="2950"/>
      <c r="HOU21" s="2950"/>
      <c r="HOV21" s="2950"/>
      <c r="HOW21" s="2950"/>
      <c r="HOX21" s="2950"/>
      <c r="HOY21" s="2950"/>
      <c r="HOZ21" s="2950"/>
      <c r="HPA21" s="2950"/>
      <c r="HPB21" s="2950"/>
      <c r="HPC21" s="2950"/>
      <c r="HPD21" s="2950"/>
      <c r="HPE21" s="2950"/>
      <c r="HPF21" s="2950"/>
      <c r="HPG21" s="2950"/>
      <c r="HPH21" s="2950"/>
      <c r="HPI21" s="2950"/>
      <c r="HPJ21" s="2950"/>
      <c r="HPK21" s="2950"/>
      <c r="HPL21" s="2950"/>
      <c r="HPM21" s="2950"/>
      <c r="HPN21" s="2950"/>
      <c r="HPO21" s="2950"/>
      <c r="HPP21" s="2950"/>
      <c r="HPQ21" s="2950"/>
      <c r="HPR21" s="2950"/>
      <c r="HPS21" s="2950"/>
      <c r="HPT21" s="2950"/>
      <c r="HPU21" s="2950"/>
      <c r="HPV21" s="2950"/>
      <c r="HPW21" s="2950"/>
      <c r="HPX21" s="2950"/>
      <c r="HPY21" s="2950"/>
      <c r="HPZ21" s="2950"/>
      <c r="HQA21" s="2950"/>
      <c r="HQB21" s="2950"/>
      <c r="HQC21" s="2950"/>
      <c r="HQD21" s="2950"/>
      <c r="HQE21" s="2950"/>
      <c r="HQF21" s="2950"/>
      <c r="HQG21" s="2950"/>
      <c r="HQH21" s="2950"/>
      <c r="HQI21" s="2950"/>
      <c r="HQJ21" s="2950"/>
      <c r="HQK21" s="2950"/>
      <c r="HQL21" s="2950"/>
      <c r="HQM21" s="2950"/>
      <c r="HQN21" s="2950"/>
      <c r="HQO21" s="2950"/>
      <c r="HQP21" s="2950"/>
      <c r="HQQ21" s="2950"/>
      <c r="HQR21" s="2950"/>
      <c r="HQS21" s="2950"/>
      <c r="HQT21" s="2950"/>
      <c r="HQU21" s="2950"/>
      <c r="HQV21" s="2950"/>
      <c r="HQW21" s="2950"/>
      <c r="HQX21" s="2950"/>
      <c r="HQY21" s="2950"/>
      <c r="HQZ21" s="2950"/>
      <c r="HRA21" s="2950"/>
      <c r="HRB21" s="2950"/>
      <c r="HRC21" s="2950"/>
      <c r="HRD21" s="2950"/>
      <c r="HRE21" s="2950"/>
      <c r="HRF21" s="2950"/>
      <c r="HRG21" s="2950"/>
      <c r="HRH21" s="2950"/>
      <c r="HRI21" s="2950"/>
      <c r="HRJ21" s="2950"/>
      <c r="HRK21" s="2950"/>
      <c r="HRL21" s="2950"/>
      <c r="HRM21" s="2950"/>
      <c r="HRN21" s="2950"/>
      <c r="HRO21" s="2950"/>
      <c r="HRP21" s="2950"/>
      <c r="HRQ21" s="2950"/>
      <c r="HRR21" s="2950"/>
      <c r="HRS21" s="2950"/>
      <c r="HRT21" s="2950"/>
      <c r="HRU21" s="2950"/>
      <c r="HRV21" s="2950"/>
      <c r="HRW21" s="2950"/>
      <c r="HRX21" s="2950"/>
      <c r="HRY21" s="2950"/>
      <c r="HRZ21" s="2950"/>
      <c r="HSA21" s="2950"/>
      <c r="HSB21" s="2950"/>
      <c r="HSC21" s="2950"/>
      <c r="HSD21" s="2950"/>
      <c r="HSE21" s="2950"/>
      <c r="HSF21" s="2950"/>
      <c r="HSG21" s="2950"/>
      <c r="HSH21" s="2950"/>
      <c r="HSI21" s="2950"/>
      <c r="HSJ21" s="2950"/>
      <c r="HSK21" s="2950"/>
      <c r="HSL21" s="2950"/>
      <c r="HSM21" s="2950"/>
      <c r="HSN21" s="2950"/>
      <c r="HSO21" s="2950"/>
      <c r="HSP21" s="2950"/>
      <c r="HSQ21" s="2950"/>
      <c r="HSR21" s="2950"/>
      <c r="HSS21" s="2950"/>
      <c r="HST21" s="2950"/>
      <c r="HSU21" s="2950"/>
      <c r="HSV21" s="2950"/>
      <c r="HSW21" s="2950"/>
      <c r="HSX21" s="2950"/>
      <c r="HSY21" s="2950"/>
      <c r="HSZ21" s="2950"/>
      <c r="HTA21" s="2950"/>
      <c r="HTB21" s="2950"/>
      <c r="HTC21" s="2950"/>
      <c r="HTD21" s="2950"/>
      <c r="HTE21" s="2950"/>
      <c r="HTF21" s="2950"/>
      <c r="HTG21" s="2950"/>
      <c r="HTH21" s="2950"/>
      <c r="HTI21" s="2950"/>
      <c r="HTJ21" s="2950"/>
      <c r="HTK21" s="2950"/>
      <c r="HTL21" s="2950"/>
      <c r="HTM21" s="2950"/>
      <c r="HTN21" s="2950"/>
      <c r="HTO21" s="2950"/>
      <c r="HTP21" s="2950"/>
      <c r="HTQ21" s="2950"/>
      <c r="HTR21" s="2950"/>
      <c r="HTS21" s="2950"/>
      <c r="HTT21" s="2950"/>
      <c r="HTU21" s="2950"/>
      <c r="HTV21" s="2950"/>
      <c r="HTW21" s="2950"/>
      <c r="HTX21" s="2950"/>
      <c r="HTY21" s="2950"/>
      <c r="HTZ21" s="2950"/>
      <c r="HUA21" s="2950"/>
      <c r="HUB21" s="2950"/>
      <c r="HUC21" s="2950"/>
      <c r="HUD21" s="2950"/>
      <c r="HUE21" s="2950"/>
      <c r="HUF21" s="2950"/>
      <c r="HUG21" s="2950"/>
      <c r="HUH21" s="2950"/>
      <c r="HUI21" s="2950"/>
      <c r="HUJ21" s="2950"/>
      <c r="HUK21" s="2950"/>
      <c r="HUL21" s="2950"/>
      <c r="HUM21" s="2950"/>
      <c r="HUN21" s="2950"/>
      <c r="HUO21" s="2950"/>
      <c r="HUP21" s="2950"/>
      <c r="HUQ21" s="2950"/>
      <c r="HUR21" s="2950"/>
      <c r="HUS21" s="2950"/>
      <c r="HUT21" s="2950"/>
      <c r="HUU21" s="2950"/>
      <c r="HUV21" s="2950"/>
      <c r="HUW21" s="2950"/>
      <c r="HUX21" s="2950"/>
      <c r="HUY21" s="2950"/>
      <c r="HUZ21" s="2950"/>
      <c r="HVA21" s="2950"/>
      <c r="HVB21" s="2950"/>
      <c r="HVC21" s="2950"/>
      <c r="HVD21" s="2950"/>
      <c r="HVE21" s="2950"/>
      <c r="HVF21" s="2950"/>
      <c r="HVG21" s="2950"/>
      <c r="HVH21" s="2950"/>
      <c r="HVI21" s="2950"/>
      <c r="HVJ21" s="2950"/>
      <c r="HVK21" s="2950"/>
      <c r="HVL21" s="2950"/>
      <c r="HVM21" s="2950"/>
      <c r="HVN21" s="2950"/>
      <c r="HVO21" s="2950"/>
      <c r="HVP21" s="2950"/>
      <c r="HVQ21" s="2950"/>
      <c r="HVR21" s="2950"/>
      <c r="HVS21" s="2950"/>
      <c r="HVT21" s="2950"/>
      <c r="HVU21" s="2950"/>
      <c r="HVV21" s="2950"/>
      <c r="HVW21" s="2950"/>
      <c r="HVX21" s="2950"/>
      <c r="HVY21" s="2950"/>
      <c r="HVZ21" s="2950"/>
      <c r="HWA21" s="2950"/>
      <c r="HWB21" s="2950"/>
      <c r="HWC21" s="2950"/>
      <c r="HWD21" s="2950"/>
      <c r="HWE21" s="2950"/>
      <c r="HWF21" s="2950"/>
      <c r="HWG21" s="2950"/>
      <c r="HWH21" s="2950"/>
      <c r="HWI21" s="2950"/>
      <c r="HWJ21" s="2950"/>
      <c r="HWK21" s="2950"/>
      <c r="HWL21" s="2950"/>
      <c r="HWM21" s="2950"/>
      <c r="HWN21" s="2950"/>
      <c r="HWO21" s="2950"/>
      <c r="HWP21" s="2950"/>
      <c r="HWQ21" s="2950"/>
      <c r="HWR21" s="2950"/>
      <c r="HWS21" s="2950"/>
      <c r="HWT21" s="2950"/>
      <c r="HWU21" s="2950"/>
      <c r="HWV21" s="2950"/>
      <c r="HWW21" s="2950"/>
      <c r="HWX21" s="2950"/>
      <c r="HWY21" s="2950"/>
      <c r="HWZ21" s="2950"/>
      <c r="HXA21" s="2950"/>
      <c r="HXB21" s="2950"/>
      <c r="HXC21" s="2950"/>
      <c r="HXD21" s="2950"/>
      <c r="HXE21" s="2950"/>
      <c r="HXF21" s="2950"/>
      <c r="HXG21" s="2950"/>
      <c r="HXH21" s="2950"/>
      <c r="HXI21" s="2950"/>
      <c r="HXJ21" s="2950"/>
      <c r="HXK21" s="2950"/>
      <c r="HXL21" s="2950"/>
      <c r="HXM21" s="2950"/>
      <c r="HXN21" s="2950"/>
      <c r="HXO21" s="2950"/>
      <c r="HXP21" s="2950"/>
      <c r="HXQ21" s="2950"/>
      <c r="HXR21" s="2950"/>
      <c r="HXS21" s="2950"/>
      <c r="HXT21" s="2950"/>
      <c r="HXU21" s="2950"/>
      <c r="HXV21" s="2950"/>
      <c r="HXW21" s="2950"/>
      <c r="HXX21" s="2950"/>
      <c r="HXY21" s="2950"/>
      <c r="HXZ21" s="2950"/>
      <c r="HYA21" s="2950"/>
      <c r="HYB21" s="2950"/>
      <c r="HYC21" s="2950"/>
      <c r="HYD21" s="2950"/>
      <c r="HYE21" s="2950"/>
      <c r="HYF21" s="2950"/>
      <c r="HYG21" s="2950"/>
      <c r="HYH21" s="2950"/>
      <c r="HYI21" s="2950"/>
      <c r="HYJ21" s="2950"/>
      <c r="HYK21" s="2950"/>
      <c r="HYL21" s="2950"/>
      <c r="HYM21" s="2950"/>
      <c r="HYN21" s="2950"/>
      <c r="HYO21" s="2950"/>
      <c r="HYP21" s="2950"/>
      <c r="HYQ21" s="2950"/>
      <c r="HYR21" s="2950"/>
      <c r="HYS21" s="2950"/>
      <c r="HYT21" s="2950"/>
      <c r="HYU21" s="2950"/>
      <c r="HYV21" s="2950"/>
      <c r="HYW21" s="2950"/>
      <c r="HYX21" s="2950"/>
      <c r="HYY21" s="2950"/>
      <c r="HYZ21" s="2950"/>
      <c r="HZA21" s="2950"/>
      <c r="HZB21" s="2950"/>
      <c r="HZC21" s="2950"/>
      <c r="HZD21" s="2950"/>
      <c r="HZE21" s="2950"/>
      <c r="HZF21" s="2950"/>
      <c r="HZG21" s="2950"/>
      <c r="HZH21" s="2950"/>
      <c r="HZI21" s="2950"/>
      <c r="HZJ21" s="2950"/>
      <c r="HZK21" s="2950"/>
      <c r="HZL21" s="2950"/>
      <c r="HZM21" s="2950"/>
      <c r="HZN21" s="2950"/>
      <c r="HZO21" s="2950"/>
      <c r="HZP21" s="2950"/>
      <c r="HZQ21" s="2950"/>
      <c r="HZR21" s="2950"/>
      <c r="HZS21" s="2950"/>
      <c r="HZT21" s="2950"/>
      <c r="HZU21" s="2950"/>
      <c r="HZV21" s="2950"/>
      <c r="HZW21" s="2950"/>
      <c r="HZX21" s="2950"/>
      <c r="HZY21" s="2950"/>
      <c r="HZZ21" s="2950"/>
      <c r="IAA21" s="2950"/>
      <c r="IAB21" s="2950"/>
      <c r="IAC21" s="2950"/>
      <c r="IAD21" s="2950"/>
      <c r="IAE21" s="2950"/>
      <c r="IAF21" s="2950"/>
      <c r="IAG21" s="2950"/>
      <c r="IAH21" s="2950"/>
      <c r="IAI21" s="2950"/>
      <c r="IAJ21" s="2950"/>
      <c r="IAK21" s="2950"/>
      <c r="IAL21" s="2950"/>
      <c r="IAM21" s="2950"/>
      <c r="IAN21" s="2950"/>
      <c r="IAO21" s="2950"/>
      <c r="IAP21" s="2950"/>
      <c r="IAQ21" s="2950"/>
      <c r="IAR21" s="2950"/>
      <c r="IAS21" s="2950"/>
      <c r="IAT21" s="2950"/>
      <c r="IAU21" s="2950"/>
      <c r="IAV21" s="2950"/>
      <c r="IAW21" s="2950"/>
      <c r="IAX21" s="2950"/>
      <c r="IAY21" s="2950"/>
      <c r="IAZ21" s="2950"/>
      <c r="IBA21" s="2950"/>
      <c r="IBB21" s="2950"/>
      <c r="IBC21" s="2950"/>
      <c r="IBD21" s="2950"/>
      <c r="IBE21" s="2950"/>
      <c r="IBF21" s="2950"/>
      <c r="IBG21" s="2950"/>
      <c r="IBH21" s="2950"/>
      <c r="IBI21" s="2950"/>
      <c r="IBJ21" s="2950"/>
      <c r="IBK21" s="2950"/>
      <c r="IBL21" s="2950"/>
      <c r="IBM21" s="2950"/>
      <c r="IBN21" s="2950"/>
      <c r="IBO21" s="2950"/>
      <c r="IBP21" s="2950"/>
      <c r="IBQ21" s="2950"/>
      <c r="IBR21" s="2950"/>
      <c r="IBS21" s="2950"/>
      <c r="IBT21" s="2950"/>
      <c r="IBU21" s="2950"/>
      <c r="IBV21" s="2950"/>
      <c r="IBW21" s="2950"/>
      <c r="IBX21" s="2950"/>
      <c r="IBY21" s="2950"/>
      <c r="IBZ21" s="2950"/>
      <c r="ICA21" s="2950"/>
      <c r="ICB21" s="2950"/>
      <c r="ICC21" s="2950"/>
      <c r="ICD21" s="2950"/>
      <c r="ICE21" s="2950"/>
      <c r="ICF21" s="2950"/>
      <c r="ICG21" s="2950"/>
      <c r="ICH21" s="2950"/>
      <c r="ICI21" s="2950"/>
      <c r="ICJ21" s="2950"/>
      <c r="ICK21" s="2950"/>
      <c r="ICL21" s="2950"/>
      <c r="ICM21" s="2950"/>
      <c r="ICN21" s="2950"/>
      <c r="ICO21" s="2950"/>
      <c r="ICP21" s="2950"/>
      <c r="ICQ21" s="2950"/>
      <c r="ICR21" s="2950"/>
      <c r="ICS21" s="2950"/>
      <c r="ICT21" s="2950"/>
      <c r="ICU21" s="2950"/>
      <c r="ICV21" s="2950"/>
      <c r="ICW21" s="2950"/>
      <c r="ICX21" s="2950"/>
      <c r="ICY21" s="2950"/>
      <c r="ICZ21" s="2950"/>
      <c r="IDA21" s="2950"/>
      <c r="IDB21" s="2950"/>
      <c r="IDC21" s="2950"/>
      <c r="IDD21" s="2950"/>
      <c r="IDE21" s="2950"/>
      <c r="IDF21" s="2950"/>
      <c r="IDG21" s="2950"/>
      <c r="IDH21" s="2950"/>
      <c r="IDI21" s="2950"/>
      <c r="IDJ21" s="2950"/>
      <c r="IDK21" s="2950"/>
      <c r="IDL21" s="2950"/>
      <c r="IDM21" s="2950"/>
      <c r="IDN21" s="2950"/>
      <c r="IDO21" s="2950"/>
      <c r="IDP21" s="2950"/>
      <c r="IDQ21" s="2950"/>
      <c r="IDR21" s="2950"/>
      <c r="IDS21" s="2950"/>
      <c r="IDT21" s="2950"/>
      <c r="IDU21" s="2950"/>
      <c r="IDV21" s="2950"/>
      <c r="IDW21" s="2950"/>
      <c r="IDX21" s="2950"/>
      <c r="IDY21" s="2950"/>
      <c r="IDZ21" s="2950"/>
      <c r="IEA21" s="2950"/>
      <c r="IEB21" s="2950"/>
      <c r="IEC21" s="2950"/>
      <c r="IED21" s="2950"/>
      <c r="IEE21" s="2950"/>
      <c r="IEF21" s="2950"/>
      <c r="IEG21" s="2950"/>
      <c r="IEH21" s="2950"/>
      <c r="IEI21" s="2950"/>
      <c r="IEJ21" s="2950"/>
      <c r="IEK21" s="2950"/>
      <c r="IEL21" s="2950"/>
      <c r="IEM21" s="2950"/>
      <c r="IEN21" s="2950"/>
      <c r="IEO21" s="2950"/>
      <c r="IEP21" s="2950"/>
      <c r="IEQ21" s="2950"/>
      <c r="IER21" s="2950"/>
      <c r="IES21" s="2950"/>
      <c r="IET21" s="2950"/>
      <c r="IEU21" s="2950"/>
      <c r="IEV21" s="2950"/>
      <c r="IEW21" s="2950"/>
      <c r="IEX21" s="2950"/>
      <c r="IEY21" s="2950"/>
      <c r="IEZ21" s="2950"/>
      <c r="IFA21" s="2950"/>
      <c r="IFB21" s="2950"/>
      <c r="IFC21" s="2950"/>
      <c r="IFD21" s="2950"/>
      <c r="IFE21" s="2950"/>
      <c r="IFF21" s="2950"/>
      <c r="IFG21" s="2950"/>
      <c r="IFH21" s="2950"/>
      <c r="IFI21" s="2950"/>
      <c r="IFJ21" s="2950"/>
      <c r="IFK21" s="2950"/>
      <c r="IFL21" s="2950"/>
      <c r="IFM21" s="2950"/>
      <c r="IFN21" s="2950"/>
      <c r="IFO21" s="2950"/>
      <c r="IFP21" s="2950"/>
      <c r="IFQ21" s="2950"/>
      <c r="IFR21" s="2950"/>
      <c r="IFS21" s="2950"/>
      <c r="IFT21" s="2950"/>
      <c r="IFU21" s="2950"/>
      <c r="IFV21" s="2950"/>
      <c r="IFW21" s="2950"/>
      <c r="IFX21" s="2950"/>
      <c r="IFY21" s="2950"/>
      <c r="IFZ21" s="2950"/>
      <c r="IGA21" s="2950"/>
      <c r="IGB21" s="2950"/>
      <c r="IGC21" s="2950"/>
      <c r="IGD21" s="2950"/>
      <c r="IGE21" s="2950"/>
      <c r="IGF21" s="2950"/>
      <c r="IGG21" s="2950"/>
      <c r="IGH21" s="2950"/>
      <c r="IGI21" s="2950"/>
      <c r="IGJ21" s="2950"/>
      <c r="IGK21" s="2950"/>
      <c r="IGL21" s="2950"/>
      <c r="IGM21" s="2950"/>
      <c r="IGN21" s="2950"/>
      <c r="IGO21" s="2950"/>
      <c r="IGP21" s="2950"/>
      <c r="IGQ21" s="2950"/>
      <c r="IGR21" s="2950"/>
      <c r="IGS21" s="2950"/>
      <c r="IGT21" s="2950"/>
      <c r="IGU21" s="2950"/>
      <c r="IGV21" s="2950"/>
      <c r="IGW21" s="2950"/>
      <c r="IGX21" s="2950"/>
      <c r="IGY21" s="2950"/>
      <c r="IGZ21" s="2950"/>
      <c r="IHA21" s="2950"/>
      <c r="IHB21" s="2950"/>
      <c r="IHC21" s="2950"/>
      <c r="IHD21" s="2950"/>
      <c r="IHE21" s="2950"/>
      <c r="IHF21" s="2950"/>
      <c r="IHG21" s="2950"/>
      <c r="IHH21" s="2950"/>
      <c r="IHI21" s="2950"/>
      <c r="IHJ21" s="2950"/>
      <c r="IHK21" s="2950"/>
      <c r="IHL21" s="2950"/>
      <c r="IHM21" s="2950"/>
      <c r="IHN21" s="2950"/>
      <c r="IHO21" s="2950"/>
      <c r="IHP21" s="2950"/>
      <c r="IHQ21" s="2950"/>
      <c r="IHR21" s="2950"/>
      <c r="IHS21" s="2950"/>
      <c r="IHT21" s="2950"/>
      <c r="IHU21" s="2950"/>
      <c r="IHV21" s="2950"/>
      <c r="IHW21" s="2950"/>
      <c r="IHX21" s="2950"/>
      <c r="IHY21" s="2950"/>
      <c r="IHZ21" s="2950"/>
      <c r="IIA21" s="2950"/>
      <c r="IIB21" s="2950"/>
      <c r="IIC21" s="2950"/>
      <c r="IID21" s="2950"/>
      <c r="IIE21" s="2950"/>
      <c r="IIF21" s="2950"/>
      <c r="IIG21" s="2950"/>
      <c r="IIH21" s="2950"/>
      <c r="III21" s="2950"/>
      <c r="IIJ21" s="2950"/>
      <c r="IIK21" s="2950"/>
      <c r="IIL21" s="2950"/>
      <c r="IIM21" s="2950"/>
      <c r="IIN21" s="2950"/>
      <c r="IIO21" s="2950"/>
      <c r="IIP21" s="2950"/>
      <c r="IIQ21" s="2950"/>
      <c r="IIR21" s="2950"/>
      <c r="IIS21" s="2950"/>
      <c r="IIT21" s="2950"/>
      <c r="IIU21" s="2950"/>
      <c r="IIV21" s="2950"/>
      <c r="IIW21" s="2950"/>
      <c r="IIX21" s="2950"/>
      <c r="IIY21" s="2950"/>
      <c r="IIZ21" s="2950"/>
      <c r="IJA21" s="2950"/>
      <c r="IJB21" s="2950"/>
      <c r="IJC21" s="2950"/>
      <c r="IJD21" s="2950"/>
      <c r="IJE21" s="2950"/>
      <c r="IJF21" s="2950"/>
      <c r="IJG21" s="2950"/>
      <c r="IJH21" s="2950"/>
      <c r="IJI21" s="2950"/>
      <c r="IJJ21" s="2950"/>
      <c r="IJK21" s="2950"/>
      <c r="IJL21" s="2950"/>
      <c r="IJM21" s="2950"/>
      <c r="IJN21" s="2950"/>
      <c r="IJO21" s="2950"/>
      <c r="IJP21" s="2950"/>
      <c r="IJQ21" s="2950"/>
      <c r="IJR21" s="2950"/>
      <c r="IJS21" s="2950"/>
      <c r="IJT21" s="2950"/>
      <c r="IJU21" s="2950"/>
      <c r="IJV21" s="2950"/>
      <c r="IJW21" s="2950"/>
      <c r="IJX21" s="2950"/>
      <c r="IJY21" s="2950"/>
      <c r="IJZ21" s="2950"/>
      <c r="IKA21" s="2950"/>
      <c r="IKB21" s="2950"/>
      <c r="IKC21" s="2950"/>
      <c r="IKD21" s="2950"/>
      <c r="IKE21" s="2950"/>
      <c r="IKF21" s="2950"/>
      <c r="IKG21" s="2950"/>
      <c r="IKH21" s="2950"/>
      <c r="IKI21" s="2950"/>
      <c r="IKJ21" s="2950"/>
      <c r="IKK21" s="2950"/>
      <c r="IKL21" s="2950"/>
      <c r="IKM21" s="2950"/>
      <c r="IKN21" s="2950"/>
      <c r="IKO21" s="2950"/>
      <c r="IKP21" s="2950"/>
      <c r="IKQ21" s="2950"/>
      <c r="IKR21" s="2950"/>
      <c r="IKS21" s="2950"/>
      <c r="IKT21" s="2950"/>
      <c r="IKU21" s="2950"/>
      <c r="IKV21" s="2950"/>
      <c r="IKW21" s="2950"/>
      <c r="IKX21" s="2950"/>
      <c r="IKY21" s="2950"/>
      <c r="IKZ21" s="2950"/>
      <c r="ILA21" s="2950"/>
      <c r="ILB21" s="2950"/>
      <c r="ILC21" s="2950"/>
      <c r="ILD21" s="2950"/>
      <c r="ILE21" s="2950"/>
      <c r="ILF21" s="2950"/>
      <c r="ILG21" s="2950"/>
      <c r="ILH21" s="2950"/>
      <c r="ILI21" s="2950"/>
      <c r="ILJ21" s="2950"/>
      <c r="ILK21" s="2950"/>
      <c r="ILL21" s="2950"/>
      <c r="ILM21" s="2950"/>
      <c r="ILN21" s="2950"/>
      <c r="ILO21" s="2950"/>
      <c r="ILP21" s="2950"/>
      <c r="ILQ21" s="2950"/>
      <c r="ILR21" s="2950"/>
      <c r="ILS21" s="2950"/>
      <c r="ILT21" s="2950"/>
      <c r="ILU21" s="2950"/>
      <c r="ILV21" s="2950"/>
      <c r="ILW21" s="2950"/>
      <c r="ILX21" s="2950"/>
      <c r="ILY21" s="2950"/>
      <c r="ILZ21" s="2950"/>
      <c r="IMA21" s="2950"/>
      <c r="IMB21" s="2950"/>
      <c r="IMC21" s="2950"/>
      <c r="IMD21" s="2950"/>
      <c r="IME21" s="2950"/>
      <c r="IMF21" s="2950"/>
      <c r="IMG21" s="2950"/>
      <c r="IMH21" s="2950"/>
      <c r="IMI21" s="2950"/>
      <c r="IMJ21" s="2950"/>
      <c r="IMK21" s="2950"/>
      <c r="IML21" s="2950"/>
      <c r="IMM21" s="2950"/>
      <c r="IMN21" s="2950"/>
      <c r="IMO21" s="2950"/>
      <c r="IMP21" s="2950"/>
      <c r="IMQ21" s="2950"/>
      <c r="IMR21" s="2950"/>
      <c r="IMS21" s="2950"/>
      <c r="IMT21" s="2950"/>
      <c r="IMU21" s="2950"/>
      <c r="IMV21" s="2950"/>
      <c r="IMW21" s="2950"/>
      <c r="IMX21" s="2950"/>
      <c r="IMY21" s="2950"/>
      <c r="IMZ21" s="2950"/>
      <c r="INA21" s="2950"/>
      <c r="INB21" s="2950"/>
      <c r="INC21" s="2950"/>
      <c r="IND21" s="2950"/>
      <c r="INE21" s="2950"/>
      <c r="INF21" s="2950"/>
      <c r="ING21" s="2950"/>
      <c r="INH21" s="2950"/>
      <c r="INI21" s="2950"/>
      <c r="INJ21" s="2950"/>
      <c r="INK21" s="2950"/>
      <c r="INL21" s="2950"/>
      <c r="INM21" s="2950"/>
      <c r="INN21" s="2950"/>
      <c r="INO21" s="2950"/>
      <c r="INP21" s="2950"/>
      <c r="INQ21" s="2950"/>
      <c r="INR21" s="2950"/>
      <c r="INS21" s="2950"/>
      <c r="INT21" s="2950"/>
      <c r="INU21" s="2950"/>
      <c r="INV21" s="2950"/>
      <c r="INW21" s="2950"/>
      <c r="INX21" s="2950"/>
      <c r="INY21" s="2950"/>
      <c r="INZ21" s="2950"/>
      <c r="IOA21" s="2950"/>
      <c r="IOB21" s="2950"/>
      <c r="IOC21" s="2950"/>
      <c r="IOD21" s="2950"/>
      <c r="IOE21" s="2950"/>
      <c r="IOF21" s="2950"/>
      <c r="IOG21" s="2950"/>
      <c r="IOH21" s="2950"/>
      <c r="IOI21" s="2950"/>
      <c r="IOJ21" s="2950"/>
      <c r="IOK21" s="2950"/>
      <c r="IOL21" s="2950"/>
      <c r="IOM21" s="2950"/>
      <c r="ION21" s="2950"/>
      <c r="IOO21" s="2950"/>
      <c r="IOP21" s="2950"/>
      <c r="IOQ21" s="2950"/>
      <c r="IOR21" s="2950"/>
      <c r="IOS21" s="2950"/>
      <c r="IOT21" s="2950"/>
      <c r="IOU21" s="2950"/>
      <c r="IOV21" s="2950"/>
      <c r="IOW21" s="2950"/>
      <c r="IOX21" s="2950"/>
      <c r="IOY21" s="2950"/>
      <c r="IOZ21" s="2950"/>
      <c r="IPA21" s="2950"/>
      <c r="IPB21" s="2950"/>
      <c r="IPC21" s="2950"/>
      <c r="IPD21" s="2950"/>
      <c r="IPE21" s="2950"/>
      <c r="IPF21" s="2950"/>
      <c r="IPG21" s="2950"/>
      <c r="IPH21" s="2950"/>
      <c r="IPI21" s="2950"/>
      <c r="IPJ21" s="2950"/>
      <c r="IPK21" s="2950"/>
      <c r="IPL21" s="2950"/>
      <c r="IPM21" s="2950"/>
      <c r="IPN21" s="2950"/>
      <c r="IPO21" s="2950"/>
      <c r="IPP21" s="2950"/>
      <c r="IPQ21" s="2950"/>
      <c r="IPR21" s="2950"/>
      <c r="IPS21" s="2950"/>
      <c r="IPT21" s="2950"/>
      <c r="IPU21" s="2950"/>
      <c r="IPV21" s="2950"/>
      <c r="IPW21" s="2950"/>
      <c r="IPX21" s="2950"/>
      <c r="IPY21" s="2950"/>
      <c r="IPZ21" s="2950"/>
      <c r="IQA21" s="2950"/>
      <c r="IQB21" s="2950"/>
      <c r="IQC21" s="2950"/>
      <c r="IQD21" s="2950"/>
      <c r="IQE21" s="2950"/>
      <c r="IQF21" s="2950"/>
      <c r="IQG21" s="2950"/>
      <c r="IQH21" s="2950"/>
      <c r="IQI21" s="2950"/>
      <c r="IQJ21" s="2950"/>
      <c r="IQK21" s="2950"/>
      <c r="IQL21" s="2950"/>
      <c r="IQM21" s="2950"/>
      <c r="IQN21" s="2950"/>
      <c r="IQO21" s="2950"/>
      <c r="IQP21" s="2950"/>
      <c r="IQQ21" s="2950"/>
      <c r="IQR21" s="2950"/>
      <c r="IQS21" s="2950"/>
      <c r="IQT21" s="2950"/>
      <c r="IQU21" s="2950"/>
      <c r="IQV21" s="2950"/>
      <c r="IQW21" s="2950"/>
      <c r="IQX21" s="2950"/>
      <c r="IQY21" s="2950"/>
      <c r="IQZ21" s="2950"/>
      <c r="IRA21" s="2950"/>
      <c r="IRB21" s="2950"/>
      <c r="IRC21" s="2950"/>
      <c r="IRD21" s="2950"/>
      <c r="IRE21" s="2950"/>
      <c r="IRF21" s="2950"/>
      <c r="IRG21" s="2950"/>
      <c r="IRH21" s="2950"/>
      <c r="IRI21" s="2950"/>
      <c r="IRJ21" s="2950"/>
      <c r="IRK21" s="2950"/>
      <c r="IRL21" s="2950"/>
      <c r="IRM21" s="2950"/>
      <c r="IRN21" s="2950"/>
      <c r="IRO21" s="2950"/>
      <c r="IRP21" s="2950"/>
      <c r="IRQ21" s="2950"/>
      <c r="IRR21" s="2950"/>
      <c r="IRS21" s="2950"/>
      <c r="IRT21" s="2950"/>
      <c r="IRU21" s="2950"/>
      <c r="IRV21" s="2950"/>
      <c r="IRW21" s="2950"/>
      <c r="IRX21" s="2950"/>
      <c r="IRY21" s="2950"/>
      <c r="IRZ21" s="2950"/>
      <c r="ISA21" s="2950"/>
      <c r="ISB21" s="2950"/>
      <c r="ISC21" s="2950"/>
      <c r="ISD21" s="2950"/>
      <c r="ISE21" s="2950"/>
      <c r="ISF21" s="2950"/>
      <c r="ISG21" s="2950"/>
      <c r="ISH21" s="2950"/>
      <c r="ISI21" s="2950"/>
      <c r="ISJ21" s="2950"/>
      <c r="ISK21" s="2950"/>
      <c r="ISL21" s="2950"/>
      <c r="ISM21" s="2950"/>
      <c r="ISN21" s="2950"/>
      <c r="ISO21" s="2950"/>
      <c r="ISP21" s="2950"/>
      <c r="ISQ21" s="2950"/>
      <c r="ISR21" s="2950"/>
      <c r="ISS21" s="2950"/>
      <c r="IST21" s="2950"/>
      <c r="ISU21" s="2950"/>
      <c r="ISV21" s="2950"/>
      <c r="ISW21" s="2950"/>
      <c r="ISX21" s="2950"/>
      <c r="ISY21" s="2950"/>
      <c r="ISZ21" s="2950"/>
      <c r="ITA21" s="2950"/>
      <c r="ITB21" s="2950"/>
      <c r="ITC21" s="2950"/>
      <c r="ITD21" s="2950"/>
      <c r="ITE21" s="2950"/>
      <c r="ITF21" s="2950"/>
      <c r="ITG21" s="2950"/>
      <c r="ITH21" s="2950"/>
      <c r="ITI21" s="2950"/>
      <c r="ITJ21" s="2950"/>
      <c r="ITK21" s="2950"/>
      <c r="ITL21" s="2950"/>
      <c r="ITM21" s="2950"/>
      <c r="ITN21" s="2950"/>
      <c r="ITO21" s="2950"/>
      <c r="ITP21" s="2950"/>
      <c r="ITQ21" s="2950"/>
      <c r="ITR21" s="2950"/>
      <c r="ITS21" s="2950"/>
      <c r="ITT21" s="2950"/>
      <c r="ITU21" s="2950"/>
      <c r="ITV21" s="2950"/>
      <c r="ITW21" s="2950"/>
      <c r="ITX21" s="2950"/>
      <c r="ITY21" s="2950"/>
      <c r="ITZ21" s="2950"/>
      <c r="IUA21" s="2950"/>
      <c r="IUB21" s="2950"/>
      <c r="IUC21" s="2950"/>
      <c r="IUD21" s="2950"/>
      <c r="IUE21" s="2950"/>
      <c r="IUF21" s="2950"/>
      <c r="IUG21" s="2950"/>
      <c r="IUH21" s="2950"/>
      <c r="IUI21" s="2950"/>
      <c r="IUJ21" s="2950"/>
      <c r="IUK21" s="2950"/>
      <c r="IUL21" s="2950"/>
      <c r="IUM21" s="2950"/>
      <c r="IUN21" s="2950"/>
      <c r="IUO21" s="2950"/>
      <c r="IUP21" s="2950"/>
      <c r="IUQ21" s="2950"/>
      <c r="IUR21" s="2950"/>
      <c r="IUS21" s="2950"/>
      <c r="IUT21" s="2950"/>
      <c r="IUU21" s="2950"/>
      <c r="IUV21" s="2950"/>
      <c r="IUW21" s="2950"/>
      <c r="IUX21" s="2950"/>
      <c r="IUY21" s="2950"/>
      <c r="IUZ21" s="2950"/>
      <c r="IVA21" s="2950"/>
      <c r="IVB21" s="2950"/>
      <c r="IVC21" s="2950"/>
      <c r="IVD21" s="2950"/>
      <c r="IVE21" s="2950"/>
      <c r="IVF21" s="2950"/>
      <c r="IVG21" s="2950"/>
      <c r="IVH21" s="2950"/>
      <c r="IVI21" s="2950"/>
      <c r="IVJ21" s="2950"/>
      <c r="IVK21" s="2950"/>
      <c r="IVL21" s="2950"/>
      <c r="IVM21" s="2950"/>
      <c r="IVN21" s="2950"/>
      <c r="IVO21" s="2950"/>
      <c r="IVP21" s="2950"/>
      <c r="IVQ21" s="2950"/>
      <c r="IVR21" s="2950"/>
      <c r="IVS21" s="2950"/>
      <c r="IVT21" s="2950"/>
      <c r="IVU21" s="2950"/>
      <c r="IVV21" s="2950"/>
      <c r="IVW21" s="2950"/>
      <c r="IVX21" s="2950"/>
      <c r="IVY21" s="2950"/>
      <c r="IVZ21" s="2950"/>
      <c r="IWA21" s="2950"/>
      <c r="IWB21" s="2950"/>
      <c r="IWC21" s="2950"/>
      <c r="IWD21" s="2950"/>
      <c r="IWE21" s="2950"/>
      <c r="IWF21" s="2950"/>
      <c r="IWG21" s="2950"/>
      <c r="IWH21" s="2950"/>
      <c r="IWI21" s="2950"/>
      <c r="IWJ21" s="2950"/>
      <c r="IWK21" s="2950"/>
      <c r="IWL21" s="2950"/>
      <c r="IWM21" s="2950"/>
      <c r="IWN21" s="2950"/>
      <c r="IWO21" s="2950"/>
      <c r="IWP21" s="2950"/>
      <c r="IWQ21" s="2950"/>
      <c r="IWR21" s="2950"/>
      <c r="IWS21" s="2950"/>
      <c r="IWT21" s="2950"/>
      <c r="IWU21" s="2950"/>
      <c r="IWV21" s="2950"/>
      <c r="IWW21" s="2950"/>
      <c r="IWX21" s="2950"/>
      <c r="IWY21" s="2950"/>
      <c r="IWZ21" s="2950"/>
      <c r="IXA21" s="2950"/>
      <c r="IXB21" s="2950"/>
      <c r="IXC21" s="2950"/>
      <c r="IXD21" s="2950"/>
      <c r="IXE21" s="2950"/>
      <c r="IXF21" s="2950"/>
      <c r="IXG21" s="2950"/>
      <c r="IXH21" s="2950"/>
      <c r="IXI21" s="2950"/>
      <c r="IXJ21" s="2950"/>
      <c r="IXK21" s="2950"/>
      <c r="IXL21" s="2950"/>
      <c r="IXM21" s="2950"/>
      <c r="IXN21" s="2950"/>
      <c r="IXO21" s="2950"/>
      <c r="IXP21" s="2950"/>
      <c r="IXQ21" s="2950"/>
      <c r="IXR21" s="2950"/>
      <c r="IXS21" s="2950"/>
      <c r="IXT21" s="2950"/>
      <c r="IXU21" s="2950"/>
      <c r="IXV21" s="2950"/>
      <c r="IXW21" s="2950"/>
      <c r="IXX21" s="2950"/>
      <c r="IXY21" s="2950"/>
      <c r="IXZ21" s="2950"/>
      <c r="IYA21" s="2950"/>
      <c r="IYB21" s="2950"/>
      <c r="IYC21" s="2950"/>
      <c r="IYD21" s="2950"/>
      <c r="IYE21" s="2950"/>
      <c r="IYF21" s="2950"/>
      <c r="IYG21" s="2950"/>
      <c r="IYH21" s="2950"/>
      <c r="IYI21" s="2950"/>
      <c r="IYJ21" s="2950"/>
      <c r="IYK21" s="2950"/>
      <c r="IYL21" s="2950"/>
      <c r="IYM21" s="2950"/>
      <c r="IYN21" s="2950"/>
      <c r="IYO21" s="2950"/>
      <c r="IYP21" s="2950"/>
      <c r="IYQ21" s="2950"/>
      <c r="IYR21" s="2950"/>
      <c r="IYS21" s="2950"/>
      <c r="IYT21" s="2950"/>
      <c r="IYU21" s="2950"/>
      <c r="IYV21" s="2950"/>
      <c r="IYW21" s="2950"/>
      <c r="IYX21" s="2950"/>
      <c r="IYY21" s="2950"/>
      <c r="IYZ21" s="2950"/>
      <c r="IZA21" s="2950"/>
      <c r="IZB21" s="2950"/>
      <c r="IZC21" s="2950"/>
      <c r="IZD21" s="2950"/>
      <c r="IZE21" s="2950"/>
      <c r="IZF21" s="2950"/>
      <c r="IZG21" s="2950"/>
      <c r="IZH21" s="2950"/>
      <c r="IZI21" s="2950"/>
      <c r="IZJ21" s="2950"/>
      <c r="IZK21" s="2950"/>
      <c r="IZL21" s="2950"/>
      <c r="IZM21" s="2950"/>
      <c r="IZN21" s="2950"/>
      <c r="IZO21" s="2950"/>
      <c r="IZP21" s="2950"/>
      <c r="IZQ21" s="2950"/>
      <c r="IZR21" s="2950"/>
      <c r="IZS21" s="2950"/>
      <c r="IZT21" s="2950"/>
      <c r="IZU21" s="2950"/>
      <c r="IZV21" s="2950"/>
      <c r="IZW21" s="2950"/>
      <c r="IZX21" s="2950"/>
      <c r="IZY21" s="2950"/>
      <c r="IZZ21" s="2950"/>
      <c r="JAA21" s="2950"/>
      <c r="JAB21" s="2950"/>
      <c r="JAC21" s="2950"/>
      <c r="JAD21" s="2950"/>
      <c r="JAE21" s="2950"/>
      <c r="JAF21" s="2950"/>
      <c r="JAG21" s="2950"/>
      <c r="JAH21" s="2950"/>
      <c r="JAI21" s="2950"/>
      <c r="JAJ21" s="2950"/>
      <c r="JAK21" s="2950"/>
      <c r="JAL21" s="2950"/>
      <c r="JAM21" s="2950"/>
      <c r="JAN21" s="2950"/>
      <c r="JAO21" s="2950"/>
      <c r="JAP21" s="2950"/>
      <c r="JAQ21" s="2950"/>
      <c r="JAR21" s="2950"/>
      <c r="JAS21" s="2950"/>
      <c r="JAT21" s="2950"/>
      <c r="JAU21" s="2950"/>
      <c r="JAV21" s="2950"/>
      <c r="JAW21" s="2950"/>
      <c r="JAX21" s="2950"/>
      <c r="JAY21" s="2950"/>
      <c r="JAZ21" s="2950"/>
      <c r="JBA21" s="2950"/>
      <c r="JBB21" s="2950"/>
      <c r="JBC21" s="2950"/>
      <c r="JBD21" s="2950"/>
      <c r="JBE21" s="2950"/>
      <c r="JBF21" s="2950"/>
      <c r="JBG21" s="2950"/>
      <c r="JBH21" s="2950"/>
      <c r="JBI21" s="2950"/>
      <c r="JBJ21" s="2950"/>
      <c r="JBK21" s="2950"/>
      <c r="JBL21" s="2950"/>
      <c r="JBM21" s="2950"/>
      <c r="JBN21" s="2950"/>
      <c r="JBO21" s="2950"/>
      <c r="JBP21" s="2950"/>
      <c r="JBQ21" s="2950"/>
      <c r="JBR21" s="2950"/>
      <c r="JBS21" s="2950"/>
      <c r="JBT21" s="2950"/>
      <c r="JBU21" s="2950"/>
      <c r="JBV21" s="2950"/>
      <c r="JBW21" s="2950"/>
      <c r="JBX21" s="2950"/>
      <c r="JBY21" s="2950"/>
      <c r="JBZ21" s="2950"/>
      <c r="JCA21" s="2950"/>
      <c r="JCB21" s="2950"/>
      <c r="JCC21" s="2950"/>
      <c r="JCD21" s="2950"/>
      <c r="JCE21" s="2950"/>
      <c r="JCF21" s="2950"/>
      <c r="JCG21" s="2950"/>
      <c r="JCH21" s="2950"/>
      <c r="JCI21" s="2950"/>
      <c r="JCJ21" s="2950"/>
      <c r="JCK21" s="2950"/>
      <c r="JCL21" s="2950"/>
      <c r="JCM21" s="2950"/>
      <c r="JCN21" s="2950"/>
      <c r="JCO21" s="2950"/>
      <c r="JCP21" s="2950"/>
      <c r="JCQ21" s="2950"/>
      <c r="JCR21" s="2950"/>
      <c r="JCS21" s="2950"/>
      <c r="JCT21" s="2950"/>
      <c r="JCU21" s="2950"/>
      <c r="JCV21" s="2950"/>
      <c r="JCW21" s="2950"/>
      <c r="JCX21" s="2950"/>
      <c r="JCY21" s="2950"/>
      <c r="JCZ21" s="2950"/>
      <c r="JDA21" s="2950"/>
      <c r="JDB21" s="2950"/>
      <c r="JDC21" s="2950"/>
      <c r="JDD21" s="2950"/>
      <c r="JDE21" s="2950"/>
      <c r="JDF21" s="2950"/>
      <c r="JDG21" s="2950"/>
      <c r="JDH21" s="2950"/>
      <c r="JDI21" s="2950"/>
      <c r="JDJ21" s="2950"/>
      <c r="JDK21" s="2950"/>
      <c r="JDL21" s="2950"/>
      <c r="JDM21" s="2950"/>
      <c r="JDN21" s="2950"/>
      <c r="JDO21" s="2950"/>
      <c r="JDP21" s="2950"/>
      <c r="JDQ21" s="2950"/>
      <c r="JDR21" s="2950"/>
      <c r="JDS21" s="2950"/>
      <c r="JDT21" s="2950"/>
      <c r="JDU21" s="2950"/>
      <c r="JDV21" s="2950"/>
      <c r="JDW21" s="2950"/>
      <c r="JDX21" s="2950"/>
      <c r="JDY21" s="2950"/>
      <c r="JDZ21" s="2950"/>
      <c r="JEA21" s="2950"/>
      <c r="JEB21" s="2950"/>
      <c r="JEC21" s="2950"/>
      <c r="JED21" s="2950"/>
      <c r="JEE21" s="2950"/>
      <c r="JEF21" s="2950"/>
      <c r="JEG21" s="2950"/>
      <c r="JEH21" s="2950"/>
      <c r="JEI21" s="2950"/>
      <c r="JEJ21" s="2950"/>
      <c r="JEK21" s="2950"/>
      <c r="JEL21" s="2950"/>
      <c r="JEM21" s="2950"/>
      <c r="JEN21" s="2950"/>
      <c r="JEO21" s="2950"/>
      <c r="JEP21" s="2950"/>
      <c r="JEQ21" s="2950"/>
      <c r="JER21" s="2950"/>
      <c r="JES21" s="2950"/>
      <c r="JET21" s="2950"/>
      <c r="JEU21" s="2950"/>
      <c r="JEV21" s="2950"/>
      <c r="JEW21" s="2950"/>
      <c r="JEX21" s="2950"/>
      <c r="JEY21" s="2950"/>
      <c r="JEZ21" s="2950"/>
      <c r="JFA21" s="2950"/>
      <c r="JFB21" s="2950"/>
      <c r="JFC21" s="2950"/>
      <c r="JFD21" s="2950"/>
      <c r="JFE21" s="2950"/>
      <c r="JFF21" s="2950"/>
      <c r="JFG21" s="2950"/>
      <c r="JFH21" s="2950"/>
      <c r="JFI21" s="2950"/>
      <c r="JFJ21" s="2950"/>
      <c r="JFK21" s="2950"/>
      <c r="JFL21" s="2950"/>
      <c r="JFM21" s="2950"/>
      <c r="JFN21" s="2950"/>
      <c r="JFO21" s="2950"/>
      <c r="JFP21" s="2950"/>
      <c r="JFQ21" s="2950"/>
      <c r="JFR21" s="2950"/>
      <c r="JFS21" s="2950"/>
      <c r="JFT21" s="2950"/>
      <c r="JFU21" s="2950"/>
      <c r="JFV21" s="2950"/>
      <c r="JFW21" s="2950"/>
      <c r="JFX21" s="2950"/>
      <c r="JFY21" s="2950"/>
      <c r="JFZ21" s="2950"/>
      <c r="JGA21" s="2950"/>
      <c r="JGB21" s="2950"/>
      <c r="JGC21" s="2950"/>
      <c r="JGD21" s="2950"/>
      <c r="JGE21" s="2950"/>
      <c r="JGF21" s="2950"/>
      <c r="JGG21" s="2950"/>
      <c r="JGH21" s="2950"/>
      <c r="JGI21" s="2950"/>
      <c r="JGJ21" s="2950"/>
      <c r="JGK21" s="2950"/>
      <c r="JGL21" s="2950"/>
      <c r="JGM21" s="2950"/>
      <c r="JGN21" s="2950"/>
      <c r="JGO21" s="2950"/>
      <c r="JGP21" s="2950"/>
      <c r="JGQ21" s="2950"/>
      <c r="JGR21" s="2950"/>
      <c r="JGS21" s="2950"/>
      <c r="JGT21" s="2950"/>
      <c r="JGU21" s="2950"/>
      <c r="JGV21" s="2950"/>
      <c r="JGW21" s="2950"/>
      <c r="JGX21" s="2950"/>
      <c r="JGY21" s="2950"/>
      <c r="JGZ21" s="2950"/>
      <c r="JHA21" s="2950"/>
      <c r="JHB21" s="2950"/>
      <c r="JHC21" s="2950"/>
      <c r="JHD21" s="2950"/>
      <c r="JHE21" s="2950"/>
      <c r="JHF21" s="2950"/>
      <c r="JHG21" s="2950"/>
      <c r="JHH21" s="2950"/>
      <c r="JHI21" s="2950"/>
      <c r="JHJ21" s="2950"/>
      <c r="JHK21" s="2950"/>
      <c r="JHL21" s="2950"/>
      <c r="JHM21" s="2950"/>
      <c r="JHN21" s="2950"/>
      <c r="JHO21" s="2950"/>
      <c r="JHP21" s="2950"/>
      <c r="JHQ21" s="2950"/>
      <c r="JHR21" s="2950"/>
      <c r="JHS21" s="2950"/>
      <c r="JHT21" s="2950"/>
      <c r="JHU21" s="2950"/>
      <c r="JHV21" s="2950"/>
      <c r="JHW21" s="2950"/>
      <c r="JHX21" s="2950"/>
      <c r="JHY21" s="2950"/>
      <c r="JHZ21" s="2950"/>
      <c r="JIA21" s="2950"/>
      <c r="JIB21" s="2950"/>
      <c r="JIC21" s="2950"/>
      <c r="JID21" s="2950"/>
      <c r="JIE21" s="2950"/>
      <c r="JIF21" s="2950"/>
      <c r="JIG21" s="2950"/>
      <c r="JIH21" s="2950"/>
      <c r="JII21" s="2950"/>
      <c r="JIJ21" s="2950"/>
      <c r="JIK21" s="2950"/>
      <c r="JIL21" s="2950"/>
      <c r="JIM21" s="2950"/>
      <c r="JIN21" s="2950"/>
      <c r="JIO21" s="2950"/>
      <c r="JIP21" s="2950"/>
      <c r="JIQ21" s="2950"/>
      <c r="JIR21" s="2950"/>
      <c r="JIS21" s="2950"/>
      <c r="JIT21" s="2950"/>
      <c r="JIU21" s="2950"/>
      <c r="JIV21" s="2950"/>
      <c r="JIW21" s="2950"/>
      <c r="JIX21" s="2950"/>
      <c r="JIY21" s="2950"/>
      <c r="JIZ21" s="2950"/>
      <c r="JJA21" s="2950"/>
      <c r="JJB21" s="2950"/>
      <c r="JJC21" s="2950"/>
      <c r="JJD21" s="2950"/>
      <c r="JJE21" s="2950"/>
      <c r="JJF21" s="2950"/>
      <c r="JJG21" s="2950"/>
      <c r="JJH21" s="2950"/>
      <c r="JJI21" s="2950"/>
      <c r="JJJ21" s="2950"/>
      <c r="JJK21" s="2950"/>
      <c r="JJL21" s="2950"/>
      <c r="JJM21" s="2950"/>
      <c r="JJN21" s="2950"/>
      <c r="JJO21" s="2950"/>
      <c r="JJP21" s="2950"/>
      <c r="JJQ21" s="2950"/>
      <c r="JJR21" s="2950"/>
      <c r="JJS21" s="2950"/>
      <c r="JJT21" s="2950"/>
      <c r="JJU21" s="2950"/>
      <c r="JJV21" s="2950"/>
      <c r="JJW21" s="2950"/>
      <c r="JJX21" s="2950"/>
      <c r="JJY21" s="2950"/>
      <c r="JJZ21" s="2950"/>
      <c r="JKA21" s="2950"/>
      <c r="JKB21" s="2950"/>
      <c r="JKC21" s="2950"/>
      <c r="JKD21" s="2950"/>
      <c r="JKE21" s="2950"/>
      <c r="JKF21" s="2950"/>
      <c r="JKG21" s="2950"/>
      <c r="JKH21" s="2950"/>
      <c r="JKI21" s="2950"/>
      <c r="JKJ21" s="2950"/>
      <c r="JKK21" s="2950"/>
      <c r="JKL21" s="2950"/>
      <c r="JKM21" s="2950"/>
      <c r="JKN21" s="2950"/>
      <c r="JKO21" s="2950"/>
      <c r="JKP21" s="2950"/>
      <c r="JKQ21" s="2950"/>
      <c r="JKR21" s="2950"/>
      <c r="JKS21" s="2950"/>
      <c r="JKT21" s="2950"/>
      <c r="JKU21" s="2950"/>
      <c r="JKV21" s="2950"/>
      <c r="JKW21" s="2950"/>
      <c r="JKX21" s="2950"/>
      <c r="JKY21" s="2950"/>
      <c r="JKZ21" s="2950"/>
      <c r="JLA21" s="2950"/>
      <c r="JLB21" s="2950"/>
      <c r="JLC21" s="2950"/>
      <c r="JLD21" s="2950"/>
      <c r="JLE21" s="2950"/>
      <c r="JLF21" s="2950"/>
      <c r="JLG21" s="2950"/>
      <c r="JLH21" s="2950"/>
      <c r="JLI21" s="2950"/>
      <c r="JLJ21" s="2950"/>
      <c r="JLK21" s="2950"/>
      <c r="JLL21" s="2950"/>
      <c r="JLM21" s="2950"/>
      <c r="JLN21" s="2950"/>
      <c r="JLO21" s="2950"/>
      <c r="JLP21" s="2950"/>
      <c r="JLQ21" s="2950"/>
      <c r="JLR21" s="2950"/>
      <c r="JLS21" s="2950"/>
      <c r="JLT21" s="2950"/>
      <c r="JLU21" s="2950"/>
      <c r="JLV21" s="2950"/>
      <c r="JLW21" s="2950"/>
      <c r="JLX21" s="2950"/>
      <c r="JLY21" s="2950"/>
      <c r="JLZ21" s="2950"/>
      <c r="JMA21" s="2950"/>
      <c r="JMB21" s="2950"/>
      <c r="JMC21" s="2950"/>
      <c r="JMD21" s="2950"/>
      <c r="JME21" s="2950"/>
      <c r="JMF21" s="2950"/>
      <c r="JMG21" s="2950"/>
      <c r="JMH21" s="2950"/>
      <c r="JMI21" s="2950"/>
      <c r="JMJ21" s="2950"/>
      <c r="JMK21" s="2950"/>
      <c r="JML21" s="2950"/>
      <c r="JMM21" s="2950"/>
      <c r="JMN21" s="2950"/>
      <c r="JMO21" s="2950"/>
      <c r="JMP21" s="2950"/>
      <c r="JMQ21" s="2950"/>
      <c r="JMR21" s="2950"/>
      <c r="JMS21" s="2950"/>
      <c r="JMT21" s="2950"/>
      <c r="JMU21" s="2950"/>
      <c r="JMV21" s="2950"/>
      <c r="JMW21" s="2950"/>
      <c r="JMX21" s="2950"/>
      <c r="JMY21" s="2950"/>
      <c r="JMZ21" s="2950"/>
      <c r="JNA21" s="2950"/>
      <c r="JNB21" s="2950"/>
      <c r="JNC21" s="2950"/>
      <c r="JND21" s="2950"/>
      <c r="JNE21" s="2950"/>
      <c r="JNF21" s="2950"/>
      <c r="JNG21" s="2950"/>
      <c r="JNH21" s="2950"/>
      <c r="JNI21" s="2950"/>
      <c r="JNJ21" s="2950"/>
      <c r="JNK21" s="2950"/>
      <c r="JNL21" s="2950"/>
      <c r="JNM21" s="2950"/>
      <c r="JNN21" s="2950"/>
      <c r="JNO21" s="2950"/>
      <c r="JNP21" s="2950"/>
      <c r="JNQ21" s="2950"/>
      <c r="JNR21" s="2950"/>
      <c r="JNS21" s="2950"/>
      <c r="JNT21" s="2950"/>
      <c r="JNU21" s="2950"/>
      <c r="JNV21" s="2950"/>
      <c r="JNW21" s="2950"/>
      <c r="JNX21" s="2950"/>
      <c r="JNY21" s="2950"/>
      <c r="JNZ21" s="2950"/>
      <c r="JOA21" s="2950"/>
      <c r="JOB21" s="2950"/>
      <c r="JOC21" s="2950"/>
      <c r="JOD21" s="2950"/>
      <c r="JOE21" s="2950"/>
      <c r="JOF21" s="2950"/>
      <c r="JOG21" s="2950"/>
      <c r="JOH21" s="2950"/>
      <c r="JOI21" s="2950"/>
      <c r="JOJ21" s="2950"/>
      <c r="JOK21" s="2950"/>
      <c r="JOL21" s="2950"/>
      <c r="JOM21" s="2950"/>
      <c r="JON21" s="2950"/>
      <c r="JOO21" s="2950"/>
      <c r="JOP21" s="2950"/>
      <c r="JOQ21" s="2950"/>
      <c r="JOR21" s="2950"/>
      <c r="JOS21" s="2950"/>
      <c r="JOT21" s="2950"/>
      <c r="JOU21" s="2950"/>
      <c r="JOV21" s="2950"/>
      <c r="JOW21" s="2950"/>
      <c r="JOX21" s="2950"/>
      <c r="JOY21" s="2950"/>
      <c r="JOZ21" s="2950"/>
      <c r="JPA21" s="2950"/>
      <c r="JPB21" s="2950"/>
      <c r="JPC21" s="2950"/>
      <c r="JPD21" s="2950"/>
      <c r="JPE21" s="2950"/>
      <c r="JPF21" s="2950"/>
      <c r="JPG21" s="2950"/>
      <c r="JPH21" s="2950"/>
      <c r="JPI21" s="2950"/>
      <c r="JPJ21" s="2950"/>
      <c r="JPK21" s="2950"/>
      <c r="JPL21" s="2950"/>
      <c r="JPM21" s="2950"/>
      <c r="JPN21" s="2950"/>
      <c r="JPO21" s="2950"/>
      <c r="JPP21" s="2950"/>
      <c r="JPQ21" s="2950"/>
      <c r="JPR21" s="2950"/>
      <c r="JPS21" s="2950"/>
      <c r="JPT21" s="2950"/>
      <c r="JPU21" s="2950"/>
      <c r="JPV21" s="2950"/>
      <c r="JPW21" s="2950"/>
      <c r="JPX21" s="2950"/>
      <c r="JPY21" s="2950"/>
      <c r="JPZ21" s="2950"/>
      <c r="JQA21" s="2950"/>
      <c r="JQB21" s="2950"/>
      <c r="JQC21" s="2950"/>
      <c r="JQD21" s="2950"/>
      <c r="JQE21" s="2950"/>
      <c r="JQF21" s="2950"/>
      <c r="JQG21" s="2950"/>
      <c r="JQH21" s="2950"/>
      <c r="JQI21" s="2950"/>
      <c r="JQJ21" s="2950"/>
      <c r="JQK21" s="2950"/>
      <c r="JQL21" s="2950"/>
      <c r="JQM21" s="2950"/>
      <c r="JQN21" s="2950"/>
      <c r="JQO21" s="2950"/>
      <c r="JQP21" s="2950"/>
      <c r="JQQ21" s="2950"/>
      <c r="JQR21" s="2950"/>
      <c r="JQS21" s="2950"/>
      <c r="JQT21" s="2950"/>
      <c r="JQU21" s="2950"/>
      <c r="JQV21" s="2950"/>
      <c r="JQW21" s="2950"/>
      <c r="JQX21" s="2950"/>
      <c r="JQY21" s="2950"/>
      <c r="JQZ21" s="2950"/>
      <c r="JRA21" s="2950"/>
      <c r="JRB21" s="2950"/>
      <c r="JRC21" s="2950"/>
      <c r="JRD21" s="2950"/>
      <c r="JRE21" s="2950"/>
      <c r="JRF21" s="2950"/>
      <c r="JRG21" s="2950"/>
      <c r="JRH21" s="2950"/>
      <c r="JRI21" s="2950"/>
      <c r="JRJ21" s="2950"/>
      <c r="JRK21" s="2950"/>
      <c r="JRL21" s="2950"/>
      <c r="JRM21" s="2950"/>
      <c r="JRN21" s="2950"/>
      <c r="JRO21" s="2950"/>
      <c r="JRP21" s="2950"/>
      <c r="JRQ21" s="2950"/>
      <c r="JRR21" s="2950"/>
      <c r="JRS21" s="2950"/>
      <c r="JRT21" s="2950"/>
      <c r="JRU21" s="2950"/>
      <c r="JRV21" s="2950"/>
      <c r="JRW21" s="2950"/>
      <c r="JRX21" s="2950"/>
      <c r="JRY21" s="2950"/>
      <c r="JRZ21" s="2950"/>
      <c r="JSA21" s="2950"/>
      <c r="JSB21" s="2950"/>
      <c r="JSC21" s="2950"/>
      <c r="JSD21" s="2950"/>
      <c r="JSE21" s="2950"/>
      <c r="JSF21" s="2950"/>
      <c r="JSG21" s="2950"/>
      <c r="JSH21" s="2950"/>
      <c r="JSI21" s="2950"/>
      <c r="JSJ21" s="2950"/>
      <c r="JSK21" s="2950"/>
      <c r="JSL21" s="2950"/>
      <c r="JSM21" s="2950"/>
      <c r="JSN21" s="2950"/>
      <c r="JSO21" s="2950"/>
      <c r="JSP21" s="2950"/>
      <c r="JSQ21" s="2950"/>
      <c r="JSR21" s="2950"/>
      <c r="JSS21" s="2950"/>
      <c r="JST21" s="2950"/>
      <c r="JSU21" s="2950"/>
      <c r="JSV21" s="2950"/>
      <c r="JSW21" s="2950"/>
      <c r="JSX21" s="2950"/>
      <c r="JSY21" s="2950"/>
      <c r="JSZ21" s="2950"/>
      <c r="JTA21" s="2950"/>
      <c r="JTB21" s="2950"/>
      <c r="JTC21" s="2950"/>
      <c r="JTD21" s="2950"/>
      <c r="JTE21" s="2950"/>
      <c r="JTF21" s="2950"/>
      <c r="JTG21" s="2950"/>
      <c r="JTH21" s="2950"/>
      <c r="JTI21" s="2950"/>
      <c r="JTJ21" s="2950"/>
      <c r="JTK21" s="2950"/>
      <c r="JTL21" s="2950"/>
      <c r="JTM21" s="2950"/>
      <c r="JTN21" s="2950"/>
      <c r="JTO21" s="2950"/>
      <c r="JTP21" s="2950"/>
      <c r="JTQ21" s="2950"/>
      <c r="JTR21" s="2950"/>
      <c r="JTS21" s="2950"/>
      <c r="JTT21" s="2950"/>
      <c r="JTU21" s="2950"/>
      <c r="JTV21" s="2950"/>
      <c r="JTW21" s="2950"/>
      <c r="JTX21" s="2950"/>
      <c r="JTY21" s="2950"/>
      <c r="JTZ21" s="2950"/>
      <c r="JUA21" s="2950"/>
      <c r="JUB21" s="2950"/>
      <c r="JUC21" s="2950"/>
      <c r="JUD21" s="2950"/>
      <c r="JUE21" s="2950"/>
      <c r="JUF21" s="2950"/>
      <c r="JUG21" s="2950"/>
      <c r="JUH21" s="2950"/>
      <c r="JUI21" s="2950"/>
      <c r="JUJ21" s="2950"/>
      <c r="JUK21" s="2950"/>
      <c r="JUL21" s="2950"/>
      <c r="JUM21" s="2950"/>
      <c r="JUN21" s="2950"/>
      <c r="JUO21" s="2950"/>
      <c r="JUP21" s="2950"/>
      <c r="JUQ21" s="2950"/>
      <c r="JUR21" s="2950"/>
      <c r="JUS21" s="2950"/>
      <c r="JUT21" s="2950"/>
      <c r="JUU21" s="2950"/>
      <c r="JUV21" s="2950"/>
      <c r="JUW21" s="2950"/>
      <c r="JUX21" s="2950"/>
      <c r="JUY21" s="2950"/>
      <c r="JUZ21" s="2950"/>
      <c r="JVA21" s="2950"/>
      <c r="JVB21" s="2950"/>
      <c r="JVC21" s="2950"/>
      <c r="JVD21" s="2950"/>
      <c r="JVE21" s="2950"/>
      <c r="JVF21" s="2950"/>
      <c r="JVG21" s="2950"/>
      <c r="JVH21" s="2950"/>
      <c r="JVI21" s="2950"/>
      <c r="JVJ21" s="2950"/>
      <c r="JVK21" s="2950"/>
      <c r="JVL21" s="2950"/>
      <c r="JVM21" s="2950"/>
      <c r="JVN21" s="2950"/>
      <c r="JVO21" s="2950"/>
      <c r="JVP21" s="2950"/>
      <c r="JVQ21" s="2950"/>
      <c r="JVR21" s="2950"/>
      <c r="JVS21" s="2950"/>
      <c r="JVT21" s="2950"/>
      <c r="JVU21" s="2950"/>
      <c r="JVV21" s="2950"/>
      <c r="JVW21" s="2950"/>
      <c r="JVX21" s="2950"/>
      <c r="JVY21" s="2950"/>
      <c r="JVZ21" s="2950"/>
      <c r="JWA21" s="2950"/>
      <c r="JWB21" s="2950"/>
      <c r="JWC21" s="2950"/>
      <c r="JWD21" s="2950"/>
      <c r="JWE21" s="2950"/>
      <c r="JWF21" s="2950"/>
      <c r="JWG21" s="2950"/>
      <c r="JWH21" s="2950"/>
      <c r="JWI21" s="2950"/>
      <c r="JWJ21" s="2950"/>
      <c r="JWK21" s="2950"/>
      <c r="JWL21" s="2950"/>
      <c r="JWM21" s="2950"/>
      <c r="JWN21" s="2950"/>
      <c r="JWO21" s="2950"/>
      <c r="JWP21" s="2950"/>
      <c r="JWQ21" s="2950"/>
      <c r="JWR21" s="2950"/>
      <c r="JWS21" s="2950"/>
      <c r="JWT21" s="2950"/>
      <c r="JWU21" s="2950"/>
      <c r="JWV21" s="2950"/>
      <c r="JWW21" s="2950"/>
      <c r="JWX21" s="2950"/>
      <c r="JWY21" s="2950"/>
      <c r="JWZ21" s="2950"/>
      <c r="JXA21" s="2950"/>
      <c r="JXB21" s="2950"/>
      <c r="JXC21" s="2950"/>
      <c r="JXD21" s="2950"/>
      <c r="JXE21" s="2950"/>
      <c r="JXF21" s="2950"/>
      <c r="JXG21" s="2950"/>
      <c r="JXH21" s="2950"/>
      <c r="JXI21" s="2950"/>
      <c r="JXJ21" s="2950"/>
      <c r="JXK21" s="2950"/>
      <c r="JXL21" s="2950"/>
      <c r="JXM21" s="2950"/>
      <c r="JXN21" s="2950"/>
      <c r="JXO21" s="2950"/>
      <c r="JXP21" s="2950"/>
      <c r="JXQ21" s="2950"/>
      <c r="JXR21" s="2950"/>
      <c r="JXS21" s="2950"/>
      <c r="JXT21" s="2950"/>
      <c r="JXU21" s="2950"/>
      <c r="JXV21" s="2950"/>
      <c r="JXW21" s="2950"/>
      <c r="JXX21" s="2950"/>
      <c r="JXY21" s="2950"/>
      <c r="JXZ21" s="2950"/>
      <c r="JYA21" s="2950"/>
      <c r="JYB21" s="2950"/>
      <c r="JYC21" s="2950"/>
      <c r="JYD21" s="2950"/>
      <c r="JYE21" s="2950"/>
      <c r="JYF21" s="2950"/>
      <c r="JYG21" s="2950"/>
      <c r="JYH21" s="2950"/>
      <c r="JYI21" s="2950"/>
      <c r="JYJ21" s="2950"/>
      <c r="JYK21" s="2950"/>
      <c r="JYL21" s="2950"/>
      <c r="JYM21" s="2950"/>
      <c r="JYN21" s="2950"/>
      <c r="JYO21" s="2950"/>
      <c r="JYP21" s="2950"/>
      <c r="JYQ21" s="2950"/>
      <c r="JYR21" s="2950"/>
      <c r="JYS21" s="2950"/>
      <c r="JYT21" s="2950"/>
      <c r="JYU21" s="2950"/>
      <c r="JYV21" s="2950"/>
      <c r="JYW21" s="2950"/>
      <c r="JYX21" s="2950"/>
      <c r="JYY21" s="2950"/>
      <c r="JYZ21" s="2950"/>
      <c r="JZA21" s="2950"/>
      <c r="JZB21" s="2950"/>
      <c r="JZC21" s="2950"/>
      <c r="JZD21" s="2950"/>
      <c r="JZE21" s="2950"/>
      <c r="JZF21" s="2950"/>
      <c r="JZG21" s="2950"/>
      <c r="JZH21" s="2950"/>
      <c r="JZI21" s="2950"/>
      <c r="JZJ21" s="2950"/>
      <c r="JZK21" s="2950"/>
      <c r="JZL21" s="2950"/>
      <c r="JZM21" s="2950"/>
      <c r="JZN21" s="2950"/>
      <c r="JZO21" s="2950"/>
      <c r="JZP21" s="2950"/>
      <c r="JZQ21" s="2950"/>
      <c r="JZR21" s="2950"/>
      <c r="JZS21" s="2950"/>
      <c r="JZT21" s="2950"/>
      <c r="JZU21" s="2950"/>
      <c r="JZV21" s="2950"/>
      <c r="JZW21" s="2950"/>
      <c r="JZX21" s="2950"/>
      <c r="JZY21" s="2950"/>
      <c r="JZZ21" s="2950"/>
      <c r="KAA21" s="2950"/>
      <c r="KAB21" s="2950"/>
      <c r="KAC21" s="2950"/>
      <c r="KAD21" s="2950"/>
      <c r="KAE21" s="2950"/>
      <c r="KAF21" s="2950"/>
      <c r="KAG21" s="2950"/>
      <c r="KAH21" s="2950"/>
      <c r="KAI21" s="2950"/>
      <c r="KAJ21" s="2950"/>
      <c r="KAK21" s="2950"/>
      <c r="KAL21" s="2950"/>
      <c r="KAM21" s="2950"/>
      <c r="KAN21" s="2950"/>
      <c r="KAO21" s="2950"/>
      <c r="KAP21" s="2950"/>
      <c r="KAQ21" s="2950"/>
      <c r="KAR21" s="2950"/>
      <c r="KAS21" s="2950"/>
      <c r="KAT21" s="2950"/>
      <c r="KAU21" s="2950"/>
      <c r="KAV21" s="2950"/>
      <c r="KAW21" s="2950"/>
      <c r="KAX21" s="2950"/>
      <c r="KAY21" s="2950"/>
      <c r="KAZ21" s="2950"/>
      <c r="KBA21" s="2950"/>
      <c r="KBB21" s="2950"/>
      <c r="KBC21" s="2950"/>
      <c r="KBD21" s="2950"/>
      <c r="KBE21" s="2950"/>
      <c r="KBF21" s="2950"/>
      <c r="KBG21" s="2950"/>
      <c r="KBH21" s="2950"/>
      <c r="KBI21" s="2950"/>
      <c r="KBJ21" s="2950"/>
      <c r="KBK21" s="2950"/>
      <c r="KBL21" s="2950"/>
      <c r="KBM21" s="2950"/>
      <c r="KBN21" s="2950"/>
      <c r="KBO21" s="2950"/>
      <c r="KBP21" s="2950"/>
      <c r="KBQ21" s="2950"/>
      <c r="KBR21" s="2950"/>
      <c r="KBS21" s="2950"/>
      <c r="KBT21" s="2950"/>
      <c r="KBU21" s="2950"/>
      <c r="KBV21" s="2950"/>
      <c r="KBW21" s="2950"/>
      <c r="KBX21" s="2950"/>
      <c r="KBY21" s="2950"/>
      <c r="KBZ21" s="2950"/>
      <c r="KCA21" s="2950"/>
      <c r="KCB21" s="2950"/>
      <c r="KCC21" s="2950"/>
      <c r="KCD21" s="2950"/>
      <c r="KCE21" s="2950"/>
      <c r="KCF21" s="2950"/>
      <c r="KCG21" s="2950"/>
      <c r="KCH21" s="2950"/>
      <c r="KCI21" s="2950"/>
      <c r="KCJ21" s="2950"/>
      <c r="KCK21" s="2950"/>
      <c r="KCL21" s="2950"/>
      <c r="KCM21" s="2950"/>
      <c r="KCN21" s="2950"/>
      <c r="KCO21" s="2950"/>
      <c r="KCP21" s="2950"/>
      <c r="KCQ21" s="2950"/>
      <c r="KCR21" s="2950"/>
      <c r="KCS21" s="2950"/>
      <c r="KCT21" s="2950"/>
      <c r="KCU21" s="2950"/>
      <c r="KCV21" s="2950"/>
      <c r="KCW21" s="2950"/>
      <c r="KCX21" s="2950"/>
      <c r="KCY21" s="2950"/>
      <c r="KCZ21" s="2950"/>
      <c r="KDA21" s="2950"/>
      <c r="KDB21" s="2950"/>
      <c r="KDC21" s="2950"/>
      <c r="KDD21" s="2950"/>
      <c r="KDE21" s="2950"/>
      <c r="KDF21" s="2950"/>
      <c r="KDG21" s="2950"/>
      <c r="KDH21" s="2950"/>
      <c r="KDI21" s="2950"/>
      <c r="KDJ21" s="2950"/>
      <c r="KDK21" s="2950"/>
      <c r="KDL21" s="2950"/>
      <c r="KDM21" s="2950"/>
      <c r="KDN21" s="2950"/>
      <c r="KDO21" s="2950"/>
      <c r="KDP21" s="2950"/>
      <c r="KDQ21" s="2950"/>
      <c r="KDR21" s="2950"/>
      <c r="KDS21" s="2950"/>
      <c r="KDT21" s="2950"/>
      <c r="KDU21" s="2950"/>
      <c r="KDV21" s="2950"/>
      <c r="KDW21" s="2950"/>
      <c r="KDX21" s="2950"/>
      <c r="KDY21" s="2950"/>
      <c r="KDZ21" s="2950"/>
      <c r="KEA21" s="2950"/>
      <c r="KEB21" s="2950"/>
      <c r="KEC21" s="2950"/>
      <c r="KED21" s="2950"/>
      <c r="KEE21" s="2950"/>
      <c r="KEF21" s="2950"/>
      <c r="KEG21" s="2950"/>
      <c r="KEH21" s="2950"/>
      <c r="KEI21" s="2950"/>
      <c r="KEJ21" s="2950"/>
      <c r="KEK21" s="2950"/>
      <c r="KEL21" s="2950"/>
      <c r="KEM21" s="2950"/>
      <c r="KEN21" s="2950"/>
      <c r="KEO21" s="2950"/>
      <c r="KEP21" s="2950"/>
      <c r="KEQ21" s="2950"/>
      <c r="KER21" s="2950"/>
      <c r="KES21" s="2950"/>
      <c r="KET21" s="2950"/>
      <c r="KEU21" s="2950"/>
      <c r="KEV21" s="2950"/>
      <c r="KEW21" s="2950"/>
      <c r="KEX21" s="2950"/>
      <c r="KEY21" s="2950"/>
      <c r="KEZ21" s="2950"/>
      <c r="KFA21" s="2950"/>
      <c r="KFB21" s="2950"/>
      <c r="KFC21" s="2950"/>
      <c r="KFD21" s="2950"/>
      <c r="KFE21" s="2950"/>
      <c r="KFF21" s="2950"/>
      <c r="KFG21" s="2950"/>
      <c r="KFH21" s="2950"/>
      <c r="KFI21" s="2950"/>
      <c r="KFJ21" s="2950"/>
      <c r="KFK21" s="2950"/>
      <c r="KFL21" s="2950"/>
      <c r="KFM21" s="2950"/>
      <c r="KFN21" s="2950"/>
      <c r="KFO21" s="2950"/>
      <c r="KFP21" s="2950"/>
      <c r="KFQ21" s="2950"/>
      <c r="KFR21" s="2950"/>
      <c r="KFS21" s="2950"/>
      <c r="KFT21" s="2950"/>
      <c r="KFU21" s="2950"/>
      <c r="KFV21" s="2950"/>
      <c r="KFW21" s="2950"/>
      <c r="KFX21" s="2950"/>
      <c r="KFY21" s="2950"/>
      <c r="KFZ21" s="2950"/>
      <c r="KGA21" s="2950"/>
      <c r="KGB21" s="2950"/>
      <c r="KGC21" s="2950"/>
      <c r="KGD21" s="2950"/>
      <c r="KGE21" s="2950"/>
      <c r="KGF21" s="2950"/>
      <c r="KGG21" s="2950"/>
      <c r="KGH21" s="2950"/>
      <c r="KGI21" s="2950"/>
      <c r="KGJ21" s="2950"/>
      <c r="KGK21" s="2950"/>
      <c r="KGL21" s="2950"/>
      <c r="KGM21" s="2950"/>
      <c r="KGN21" s="2950"/>
      <c r="KGO21" s="2950"/>
      <c r="KGP21" s="2950"/>
      <c r="KGQ21" s="2950"/>
      <c r="KGR21" s="2950"/>
      <c r="KGS21" s="2950"/>
      <c r="KGT21" s="2950"/>
      <c r="KGU21" s="2950"/>
      <c r="KGV21" s="2950"/>
      <c r="KGW21" s="2950"/>
      <c r="KGX21" s="2950"/>
      <c r="KGY21" s="2950"/>
      <c r="KGZ21" s="2950"/>
      <c r="KHA21" s="2950"/>
      <c r="KHB21" s="2950"/>
      <c r="KHC21" s="2950"/>
      <c r="KHD21" s="2950"/>
      <c r="KHE21" s="2950"/>
      <c r="KHF21" s="2950"/>
      <c r="KHG21" s="2950"/>
      <c r="KHH21" s="2950"/>
      <c r="KHI21" s="2950"/>
      <c r="KHJ21" s="2950"/>
      <c r="KHK21" s="2950"/>
      <c r="KHL21" s="2950"/>
      <c r="KHM21" s="2950"/>
      <c r="KHN21" s="2950"/>
      <c r="KHO21" s="2950"/>
      <c r="KHP21" s="2950"/>
      <c r="KHQ21" s="2950"/>
      <c r="KHR21" s="2950"/>
      <c r="KHS21" s="2950"/>
      <c r="KHT21" s="2950"/>
      <c r="KHU21" s="2950"/>
      <c r="KHV21" s="2950"/>
      <c r="KHW21" s="2950"/>
      <c r="KHX21" s="2950"/>
      <c r="KHY21" s="2950"/>
      <c r="KHZ21" s="2950"/>
      <c r="KIA21" s="2950"/>
      <c r="KIB21" s="2950"/>
      <c r="KIC21" s="2950"/>
      <c r="KID21" s="2950"/>
      <c r="KIE21" s="2950"/>
      <c r="KIF21" s="2950"/>
      <c r="KIG21" s="2950"/>
      <c r="KIH21" s="2950"/>
      <c r="KII21" s="2950"/>
      <c r="KIJ21" s="2950"/>
      <c r="KIK21" s="2950"/>
      <c r="KIL21" s="2950"/>
      <c r="KIM21" s="2950"/>
      <c r="KIN21" s="2950"/>
      <c r="KIO21" s="2950"/>
      <c r="KIP21" s="2950"/>
      <c r="KIQ21" s="2950"/>
      <c r="KIR21" s="2950"/>
      <c r="KIS21" s="2950"/>
      <c r="KIT21" s="2950"/>
      <c r="KIU21" s="2950"/>
      <c r="KIV21" s="2950"/>
      <c r="KIW21" s="2950"/>
      <c r="KIX21" s="2950"/>
      <c r="KIY21" s="2950"/>
      <c r="KIZ21" s="2950"/>
      <c r="KJA21" s="2950"/>
      <c r="KJB21" s="2950"/>
      <c r="KJC21" s="2950"/>
      <c r="KJD21" s="2950"/>
      <c r="KJE21" s="2950"/>
      <c r="KJF21" s="2950"/>
      <c r="KJG21" s="2950"/>
      <c r="KJH21" s="2950"/>
      <c r="KJI21" s="2950"/>
      <c r="KJJ21" s="2950"/>
      <c r="KJK21" s="2950"/>
      <c r="KJL21" s="2950"/>
      <c r="KJM21" s="2950"/>
      <c r="KJN21" s="2950"/>
      <c r="KJO21" s="2950"/>
      <c r="KJP21" s="2950"/>
      <c r="KJQ21" s="2950"/>
      <c r="KJR21" s="2950"/>
      <c r="KJS21" s="2950"/>
      <c r="KJT21" s="2950"/>
      <c r="KJU21" s="2950"/>
      <c r="KJV21" s="2950"/>
      <c r="KJW21" s="2950"/>
      <c r="KJX21" s="2950"/>
      <c r="KJY21" s="2950"/>
      <c r="KJZ21" s="2950"/>
      <c r="KKA21" s="2950"/>
      <c r="KKB21" s="2950"/>
      <c r="KKC21" s="2950"/>
      <c r="KKD21" s="2950"/>
      <c r="KKE21" s="2950"/>
      <c r="KKF21" s="2950"/>
      <c r="KKG21" s="2950"/>
      <c r="KKH21" s="2950"/>
      <c r="KKI21" s="2950"/>
      <c r="KKJ21" s="2950"/>
      <c r="KKK21" s="2950"/>
      <c r="KKL21" s="2950"/>
      <c r="KKM21" s="2950"/>
      <c r="KKN21" s="2950"/>
      <c r="KKO21" s="2950"/>
      <c r="KKP21" s="2950"/>
      <c r="KKQ21" s="2950"/>
      <c r="KKR21" s="2950"/>
      <c r="KKS21" s="2950"/>
      <c r="KKT21" s="2950"/>
      <c r="KKU21" s="2950"/>
      <c r="KKV21" s="2950"/>
      <c r="KKW21" s="2950"/>
      <c r="KKX21" s="2950"/>
      <c r="KKY21" s="2950"/>
      <c r="KKZ21" s="2950"/>
      <c r="KLA21" s="2950"/>
      <c r="KLB21" s="2950"/>
      <c r="KLC21" s="2950"/>
      <c r="KLD21" s="2950"/>
      <c r="KLE21" s="2950"/>
      <c r="KLF21" s="2950"/>
      <c r="KLG21" s="2950"/>
      <c r="KLH21" s="2950"/>
      <c r="KLI21" s="2950"/>
      <c r="KLJ21" s="2950"/>
      <c r="KLK21" s="2950"/>
      <c r="KLL21" s="2950"/>
      <c r="KLM21" s="2950"/>
      <c r="KLN21" s="2950"/>
      <c r="KLO21" s="2950"/>
      <c r="KLP21" s="2950"/>
      <c r="KLQ21" s="2950"/>
      <c r="KLR21" s="2950"/>
      <c r="KLS21" s="2950"/>
      <c r="KLT21" s="2950"/>
      <c r="KLU21" s="2950"/>
      <c r="KLV21" s="2950"/>
      <c r="KLW21" s="2950"/>
      <c r="KLX21" s="2950"/>
      <c r="KLY21" s="2950"/>
      <c r="KLZ21" s="2950"/>
      <c r="KMA21" s="2950"/>
      <c r="KMB21" s="2950"/>
      <c r="KMC21" s="2950"/>
      <c r="KMD21" s="2950"/>
      <c r="KME21" s="2950"/>
      <c r="KMF21" s="2950"/>
      <c r="KMG21" s="2950"/>
      <c r="KMH21" s="2950"/>
      <c r="KMI21" s="2950"/>
      <c r="KMJ21" s="2950"/>
      <c r="KMK21" s="2950"/>
      <c r="KML21" s="2950"/>
      <c r="KMM21" s="2950"/>
      <c r="KMN21" s="2950"/>
      <c r="KMO21" s="2950"/>
      <c r="KMP21" s="2950"/>
      <c r="KMQ21" s="2950"/>
      <c r="KMR21" s="2950"/>
      <c r="KMS21" s="2950"/>
      <c r="KMT21" s="2950"/>
      <c r="KMU21" s="2950"/>
      <c r="KMV21" s="2950"/>
      <c r="KMW21" s="2950"/>
      <c r="KMX21" s="2950"/>
      <c r="KMY21" s="2950"/>
      <c r="KMZ21" s="2950"/>
      <c r="KNA21" s="2950"/>
      <c r="KNB21" s="2950"/>
      <c r="KNC21" s="2950"/>
      <c r="KND21" s="2950"/>
      <c r="KNE21" s="2950"/>
      <c r="KNF21" s="2950"/>
      <c r="KNG21" s="2950"/>
      <c r="KNH21" s="2950"/>
      <c r="KNI21" s="2950"/>
      <c r="KNJ21" s="2950"/>
      <c r="KNK21" s="2950"/>
      <c r="KNL21" s="2950"/>
      <c r="KNM21" s="2950"/>
      <c r="KNN21" s="2950"/>
      <c r="KNO21" s="2950"/>
      <c r="KNP21" s="2950"/>
      <c r="KNQ21" s="2950"/>
      <c r="KNR21" s="2950"/>
      <c r="KNS21" s="2950"/>
      <c r="KNT21" s="2950"/>
      <c r="KNU21" s="2950"/>
      <c r="KNV21" s="2950"/>
      <c r="KNW21" s="2950"/>
      <c r="KNX21" s="2950"/>
      <c r="KNY21" s="2950"/>
      <c r="KNZ21" s="2950"/>
      <c r="KOA21" s="2950"/>
      <c r="KOB21" s="2950"/>
      <c r="KOC21" s="2950"/>
      <c r="KOD21" s="2950"/>
      <c r="KOE21" s="2950"/>
      <c r="KOF21" s="2950"/>
      <c r="KOG21" s="2950"/>
      <c r="KOH21" s="2950"/>
      <c r="KOI21" s="2950"/>
      <c r="KOJ21" s="2950"/>
      <c r="KOK21" s="2950"/>
      <c r="KOL21" s="2950"/>
      <c r="KOM21" s="2950"/>
      <c r="KON21" s="2950"/>
      <c r="KOO21" s="2950"/>
      <c r="KOP21" s="2950"/>
      <c r="KOQ21" s="2950"/>
      <c r="KOR21" s="2950"/>
      <c r="KOS21" s="2950"/>
      <c r="KOT21" s="2950"/>
      <c r="KOU21" s="2950"/>
      <c r="KOV21" s="2950"/>
      <c r="KOW21" s="2950"/>
      <c r="KOX21" s="2950"/>
      <c r="KOY21" s="2950"/>
      <c r="KOZ21" s="2950"/>
      <c r="KPA21" s="2950"/>
      <c r="KPB21" s="2950"/>
      <c r="KPC21" s="2950"/>
      <c r="KPD21" s="2950"/>
      <c r="KPE21" s="2950"/>
      <c r="KPF21" s="2950"/>
      <c r="KPG21" s="2950"/>
      <c r="KPH21" s="2950"/>
      <c r="KPI21" s="2950"/>
      <c r="KPJ21" s="2950"/>
      <c r="KPK21" s="2950"/>
      <c r="KPL21" s="2950"/>
      <c r="KPM21" s="2950"/>
      <c r="KPN21" s="2950"/>
      <c r="KPO21" s="2950"/>
      <c r="KPP21" s="2950"/>
      <c r="KPQ21" s="2950"/>
      <c r="KPR21" s="2950"/>
      <c r="KPS21" s="2950"/>
      <c r="KPT21" s="2950"/>
      <c r="KPU21" s="2950"/>
      <c r="KPV21" s="2950"/>
      <c r="KPW21" s="2950"/>
      <c r="KPX21" s="2950"/>
      <c r="KPY21" s="2950"/>
      <c r="KPZ21" s="2950"/>
      <c r="KQA21" s="2950"/>
      <c r="KQB21" s="2950"/>
      <c r="KQC21" s="2950"/>
      <c r="KQD21" s="2950"/>
      <c r="KQE21" s="2950"/>
      <c r="KQF21" s="2950"/>
      <c r="KQG21" s="2950"/>
      <c r="KQH21" s="2950"/>
      <c r="KQI21" s="2950"/>
      <c r="KQJ21" s="2950"/>
      <c r="KQK21" s="2950"/>
      <c r="KQL21" s="2950"/>
      <c r="KQM21" s="2950"/>
      <c r="KQN21" s="2950"/>
      <c r="KQO21" s="2950"/>
      <c r="KQP21" s="2950"/>
      <c r="KQQ21" s="2950"/>
      <c r="KQR21" s="2950"/>
      <c r="KQS21" s="2950"/>
      <c r="KQT21" s="2950"/>
      <c r="KQU21" s="2950"/>
      <c r="KQV21" s="2950"/>
      <c r="KQW21" s="2950"/>
      <c r="KQX21" s="2950"/>
      <c r="KQY21" s="2950"/>
      <c r="KQZ21" s="2950"/>
      <c r="KRA21" s="2950"/>
      <c r="KRB21" s="2950"/>
      <c r="KRC21" s="2950"/>
      <c r="KRD21" s="2950"/>
      <c r="KRE21" s="2950"/>
      <c r="KRF21" s="2950"/>
      <c r="KRG21" s="2950"/>
      <c r="KRH21" s="2950"/>
      <c r="KRI21" s="2950"/>
      <c r="KRJ21" s="2950"/>
      <c r="KRK21" s="2950"/>
      <c r="KRL21" s="2950"/>
      <c r="KRM21" s="2950"/>
      <c r="KRN21" s="2950"/>
      <c r="KRO21" s="2950"/>
      <c r="KRP21" s="2950"/>
      <c r="KRQ21" s="2950"/>
      <c r="KRR21" s="2950"/>
      <c r="KRS21" s="2950"/>
      <c r="KRT21" s="2950"/>
      <c r="KRU21" s="2950"/>
      <c r="KRV21" s="2950"/>
      <c r="KRW21" s="2950"/>
      <c r="KRX21" s="2950"/>
      <c r="KRY21" s="2950"/>
      <c r="KRZ21" s="2950"/>
      <c r="KSA21" s="2950"/>
      <c r="KSB21" s="2950"/>
      <c r="KSC21" s="2950"/>
      <c r="KSD21" s="2950"/>
      <c r="KSE21" s="2950"/>
      <c r="KSF21" s="2950"/>
      <c r="KSG21" s="2950"/>
      <c r="KSH21" s="2950"/>
      <c r="KSI21" s="2950"/>
      <c r="KSJ21" s="2950"/>
      <c r="KSK21" s="2950"/>
      <c r="KSL21" s="2950"/>
      <c r="KSM21" s="2950"/>
      <c r="KSN21" s="2950"/>
      <c r="KSO21" s="2950"/>
      <c r="KSP21" s="2950"/>
      <c r="KSQ21" s="2950"/>
      <c r="KSR21" s="2950"/>
      <c r="KSS21" s="2950"/>
      <c r="KST21" s="2950"/>
      <c r="KSU21" s="2950"/>
      <c r="KSV21" s="2950"/>
      <c r="KSW21" s="2950"/>
      <c r="KSX21" s="2950"/>
      <c r="KSY21" s="2950"/>
      <c r="KSZ21" s="2950"/>
      <c r="KTA21" s="2950"/>
      <c r="KTB21" s="2950"/>
      <c r="KTC21" s="2950"/>
      <c r="KTD21" s="2950"/>
      <c r="KTE21" s="2950"/>
      <c r="KTF21" s="2950"/>
      <c r="KTG21" s="2950"/>
      <c r="KTH21" s="2950"/>
      <c r="KTI21" s="2950"/>
      <c r="KTJ21" s="2950"/>
      <c r="KTK21" s="2950"/>
      <c r="KTL21" s="2950"/>
      <c r="KTM21" s="2950"/>
      <c r="KTN21" s="2950"/>
      <c r="KTO21" s="2950"/>
      <c r="KTP21" s="2950"/>
      <c r="KTQ21" s="2950"/>
      <c r="KTR21" s="2950"/>
      <c r="KTS21" s="2950"/>
      <c r="KTT21" s="2950"/>
      <c r="KTU21" s="2950"/>
      <c r="KTV21" s="2950"/>
      <c r="KTW21" s="2950"/>
      <c r="KTX21" s="2950"/>
      <c r="KTY21" s="2950"/>
      <c r="KTZ21" s="2950"/>
      <c r="KUA21" s="2950"/>
      <c r="KUB21" s="2950"/>
      <c r="KUC21" s="2950"/>
      <c r="KUD21" s="2950"/>
      <c r="KUE21" s="2950"/>
      <c r="KUF21" s="2950"/>
      <c r="KUG21" s="2950"/>
      <c r="KUH21" s="2950"/>
      <c r="KUI21" s="2950"/>
      <c r="KUJ21" s="2950"/>
      <c r="KUK21" s="2950"/>
      <c r="KUL21" s="2950"/>
      <c r="KUM21" s="2950"/>
      <c r="KUN21" s="2950"/>
      <c r="KUO21" s="2950"/>
      <c r="KUP21" s="2950"/>
      <c r="KUQ21" s="2950"/>
      <c r="KUR21" s="2950"/>
      <c r="KUS21" s="2950"/>
      <c r="KUT21" s="2950"/>
      <c r="KUU21" s="2950"/>
      <c r="KUV21" s="2950"/>
      <c r="KUW21" s="2950"/>
      <c r="KUX21" s="2950"/>
      <c r="KUY21" s="2950"/>
      <c r="KUZ21" s="2950"/>
      <c r="KVA21" s="2950"/>
      <c r="KVB21" s="2950"/>
      <c r="KVC21" s="2950"/>
      <c r="KVD21" s="2950"/>
      <c r="KVE21" s="2950"/>
      <c r="KVF21" s="2950"/>
      <c r="KVG21" s="2950"/>
      <c r="KVH21" s="2950"/>
      <c r="KVI21" s="2950"/>
      <c r="KVJ21" s="2950"/>
      <c r="KVK21" s="2950"/>
      <c r="KVL21" s="2950"/>
      <c r="KVM21" s="2950"/>
      <c r="KVN21" s="2950"/>
      <c r="KVO21" s="2950"/>
      <c r="KVP21" s="2950"/>
      <c r="KVQ21" s="2950"/>
      <c r="KVR21" s="2950"/>
      <c r="KVS21" s="2950"/>
      <c r="KVT21" s="2950"/>
      <c r="KVU21" s="2950"/>
      <c r="KVV21" s="2950"/>
      <c r="KVW21" s="2950"/>
      <c r="KVX21" s="2950"/>
      <c r="KVY21" s="2950"/>
      <c r="KVZ21" s="2950"/>
      <c r="KWA21" s="2950"/>
      <c r="KWB21" s="2950"/>
      <c r="KWC21" s="2950"/>
      <c r="KWD21" s="2950"/>
      <c r="KWE21" s="2950"/>
      <c r="KWF21" s="2950"/>
      <c r="KWG21" s="2950"/>
      <c r="KWH21" s="2950"/>
      <c r="KWI21" s="2950"/>
      <c r="KWJ21" s="2950"/>
      <c r="KWK21" s="2950"/>
      <c r="KWL21" s="2950"/>
      <c r="KWM21" s="2950"/>
      <c r="KWN21" s="2950"/>
      <c r="KWO21" s="2950"/>
      <c r="KWP21" s="2950"/>
      <c r="KWQ21" s="2950"/>
      <c r="KWR21" s="2950"/>
      <c r="KWS21" s="2950"/>
      <c r="KWT21" s="2950"/>
      <c r="KWU21" s="2950"/>
      <c r="KWV21" s="2950"/>
      <c r="KWW21" s="2950"/>
      <c r="KWX21" s="2950"/>
      <c r="KWY21" s="2950"/>
      <c r="KWZ21" s="2950"/>
      <c r="KXA21" s="2950"/>
      <c r="KXB21" s="2950"/>
      <c r="KXC21" s="2950"/>
      <c r="KXD21" s="2950"/>
      <c r="KXE21" s="2950"/>
      <c r="KXF21" s="2950"/>
      <c r="KXG21" s="2950"/>
      <c r="KXH21" s="2950"/>
      <c r="KXI21" s="2950"/>
      <c r="KXJ21" s="2950"/>
      <c r="KXK21" s="2950"/>
      <c r="KXL21" s="2950"/>
      <c r="KXM21" s="2950"/>
      <c r="KXN21" s="2950"/>
      <c r="KXO21" s="2950"/>
      <c r="KXP21" s="2950"/>
      <c r="KXQ21" s="2950"/>
      <c r="KXR21" s="2950"/>
      <c r="KXS21" s="2950"/>
      <c r="KXT21" s="2950"/>
      <c r="KXU21" s="2950"/>
      <c r="KXV21" s="2950"/>
      <c r="KXW21" s="2950"/>
      <c r="KXX21" s="2950"/>
      <c r="KXY21" s="2950"/>
      <c r="KXZ21" s="2950"/>
      <c r="KYA21" s="2950"/>
      <c r="KYB21" s="2950"/>
      <c r="KYC21" s="2950"/>
      <c r="KYD21" s="2950"/>
      <c r="KYE21" s="2950"/>
      <c r="KYF21" s="2950"/>
      <c r="KYG21" s="2950"/>
      <c r="KYH21" s="2950"/>
      <c r="KYI21" s="2950"/>
      <c r="KYJ21" s="2950"/>
      <c r="KYK21" s="2950"/>
      <c r="KYL21" s="2950"/>
      <c r="KYM21" s="2950"/>
      <c r="KYN21" s="2950"/>
      <c r="KYO21" s="2950"/>
      <c r="KYP21" s="2950"/>
      <c r="KYQ21" s="2950"/>
      <c r="KYR21" s="2950"/>
      <c r="KYS21" s="2950"/>
      <c r="KYT21" s="2950"/>
      <c r="KYU21" s="2950"/>
      <c r="KYV21" s="2950"/>
      <c r="KYW21" s="2950"/>
      <c r="KYX21" s="2950"/>
      <c r="KYY21" s="2950"/>
      <c r="KYZ21" s="2950"/>
      <c r="KZA21" s="2950"/>
      <c r="KZB21" s="2950"/>
      <c r="KZC21" s="2950"/>
      <c r="KZD21" s="2950"/>
      <c r="KZE21" s="2950"/>
      <c r="KZF21" s="2950"/>
      <c r="KZG21" s="2950"/>
      <c r="KZH21" s="2950"/>
      <c r="KZI21" s="2950"/>
      <c r="KZJ21" s="2950"/>
      <c r="KZK21" s="2950"/>
      <c r="KZL21" s="2950"/>
      <c r="KZM21" s="2950"/>
      <c r="KZN21" s="2950"/>
      <c r="KZO21" s="2950"/>
      <c r="KZP21" s="2950"/>
      <c r="KZQ21" s="2950"/>
      <c r="KZR21" s="2950"/>
      <c r="KZS21" s="2950"/>
      <c r="KZT21" s="2950"/>
      <c r="KZU21" s="2950"/>
      <c r="KZV21" s="2950"/>
      <c r="KZW21" s="2950"/>
      <c r="KZX21" s="2950"/>
      <c r="KZY21" s="2950"/>
      <c r="KZZ21" s="2950"/>
      <c r="LAA21" s="2950"/>
      <c r="LAB21" s="2950"/>
      <c r="LAC21" s="2950"/>
      <c r="LAD21" s="2950"/>
      <c r="LAE21" s="2950"/>
      <c r="LAF21" s="2950"/>
      <c r="LAG21" s="2950"/>
      <c r="LAH21" s="2950"/>
      <c r="LAI21" s="2950"/>
      <c r="LAJ21" s="2950"/>
      <c r="LAK21" s="2950"/>
      <c r="LAL21" s="2950"/>
      <c r="LAM21" s="2950"/>
      <c r="LAN21" s="2950"/>
      <c r="LAO21" s="2950"/>
      <c r="LAP21" s="2950"/>
      <c r="LAQ21" s="2950"/>
      <c r="LAR21" s="2950"/>
      <c r="LAS21" s="2950"/>
      <c r="LAT21" s="2950"/>
      <c r="LAU21" s="2950"/>
      <c r="LAV21" s="2950"/>
      <c r="LAW21" s="2950"/>
      <c r="LAX21" s="2950"/>
      <c r="LAY21" s="2950"/>
      <c r="LAZ21" s="2950"/>
      <c r="LBA21" s="2950"/>
      <c r="LBB21" s="2950"/>
      <c r="LBC21" s="2950"/>
      <c r="LBD21" s="2950"/>
      <c r="LBE21" s="2950"/>
      <c r="LBF21" s="2950"/>
      <c r="LBG21" s="2950"/>
      <c r="LBH21" s="2950"/>
      <c r="LBI21" s="2950"/>
      <c r="LBJ21" s="2950"/>
      <c r="LBK21" s="2950"/>
      <c r="LBL21" s="2950"/>
      <c r="LBM21" s="2950"/>
      <c r="LBN21" s="2950"/>
      <c r="LBO21" s="2950"/>
      <c r="LBP21" s="2950"/>
      <c r="LBQ21" s="2950"/>
      <c r="LBR21" s="2950"/>
      <c r="LBS21" s="2950"/>
      <c r="LBT21" s="2950"/>
      <c r="LBU21" s="2950"/>
      <c r="LBV21" s="2950"/>
      <c r="LBW21" s="2950"/>
      <c r="LBX21" s="2950"/>
      <c r="LBY21" s="2950"/>
      <c r="LBZ21" s="2950"/>
      <c r="LCA21" s="2950"/>
      <c r="LCB21" s="2950"/>
      <c r="LCC21" s="2950"/>
      <c r="LCD21" s="2950"/>
      <c r="LCE21" s="2950"/>
      <c r="LCF21" s="2950"/>
      <c r="LCG21" s="2950"/>
      <c r="LCH21" s="2950"/>
      <c r="LCI21" s="2950"/>
      <c r="LCJ21" s="2950"/>
      <c r="LCK21" s="2950"/>
      <c r="LCL21" s="2950"/>
      <c r="LCM21" s="2950"/>
      <c r="LCN21" s="2950"/>
      <c r="LCO21" s="2950"/>
      <c r="LCP21" s="2950"/>
      <c r="LCQ21" s="2950"/>
      <c r="LCR21" s="2950"/>
      <c r="LCS21" s="2950"/>
      <c r="LCT21" s="2950"/>
      <c r="LCU21" s="2950"/>
      <c r="LCV21" s="2950"/>
      <c r="LCW21" s="2950"/>
      <c r="LCX21" s="2950"/>
      <c r="LCY21" s="2950"/>
      <c r="LCZ21" s="2950"/>
      <c r="LDA21" s="2950"/>
      <c r="LDB21" s="2950"/>
      <c r="LDC21" s="2950"/>
      <c r="LDD21" s="2950"/>
      <c r="LDE21" s="2950"/>
      <c r="LDF21" s="2950"/>
      <c r="LDG21" s="2950"/>
      <c r="LDH21" s="2950"/>
      <c r="LDI21" s="2950"/>
      <c r="LDJ21" s="2950"/>
      <c r="LDK21" s="2950"/>
      <c r="LDL21" s="2950"/>
      <c r="LDM21" s="2950"/>
      <c r="LDN21" s="2950"/>
      <c r="LDO21" s="2950"/>
      <c r="LDP21" s="2950"/>
      <c r="LDQ21" s="2950"/>
      <c r="LDR21" s="2950"/>
      <c r="LDS21" s="2950"/>
      <c r="LDT21" s="2950"/>
      <c r="LDU21" s="2950"/>
      <c r="LDV21" s="2950"/>
      <c r="LDW21" s="2950"/>
      <c r="LDX21" s="2950"/>
      <c r="LDY21" s="2950"/>
      <c r="LDZ21" s="2950"/>
      <c r="LEA21" s="2950"/>
      <c r="LEB21" s="2950"/>
      <c r="LEC21" s="2950"/>
      <c r="LED21" s="2950"/>
      <c r="LEE21" s="2950"/>
      <c r="LEF21" s="2950"/>
      <c r="LEG21" s="2950"/>
      <c r="LEH21" s="2950"/>
      <c r="LEI21" s="2950"/>
      <c r="LEJ21" s="2950"/>
      <c r="LEK21" s="2950"/>
      <c r="LEL21" s="2950"/>
      <c r="LEM21" s="2950"/>
      <c r="LEN21" s="2950"/>
      <c r="LEO21" s="2950"/>
      <c r="LEP21" s="2950"/>
      <c r="LEQ21" s="2950"/>
      <c r="LER21" s="2950"/>
      <c r="LES21" s="2950"/>
      <c r="LET21" s="2950"/>
      <c r="LEU21" s="2950"/>
      <c r="LEV21" s="2950"/>
      <c r="LEW21" s="2950"/>
      <c r="LEX21" s="2950"/>
      <c r="LEY21" s="2950"/>
      <c r="LEZ21" s="2950"/>
      <c r="LFA21" s="2950"/>
      <c r="LFB21" s="2950"/>
      <c r="LFC21" s="2950"/>
      <c r="LFD21" s="2950"/>
      <c r="LFE21" s="2950"/>
      <c r="LFF21" s="2950"/>
      <c r="LFG21" s="2950"/>
      <c r="LFH21" s="2950"/>
      <c r="LFI21" s="2950"/>
      <c r="LFJ21" s="2950"/>
      <c r="LFK21" s="2950"/>
      <c r="LFL21" s="2950"/>
      <c r="LFM21" s="2950"/>
      <c r="LFN21" s="2950"/>
      <c r="LFO21" s="2950"/>
      <c r="LFP21" s="2950"/>
      <c r="LFQ21" s="2950"/>
      <c r="LFR21" s="2950"/>
      <c r="LFS21" s="2950"/>
      <c r="LFT21" s="2950"/>
      <c r="LFU21" s="2950"/>
      <c r="LFV21" s="2950"/>
      <c r="LFW21" s="2950"/>
      <c r="LFX21" s="2950"/>
      <c r="LFY21" s="2950"/>
      <c r="LFZ21" s="2950"/>
      <c r="LGA21" s="2950"/>
      <c r="LGB21" s="2950"/>
      <c r="LGC21" s="2950"/>
      <c r="LGD21" s="2950"/>
      <c r="LGE21" s="2950"/>
      <c r="LGF21" s="2950"/>
      <c r="LGG21" s="2950"/>
      <c r="LGH21" s="2950"/>
      <c r="LGI21" s="2950"/>
      <c r="LGJ21" s="2950"/>
      <c r="LGK21" s="2950"/>
      <c r="LGL21" s="2950"/>
      <c r="LGM21" s="2950"/>
      <c r="LGN21" s="2950"/>
      <c r="LGO21" s="2950"/>
      <c r="LGP21" s="2950"/>
      <c r="LGQ21" s="2950"/>
      <c r="LGR21" s="2950"/>
      <c r="LGS21" s="2950"/>
      <c r="LGT21" s="2950"/>
      <c r="LGU21" s="2950"/>
      <c r="LGV21" s="2950"/>
      <c r="LGW21" s="2950"/>
      <c r="LGX21" s="2950"/>
      <c r="LGY21" s="2950"/>
      <c r="LGZ21" s="2950"/>
      <c r="LHA21" s="2950"/>
      <c r="LHB21" s="2950"/>
      <c r="LHC21" s="2950"/>
      <c r="LHD21" s="2950"/>
      <c r="LHE21" s="2950"/>
      <c r="LHF21" s="2950"/>
      <c r="LHG21" s="2950"/>
      <c r="LHH21" s="2950"/>
      <c r="LHI21" s="2950"/>
      <c r="LHJ21" s="2950"/>
      <c r="LHK21" s="2950"/>
      <c r="LHL21" s="2950"/>
      <c r="LHM21" s="2950"/>
      <c r="LHN21" s="2950"/>
      <c r="LHO21" s="2950"/>
      <c r="LHP21" s="2950"/>
      <c r="LHQ21" s="2950"/>
      <c r="LHR21" s="2950"/>
      <c r="LHS21" s="2950"/>
      <c r="LHT21" s="2950"/>
      <c r="LHU21" s="2950"/>
      <c r="LHV21" s="2950"/>
      <c r="LHW21" s="2950"/>
      <c r="LHX21" s="2950"/>
      <c r="LHY21" s="2950"/>
      <c r="LHZ21" s="2950"/>
      <c r="LIA21" s="2950"/>
      <c r="LIB21" s="2950"/>
      <c r="LIC21" s="2950"/>
      <c r="LID21" s="2950"/>
      <c r="LIE21" s="2950"/>
      <c r="LIF21" s="2950"/>
      <c r="LIG21" s="2950"/>
      <c r="LIH21" s="2950"/>
      <c r="LII21" s="2950"/>
      <c r="LIJ21" s="2950"/>
      <c r="LIK21" s="2950"/>
      <c r="LIL21" s="2950"/>
      <c r="LIM21" s="2950"/>
      <c r="LIN21" s="2950"/>
      <c r="LIO21" s="2950"/>
      <c r="LIP21" s="2950"/>
      <c r="LIQ21" s="2950"/>
      <c r="LIR21" s="2950"/>
      <c r="LIS21" s="2950"/>
      <c r="LIT21" s="2950"/>
      <c r="LIU21" s="2950"/>
      <c r="LIV21" s="2950"/>
      <c r="LIW21" s="2950"/>
      <c r="LIX21" s="2950"/>
      <c r="LIY21" s="2950"/>
      <c r="LIZ21" s="2950"/>
      <c r="LJA21" s="2950"/>
      <c r="LJB21" s="2950"/>
      <c r="LJC21" s="2950"/>
      <c r="LJD21" s="2950"/>
      <c r="LJE21" s="2950"/>
      <c r="LJF21" s="2950"/>
      <c r="LJG21" s="2950"/>
      <c r="LJH21" s="2950"/>
      <c r="LJI21" s="2950"/>
      <c r="LJJ21" s="2950"/>
      <c r="LJK21" s="2950"/>
      <c r="LJL21" s="2950"/>
      <c r="LJM21" s="2950"/>
      <c r="LJN21" s="2950"/>
      <c r="LJO21" s="2950"/>
      <c r="LJP21" s="2950"/>
      <c r="LJQ21" s="2950"/>
      <c r="LJR21" s="2950"/>
      <c r="LJS21" s="2950"/>
      <c r="LJT21" s="2950"/>
      <c r="LJU21" s="2950"/>
      <c r="LJV21" s="2950"/>
      <c r="LJW21" s="2950"/>
      <c r="LJX21" s="2950"/>
      <c r="LJY21" s="2950"/>
      <c r="LJZ21" s="2950"/>
      <c r="LKA21" s="2950"/>
      <c r="LKB21" s="2950"/>
      <c r="LKC21" s="2950"/>
      <c r="LKD21" s="2950"/>
      <c r="LKE21" s="2950"/>
      <c r="LKF21" s="2950"/>
      <c r="LKG21" s="2950"/>
      <c r="LKH21" s="2950"/>
      <c r="LKI21" s="2950"/>
      <c r="LKJ21" s="2950"/>
      <c r="LKK21" s="2950"/>
      <c r="LKL21" s="2950"/>
      <c r="LKM21" s="2950"/>
      <c r="LKN21" s="2950"/>
      <c r="LKO21" s="2950"/>
      <c r="LKP21" s="2950"/>
      <c r="LKQ21" s="2950"/>
      <c r="LKR21" s="2950"/>
      <c r="LKS21" s="2950"/>
      <c r="LKT21" s="2950"/>
      <c r="LKU21" s="2950"/>
      <c r="LKV21" s="2950"/>
      <c r="LKW21" s="2950"/>
      <c r="LKX21" s="2950"/>
      <c r="LKY21" s="2950"/>
      <c r="LKZ21" s="2950"/>
      <c r="LLA21" s="2950"/>
      <c r="LLB21" s="2950"/>
      <c r="LLC21" s="2950"/>
      <c r="LLD21" s="2950"/>
      <c r="LLE21" s="2950"/>
      <c r="LLF21" s="2950"/>
      <c r="LLG21" s="2950"/>
      <c r="LLH21" s="2950"/>
      <c r="LLI21" s="2950"/>
      <c r="LLJ21" s="2950"/>
      <c r="LLK21" s="2950"/>
      <c r="LLL21" s="2950"/>
      <c r="LLM21" s="2950"/>
      <c r="LLN21" s="2950"/>
      <c r="LLO21" s="2950"/>
      <c r="LLP21" s="2950"/>
      <c r="LLQ21" s="2950"/>
      <c r="LLR21" s="2950"/>
      <c r="LLS21" s="2950"/>
      <c r="LLT21" s="2950"/>
      <c r="LLU21" s="2950"/>
      <c r="LLV21" s="2950"/>
      <c r="LLW21" s="2950"/>
      <c r="LLX21" s="2950"/>
      <c r="LLY21" s="2950"/>
      <c r="LLZ21" s="2950"/>
      <c r="LMA21" s="2950"/>
      <c r="LMB21" s="2950"/>
      <c r="LMC21" s="2950"/>
      <c r="LMD21" s="2950"/>
      <c r="LME21" s="2950"/>
      <c r="LMF21" s="2950"/>
      <c r="LMG21" s="2950"/>
      <c r="LMH21" s="2950"/>
      <c r="LMI21" s="2950"/>
      <c r="LMJ21" s="2950"/>
      <c r="LMK21" s="2950"/>
      <c r="LML21" s="2950"/>
      <c r="LMM21" s="2950"/>
      <c r="LMN21" s="2950"/>
      <c r="LMO21" s="2950"/>
      <c r="LMP21" s="2950"/>
      <c r="LMQ21" s="2950"/>
      <c r="LMR21" s="2950"/>
      <c r="LMS21" s="2950"/>
      <c r="LMT21" s="2950"/>
      <c r="LMU21" s="2950"/>
      <c r="LMV21" s="2950"/>
      <c r="LMW21" s="2950"/>
      <c r="LMX21" s="2950"/>
      <c r="LMY21" s="2950"/>
      <c r="LMZ21" s="2950"/>
      <c r="LNA21" s="2950"/>
      <c r="LNB21" s="2950"/>
      <c r="LNC21" s="2950"/>
      <c r="LND21" s="2950"/>
      <c r="LNE21" s="2950"/>
      <c r="LNF21" s="2950"/>
      <c r="LNG21" s="2950"/>
      <c r="LNH21" s="2950"/>
      <c r="LNI21" s="2950"/>
      <c r="LNJ21" s="2950"/>
      <c r="LNK21" s="2950"/>
      <c r="LNL21" s="2950"/>
      <c r="LNM21" s="2950"/>
      <c r="LNN21" s="2950"/>
      <c r="LNO21" s="2950"/>
      <c r="LNP21" s="2950"/>
      <c r="LNQ21" s="2950"/>
      <c r="LNR21" s="2950"/>
      <c r="LNS21" s="2950"/>
      <c r="LNT21" s="2950"/>
      <c r="LNU21" s="2950"/>
      <c r="LNV21" s="2950"/>
      <c r="LNW21" s="2950"/>
      <c r="LNX21" s="2950"/>
      <c r="LNY21" s="2950"/>
      <c r="LNZ21" s="2950"/>
      <c r="LOA21" s="2950"/>
      <c r="LOB21" s="2950"/>
      <c r="LOC21" s="2950"/>
      <c r="LOD21" s="2950"/>
      <c r="LOE21" s="2950"/>
      <c r="LOF21" s="2950"/>
      <c r="LOG21" s="2950"/>
      <c r="LOH21" s="2950"/>
      <c r="LOI21" s="2950"/>
      <c r="LOJ21" s="2950"/>
      <c r="LOK21" s="2950"/>
      <c r="LOL21" s="2950"/>
      <c r="LOM21" s="2950"/>
      <c r="LON21" s="2950"/>
      <c r="LOO21" s="2950"/>
      <c r="LOP21" s="2950"/>
      <c r="LOQ21" s="2950"/>
      <c r="LOR21" s="2950"/>
      <c r="LOS21" s="2950"/>
      <c r="LOT21" s="2950"/>
      <c r="LOU21" s="2950"/>
      <c r="LOV21" s="2950"/>
      <c r="LOW21" s="2950"/>
      <c r="LOX21" s="2950"/>
      <c r="LOY21" s="2950"/>
      <c r="LOZ21" s="2950"/>
      <c r="LPA21" s="2950"/>
      <c r="LPB21" s="2950"/>
      <c r="LPC21" s="2950"/>
      <c r="LPD21" s="2950"/>
      <c r="LPE21" s="2950"/>
      <c r="LPF21" s="2950"/>
      <c r="LPG21" s="2950"/>
      <c r="LPH21" s="2950"/>
      <c r="LPI21" s="2950"/>
      <c r="LPJ21" s="2950"/>
      <c r="LPK21" s="2950"/>
      <c r="LPL21" s="2950"/>
      <c r="LPM21" s="2950"/>
      <c r="LPN21" s="2950"/>
      <c r="LPO21" s="2950"/>
      <c r="LPP21" s="2950"/>
      <c r="LPQ21" s="2950"/>
      <c r="LPR21" s="2950"/>
      <c r="LPS21" s="2950"/>
      <c r="LPT21" s="2950"/>
      <c r="LPU21" s="2950"/>
      <c r="LPV21" s="2950"/>
      <c r="LPW21" s="2950"/>
      <c r="LPX21" s="2950"/>
      <c r="LPY21" s="2950"/>
      <c r="LPZ21" s="2950"/>
      <c r="LQA21" s="2950"/>
      <c r="LQB21" s="2950"/>
      <c r="LQC21" s="2950"/>
      <c r="LQD21" s="2950"/>
      <c r="LQE21" s="2950"/>
      <c r="LQF21" s="2950"/>
      <c r="LQG21" s="2950"/>
      <c r="LQH21" s="2950"/>
      <c r="LQI21" s="2950"/>
      <c r="LQJ21" s="2950"/>
      <c r="LQK21" s="2950"/>
      <c r="LQL21" s="2950"/>
      <c r="LQM21" s="2950"/>
      <c r="LQN21" s="2950"/>
      <c r="LQO21" s="2950"/>
      <c r="LQP21" s="2950"/>
      <c r="LQQ21" s="2950"/>
      <c r="LQR21" s="2950"/>
      <c r="LQS21" s="2950"/>
      <c r="LQT21" s="2950"/>
      <c r="LQU21" s="2950"/>
      <c r="LQV21" s="2950"/>
      <c r="LQW21" s="2950"/>
      <c r="LQX21" s="2950"/>
      <c r="LQY21" s="2950"/>
      <c r="LQZ21" s="2950"/>
      <c r="LRA21" s="2950"/>
      <c r="LRB21" s="2950"/>
      <c r="LRC21" s="2950"/>
      <c r="LRD21" s="2950"/>
      <c r="LRE21" s="2950"/>
      <c r="LRF21" s="2950"/>
      <c r="LRG21" s="2950"/>
      <c r="LRH21" s="2950"/>
      <c r="LRI21" s="2950"/>
      <c r="LRJ21" s="2950"/>
      <c r="LRK21" s="2950"/>
      <c r="LRL21" s="2950"/>
      <c r="LRM21" s="2950"/>
      <c r="LRN21" s="2950"/>
      <c r="LRO21" s="2950"/>
      <c r="LRP21" s="2950"/>
      <c r="LRQ21" s="2950"/>
      <c r="LRR21" s="2950"/>
      <c r="LRS21" s="2950"/>
      <c r="LRT21" s="2950"/>
      <c r="LRU21" s="2950"/>
      <c r="LRV21" s="2950"/>
      <c r="LRW21" s="2950"/>
      <c r="LRX21" s="2950"/>
      <c r="LRY21" s="2950"/>
      <c r="LRZ21" s="2950"/>
      <c r="LSA21" s="2950"/>
      <c r="LSB21" s="2950"/>
      <c r="LSC21" s="2950"/>
      <c r="LSD21" s="2950"/>
      <c r="LSE21" s="2950"/>
      <c r="LSF21" s="2950"/>
      <c r="LSG21" s="2950"/>
      <c r="LSH21" s="2950"/>
      <c r="LSI21" s="2950"/>
      <c r="LSJ21" s="2950"/>
      <c r="LSK21" s="2950"/>
      <c r="LSL21" s="2950"/>
      <c r="LSM21" s="2950"/>
      <c r="LSN21" s="2950"/>
      <c r="LSO21" s="2950"/>
      <c r="LSP21" s="2950"/>
      <c r="LSQ21" s="2950"/>
      <c r="LSR21" s="2950"/>
      <c r="LSS21" s="2950"/>
      <c r="LST21" s="2950"/>
      <c r="LSU21" s="2950"/>
      <c r="LSV21" s="2950"/>
      <c r="LSW21" s="2950"/>
      <c r="LSX21" s="2950"/>
      <c r="LSY21" s="2950"/>
      <c r="LSZ21" s="2950"/>
      <c r="LTA21" s="2950"/>
      <c r="LTB21" s="2950"/>
      <c r="LTC21" s="2950"/>
      <c r="LTD21" s="2950"/>
      <c r="LTE21" s="2950"/>
      <c r="LTF21" s="2950"/>
      <c r="LTG21" s="2950"/>
      <c r="LTH21" s="2950"/>
      <c r="LTI21" s="2950"/>
      <c r="LTJ21" s="2950"/>
      <c r="LTK21" s="2950"/>
      <c r="LTL21" s="2950"/>
      <c r="LTM21" s="2950"/>
      <c r="LTN21" s="2950"/>
      <c r="LTO21" s="2950"/>
      <c r="LTP21" s="2950"/>
      <c r="LTQ21" s="2950"/>
      <c r="LTR21" s="2950"/>
      <c r="LTS21" s="2950"/>
      <c r="LTT21" s="2950"/>
      <c r="LTU21" s="2950"/>
      <c r="LTV21" s="2950"/>
      <c r="LTW21" s="2950"/>
      <c r="LTX21" s="2950"/>
      <c r="LTY21" s="2950"/>
      <c r="LTZ21" s="2950"/>
      <c r="LUA21" s="2950"/>
      <c r="LUB21" s="2950"/>
      <c r="LUC21" s="2950"/>
      <c r="LUD21" s="2950"/>
      <c r="LUE21" s="2950"/>
      <c r="LUF21" s="2950"/>
      <c r="LUG21" s="2950"/>
      <c r="LUH21" s="2950"/>
      <c r="LUI21" s="2950"/>
      <c r="LUJ21" s="2950"/>
      <c r="LUK21" s="2950"/>
      <c r="LUL21" s="2950"/>
      <c r="LUM21" s="2950"/>
      <c r="LUN21" s="2950"/>
      <c r="LUO21" s="2950"/>
      <c r="LUP21" s="2950"/>
      <c r="LUQ21" s="2950"/>
      <c r="LUR21" s="2950"/>
      <c r="LUS21" s="2950"/>
      <c r="LUT21" s="2950"/>
      <c r="LUU21" s="2950"/>
      <c r="LUV21" s="2950"/>
      <c r="LUW21" s="2950"/>
      <c r="LUX21" s="2950"/>
      <c r="LUY21" s="2950"/>
      <c r="LUZ21" s="2950"/>
      <c r="LVA21" s="2950"/>
      <c r="LVB21" s="2950"/>
      <c r="LVC21" s="2950"/>
      <c r="LVD21" s="2950"/>
      <c r="LVE21" s="2950"/>
      <c r="LVF21" s="2950"/>
      <c r="LVG21" s="2950"/>
      <c r="LVH21" s="2950"/>
      <c r="LVI21" s="2950"/>
      <c r="LVJ21" s="2950"/>
      <c r="LVK21" s="2950"/>
      <c r="LVL21" s="2950"/>
      <c r="LVM21" s="2950"/>
      <c r="LVN21" s="2950"/>
      <c r="LVO21" s="2950"/>
      <c r="LVP21" s="2950"/>
      <c r="LVQ21" s="2950"/>
      <c r="LVR21" s="2950"/>
      <c r="LVS21" s="2950"/>
      <c r="LVT21" s="2950"/>
      <c r="LVU21" s="2950"/>
      <c r="LVV21" s="2950"/>
      <c r="LVW21" s="2950"/>
      <c r="LVX21" s="2950"/>
      <c r="LVY21" s="2950"/>
      <c r="LVZ21" s="2950"/>
      <c r="LWA21" s="2950"/>
      <c r="LWB21" s="2950"/>
      <c r="LWC21" s="2950"/>
      <c r="LWD21" s="2950"/>
      <c r="LWE21" s="2950"/>
      <c r="LWF21" s="2950"/>
      <c r="LWG21" s="2950"/>
      <c r="LWH21" s="2950"/>
      <c r="LWI21" s="2950"/>
      <c r="LWJ21" s="2950"/>
      <c r="LWK21" s="2950"/>
      <c r="LWL21" s="2950"/>
      <c r="LWM21" s="2950"/>
      <c r="LWN21" s="2950"/>
      <c r="LWO21" s="2950"/>
      <c r="LWP21" s="2950"/>
      <c r="LWQ21" s="2950"/>
      <c r="LWR21" s="2950"/>
      <c r="LWS21" s="2950"/>
      <c r="LWT21" s="2950"/>
      <c r="LWU21" s="2950"/>
      <c r="LWV21" s="2950"/>
      <c r="LWW21" s="2950"/>
      <c r="LWX21" s="2950"/>
      <c r="LWY21" s="2950"/>
      <c r="LWZ21" s="2950"/>
      <c r="LXA21" s="2950"/>
      <c r="LXB21" s="2950"/>
      <c r="LXC21" s="2950"/>
      <c r="LXD21" s="2950"/>
      <c r="LXE21" s="2950"/>
      <c r="LXF21" s="2950"/>
      <c r="LXG21" s="2950"/>
      <c r="LXH21" s="2950"/>
      <c r="LXI21" s="2950"/>
      <c r="LXJ21" s="2950"/>
      <c r="LXK21" s="2950"/>
      <c r="LXL21" s="2950"/>
      <c r="LXM21" s="2950"/>
      <c r="LXN21" s="2950"/>
      <c r="LXO21" s="2950"/>
      <c r="LXP21" s="2950"/>
      <c r="LXQ21" s="2950"/>
      <c r="LXR21" s="2950"/>
      <c r="LXS21" s="2950"/>
      <c r="LXT21" s="2950"/>
      <c r="LXU21" s="2950"/>
      <c r="LXV21" s="2950"/>
      <c r="LXW21" s="2950"/>
      <c r="LXX21" s="2950"/>
      <c r="LXY21" s="2950"/>
      <c r="LXZ21" s="2950"/>
      <c r="LYA21" s="2950"/>
      <c r="LYB21" s="2950"/>
      <c r="LYC21" s="2950"/>
      <c r="LYD21" s="2950"/>
      <c r="LYE21" s="2950"/>
      <c r="LYF21" s="2950"/>
      <c r="LYG21" s="2950"/>
      <c r="LYH21" s="2950"/>
      <c r="LYI21" s="2950"/>
      <c r="LYJ21" s="2950"/>
      <c r="LYK21" s="2950"/>
      <c r="LYL21" s="2950"/>
      <c r="LYM21" s="2950"/>
      <c r="LYN21" s="2950"/>
      <c r="LYO21" s="2950"/>
      <c r="LYP21" s="2950"/>
      <c r="LYQ21" s="2950"/>
      <c r="LYR21" s="2950"/>
      <c r="LYS21" s="2950"/>
      <c r="LYT21" s="2950"/>
      <c r="LYU21" s="2950"/>
      <c r="LYV21" s="2950"/>
      <c r="LYW21" s="2950"/>
      <c r="LYX21" s="2950"/>
      <c r="LYY21" s="2950"/>
      <c r="LYZ21" s="2950"/>
      <c r="LZA21" s="2950"/>
      <c r="LZB21" s="2950"/>
      <c r="LZC21" s="2950"/>
      <c r="LZD21" s="2950"/>
      <c r="LZE21" s="2950"/>
      <c r="LZF21" s="2950"/>
      <c r="LZG21" s="2950"/>
      <c r="LZH21" s="2950"/>
      <c r="LZI21" s="2950"/>
      <c r="LZJ21" s="2950"/>
      <c r="LZK21" s="2950"/>
      <c r="LZL21" s="2950"/>
      <c r="LZM21" s="2950"/>
      <c r="LZN21" s="2950"/>
      <c r="LZO21" s="2950"/>
      <c r="LZP21" s="2950"/>
      <c r="LZQ21" s="2950"/>
      <c r="LZR21" s="2950"/>
      <c r="LZS21" s="2950"/>
      <c r="LZT21" s="2950"/>
      <c r="LZU21" s="2950"/>
      <c r="LZV21" s="2950"/>
      <c r="LZW21" s="2950"/>
      <c r="LZX21" s="2950"/>
      <c r="LZY21" s="2950"/>
      <c r="LZZ21" s="2950"/>
      <c r="MAA21" s="2950"/>
      <c r="MAB21" s="2950"/>
      <c r="MAC21" s="2950"/>
      <c r="MAD21" s="2950"/>
      <c r="MAE21" s="2950"/>
      <c r="MAF21" s="2950"/>
      <c r="MAG21" s="2950"/>
      <c r="MAH21" s="2950"/>
      <c r="MAI21" s="2950"/>
      <c r="MAJ21" s="2950"/>
      <c r="MAK21" s="2950"/>
      <c r="MAL21" s="2950"/>
      <c r="MAM21" s="2950"/>
      <c r="MAN21" s="2950"/>
      <c r="MAO21" s="2950"/>
      <c r="MAP21" s="2950"/>
      <c r="MAQ21" s="2950"/>
      <c r="MAR21" s="2950"/>
      <c r="MAS21" s="2950"/>
      <c r="MAT21" s="2950"/>
      <c r="MAU21" s="2950"/>
      <c r="MAV21" s="2950"/>
      <c r="MAW21" s="2950"/>
      <c r="MAX21" s="2950"/>
      <c r="MAY21" s="2950"/>
      <c r="MAZ21" s="2950"/>
      <c r="MBA21" s="2950"/>
      <c r="MBB21" s="2950"/>
      <c r="MBC21" s="2950"/>
      <c r="MBD21" s="2950"/>
      <c r="MBE21" s="2950"/>
      <c r="MBF21" s="2950"/>
      <c r="MBG21" s="2950"/>
      <c r="MBH21" s="2950"/>
      <c r="MBI21" s="2950"/>
      <c r="MBJ21" s="2950"/>
      <c r="MBK21" s="2950"/>
      <c r="MBL21" s="2950"/>
      <c r="MBM21" s="2950"/>
      <c r="MBN21" s="2950"/>
      <c r="MBO21" s="2950"/>
      <c r="MBP21" s="2950"/>
      <c r="MBQ21" s="2950"/>
      <c r="MBR21" s="2950"/>
      <c r="MBS21" s="2950"/>
      <c r="MBT21" s="2950"/>
      <c r="MBU21" s="2950"/>
      <c r="MBV21" s="2950"/>
      <c r="MBW21" s="2950"/>
      <c r="MBX21" s="2950"/>
      <c r="MBY21" s="2950"/>
      <c r="MBZ21" s="2950"/>
      <c r="MCA21" s="2950"/>
      <c r="MCB21" s="2950"/>
      <c r="MCC21" s="2950"/>
      <c r="MCD21" s="2950"/>
      <c r="MCE21" s="2950"/>
      <c r="MCF21" s="2950"/>
      <c r="MCG21" s="2950"/>
      <c r="MCH21" s="2950"/>
      <c r="MCI21" s="2950"/>
      <c r="MCJ21" s="2950"/>
      <c r="MCK21" s="2950"/>
      <c r="MCL21" s="2950"/>
      <c r="MCM21" s="2950"/>
      <c r="MCN21" s="2950"/>
      <c r="MCO21" s="2950"/>
      <c r="MCP21" s="2950"/>
      <c r="MCQ21" s="2950"/>
      <c r="MCR21" s="2950"/>
      <c r="MCS21" s="2950"/>
      <c r="MCT21" s="2950"/>
      <c r="MCU21" s="2950"/>
      <c r="MCV21" s="2950"/>
      <c r="MCW21" s="2950"/>
      <c r="MCX21" s="2950"/>
      <c r="MCY21" s="2950"/>
      <c r="MCZ21" s="2950"/>
      <c r="MDA21" s="2950"/>
      <c r="MDB21" s="2950"/>
      <c r="MDC21" s="2950"/>
      <c r="MDD21" s="2950"/>
      <c r="MDE21" s="2950"/>
      <c r="MDF21" s="2950"/>
      <c r="MDG21" s="2950"/>
      <c r="MDH21" s="2950"/>
      <c r="MDI21" s="2950"/>
      <c r="MDJ21" s="2950"/>
      <c r="MDK21" s="2950"/>
      <c r="MDL21" s="2950"/>
      <c r="MDM21" s="2950"/>
      <c r="MDN21" s="2950"/>
      <c r="MDO21" s="2950"/>
      <c r="MDP21" s="2950"/>
      <c r="MDQ21" s="2950"/>
      <c r="MDR21" s="2950"/>
      <c r="MDS21" s="2950"/>
      <c r="MDT21" s="2950"/>
      <c r="MDU21" s="2950"/>
      <c r="MDV21" s="2950"/>
      <c r="MDW21" s="2950"/>
      <c r="MDX21" s="2950"/>
      <c r="MDY21" s="2950"/>
      <c r="MDZ21" s="2950"/>
      <c r="MEA21" s="2950"/>
      <c r="MEB21" s="2950"/>
      <c r="MEC21" s="2950"/>
      <c r="MED21" s="2950"/>
      <c r="MEE21" s="2950"/>
      <c r="MEF21" s="2950"/>
      <c r="MEG21" s="2950"/>
      <c r="MEH21" s="2950"/>
      <c r="MEI21" s="2950"/>
      <c r="MEJ21" s="2950"/>
      <c r="MEK21" s="2950"/>
      <c r="MEL21" s="2950"/>
      <c r="MEM21" s="2950"/>
      <c r="MEN21" s="2950"/>
      <c r="MEO21" s="2950"/>
      <c r="MEP21" s="2950"/>
      <c r="MEQ21" s="2950"/>
      <c r="MER21" s="2950"/>
      <c r="MES21" s="2950"/>
      <c r="MET21" s="2950"/>
      <c r="MEU21" s="2950"/>
      <c r="MEV21" s="2950"/>
      <c r="MEW21" s="2950"/>
      <c r="MEX21" s="2950"/>
      <c r="MEY21" s="2950"/>
      <c r="MEZ21" s="2950"/>
      <c r="MFA21" s="2950"/>
      <c r="MFB21" s="2950"/>
      <c r="MFC21" s="2950"/>
      <c r="MFD21" s="2950"/>
      <c r="MFE21" s="2950"/>
      <c r="MFF21" s="2950"/>
      <c r="MFG21" s="2950"/>
      <c r="MFH21" s="2950"/>
      <c r="MFI21" s="2950"/>
      <c r="MFJ21" s="2950"/>
      <c r="MFK21" s="2950"/>
      <c r="MFL21" s="2950"/>
      <c r="MFM21" s="2950"/>
      <c r="MFN21" s="2950"/>
      <c r="MFO21" s="2950"/>
      <c r="MFP21" s="2950"/>
      <c r="MFQ21" s="2950"/>
      <c r="MFR21" s="2950"/>
      <c r="MFS21" s="2950"/>
      <c r="MFT21" s="2950"/>
      <c r="MFU21" s="2950"/>
      <c r="MFV21" s="2950"/>
      <c r="MFW21" s="2950"/>
      <c r="MFX21" s="2950"/>
      <c r="MFY21" s="2950"/>
      <c r="MFZ21" s="2950"/>
      <c r="MGA21" s="2950"/>
      <c r="MGB21" s="2950"/>
      <c r="MGC21" s="2950"/>
      <c r="MGD21" s="2950"/>
      <c r="MGE21" s="2950"/>
      <c r="MGF21" s="2950"/>
      <c r="MGG21" s="2950"/>
      <c r="MGH21" s="2950"/>
      <c r="MGI21" s="2950"/>
      <c r="MGJ21" s="2950"/>
      <c r="MGK21" s="2950"/>
      <c r="MGL21" s="2950"/>
      <c r="MGM21" s="2950"/>
      <c r="MGN21" s="2950"/>
      <c r="MGO21" s="2950"/>
      <c r="MGP21" s="2950"/>
      <c r="MGQ21" s="2950"/>
      <c r="MGR21" s="2950"/>
      <c r="MGS21" s="2950"/>
      <c r="MGT21" s="2950"/>
      <c r="MGU21" s="2950"/>
      <c r="MGV21" s="2950"/>
      <c r="MGW21" s="2950"/>
      <c r="MGX21" s="2950"/>
      <c r="MGY21" s="2950"/>
      <c r="MGZ21" s="2950"/>
      <c r="MHA21" s="2950"/>
      <c r="MHB21" s="2950"/>
      <c r="MHC21" s="2950"/>
      <c r="MHD21" s="2950"/>
      <c r="MHE21" s="2950"/>
      <c r="MHF21" s="2950"/>
      <c r="MHG21" s="2950"/>
      <c r="MHH21" s="2950"/>
      <c r="MHI21" s="2950"/>
      <c r="MHJ21" s="2950"/>
      <c r="MHK21" s="2950"/>
      <c r="MHL21" s="2950"/>
      <c r="MHM21" s="2950"/>
      <c r="MHN21" s="2950"/>
      <c r="MHO21" s="2950"/>
      <c r="MHP21" s="2950"/>
      <c r="MHQ21" s="2950"/>
      <c r="MHR21" s="2950"/>
      <c r="MHS21" s="2950"/>
      <c r="MHT21" s="2950"/>
      <c r="MHU21" s="2950"/>
      <c r="MHV21" s="2950"/>
      <c r="MHW21" s="2950"/>
      <c r="MHX21" s="2950"/>
      <c r="MHY21" s="2950"/>
      <c r="MHZ21" s="2950"/>
      <c r="MIA21" s="2950"/>
      <c r="MIB21" s="2950"/>
      <c r="MIC21" s="2950"/>
      <c r="MID21" s="2950"/>
      <c r="MIE21" s="2950"/>
      <c r="MIF21" s="2950"/>
      <c r="MIG21" s="2950"/>
      <c r="MIH21" s="2950"/>
      <c r="MII21" s="2950"/>
      <c r="MIJ21" s="2950"/>
      <c r="MIK21" s="2950"/>
      <c r="MIL21" s="2950"/>
      <c r="MIM21" s="2950"/>
      <c r="MIN21" s="2950"/>
      <c r="MIO21" s="2950"/>
      <c r="MIP21" s="2950"/>
      <c r="MIQ21" s="2950"/>
      <c r="MIR21" s="2950"/>
      <c r="MIS21" s="2950"/>
      <c r="MIT21" s="2950"/>
      <c r="MIU21" s="2950"/>
      <c r="MIV21" s="2950"/>
      <c r="MIW21" s="2950"/>
      <c r="MIX21" s="2950"/>
      <c r="MIY21" s="2950"/>
      <c r="MIZ21" s="2950"/>
      <c r="MJA21" s="2950"/>
      <c r="MJB21" s="2950"/>
      <c r="MJC21" s="2950"/>
      <c r="MJD21" s="2950"/>
      <c r="MJE21" s="2950"/>
      <c r="MJF21" s="2950"/>
      <c r="MJG21" s="2950"/>
      <c r="MJH21" s="2950"/>
      <c r="MJI21" s="2950"/>
      <c r="MJJ21" s="2950"/>
      <c r="MJK21" s="2950"/>
      <c r="MJL21" s="2950"/>
      <c r="MJM21" s="2950"/>
      <c r="MJN21" s="2950"/>
      <c r="MJO21" s="2950"/>
      <c r="MJP21" s="2950"/>
      <c r="MJQ21" s="2950"/>
      <c r="MJR21" s="2950"/>
      <c r="MJS21" s="2950"/>
      <c r="MJT21" s="2950"/>
      <c r="MJU21" s="2950"/>
      <c r="MJV21" s="2950"/>
      <c r="MJW21" s="2950"/>
      <c r="MJX21" s="2950"/>
      <c r="MJY21" s="2950"/>
      <c r="MJZ21" s="2950"/>
      <c r="MKA21" s="2950"/>
      <c r="MKB21" s="2950"/>
      <c r="MKC21" s="2950"/>
      <c r="MKD21" s="2950"/>
      <c r="MKE21" s="2950"/>
      <c r="MKF21" s="2950"/>
      <c r="MKG21" s="2950"/>
      <c r="MKH21" s="2950"/>
      <c r="MKI21" s="2950"/>
      <c r="MKJ21" s="2950"/>
      <c r="MKK21" s="2950"/>
      <c r="MKL21" s="2950"/>
      <c r="MKM21" s="2950"/>
      <c r="MKN21" s="2950"/>
      <c r="MKO21" s="2950"/>
      <c r="MKP21" s="2950"/>
      <c r="MKQ21" s="2950"/>
      <c r="MKR21" s="2950"/>
      <c r="MKS21" s="2950"/>
      <c r="MKT21" s="2950"/>
      <c r="MKU21" s="2950"/>
      <c r="MKV21" s="2950"/>
      <c r="MKW21" s="2950"/>
      <c r="MKX21" s="2950"/>
      <c r="MKY21" s="2950"/>
      <c r="MKZ21" s="2950"/>
      <c r="MLA21" s="2950"/>
      <c r="MLB21" s="2950"/>
      <c r="MLC21" s="2950"/>
      <c r="MLD21" s="2950"/>
      <c r="MLE21" s="2950"/>
      <c r="MLF21" s="2950"/>
      <c r="MLG21" s="2950"/>
      <c r="MLH21" s="2950"/>
      <c r="MLI21" s="2950"/>
      <c r="MLJ21" s="2950"/>
      <c r="MLK21" s="2950"/>
      <c r="MLL21" s="2950"/>
      <c r="MLM21" s="2950"/>
      <c r="MLN21" s="2950"/>
      <c r="MLO21" s="2950"/>
      <c r="MLP21" s="2950"/>
      <c r="MLQ21" s="2950"/>
      <c r="MLR21" s="2950"/>
      <c r="MLS21" s="2950"/>
      <c r="MLT21" s="2950"/>
      <c r="MLU21" s="2950"/>
      <c r="MLV21" s="2950"/>
      <c r="MLW21" s="2950"/>
      <c r="MLX21" s="2950"/>
      <c r="MLY21" s="2950"/>
      <c r="MLZ21" s="2950"/>
      <c r="MMA21" s="2950"/>
      <c r="MMB21" s="2950"/>
      <c r="MMC21" s="2950"/>
      <c r="MMD21" s="2950"/>
      <c r="MME21" s="2950"/>
      <c r="MMF21" s="2950"/>
      <c r="MMG21" s="2950"/>
      <c r="MMH21" s="2950"/>
      <c r="MMI21" s="2950"/>
      <c r="MMJ21" s="2950"/>
      <c r="MMK21" s="2950"/>
      <c r="MML21" s="2950"/>
      <c r="MMM21" s="2950"/>
      <c r="MMN21" s="2950"/>
      <c r="MMO21" s="2950"/>
      <c r="MMP21" s="2950"/>
      <c r="MMQ21" s="2950"/>
      <c r="MMR21" s="2950"/>
      <c r="MMS21" s="2950"/>
      <c r="MMT21" s="2950"/>
      <c r="MMU21" s="2950"/>
      <c r="MMV21" s="2950"/>
      <c r="MMW21" s="2950"/>
      <c r="MMX21" s="2950"/>
      <c r="MMY21" s="2950"/>
      <c r="MMZ21" s="2950"/>
      <c r="MNA21" s="2950"/>
      <c r="MNB21" s="2950"/>
      <c r="MNC21" s="2950"/>
      <c r="MND21" s="2950"/>
      <c r="MNE21" s="2950"/>
      <c r="MNF21" s="2950"/>
      <c r="MNG21" s="2950"/>
      <c r="MNH21" s="2950"/>
      <c r="MNI21" s="2950"/>
      <c r="MNJ21" s="2950"/>
      <c r="MNK21" s="2950"/>
      <c r="MNL21" s="2950"/>
      <c r="MNM21" s="2950"/>
      <c r="MNN21" s="2950"/>
      <c r="MNO21" s="2950"/>
      <c r="MNP21" s="2950"/>
      <c r="MNQ21" s="2950"/>
      <c r="MNR21" s="2950"/>
      <c r="MNS21" s="2950"/>
      <c r="MNT21" s="2950"/>
      <c r="MNU21" s="2950"/>
      <c r="MNV21" s="2950"/>
      <c r="MNW21" s="2950"/>
      <c r="MNX21" s="2950"/>
      <c r="MNY21" s="2950"/>
      <c r="MNZ21" s="2950"/>
      <c r="MOA21" s="2950"/>
      <c r="MOB21" s="2950"/>
      <c r="MOC21" s="2950"/>
      <c r="MOD21" s="2950"/>
      <c r="MOE21" s="2950"/>
      <c r="MOF21" s="2950"/>
      <c r="MOG21" s="2950"/>
      <c r="MOH21" s="2950"/>
      <c r="MOI21" s="2950"/>
      <c r="MOJ21" s="2950"/>
      <c r="MOK21" s="2950"/>
      <c r="MOL21" s="2950"/>
      <c r="MOM21" s="2950"/>
      <c r="MON21" s="2950"/>
      <c r="MOO21" s="2950"/>
      <c r="MOP21" s="2950"/>
      <c r="MOQ21" s="2950"/>
      <c r="MOR21" s="2950"/>
      <c r="MOS21" s="2950"/>
      <c r="MOT21" s="2950"/>
      <c r="MOU21" s="2950"/>
      <c r="MOV21" s="2950"/>
      <c r="MOW21" s="2950"/>
      <c r="MOX21" s="2950"/>
      <c r="MOY21" s="2950"/>
      <c r="MOZ21" s="2950"/>
      <c r="MPA21" s="2950"/>
      <c r="MPB21" s="2950"/>
      <c r="MPC21" s="2950"/>
      <c r="MPD21" s="2950"/>
      <c r="MPE21" s="2950"/>
      <c r="MPF21" s="2950"/>
      <c r="MPG21" s="2950"/>
      <c r="MPH21" s="2950"/>
      <c r="MPI21" s="2950"/>
      <c r="MPJ21" s="2950"/>
      <c r="MPK21" s="2950"/>
      <c r="MPL21" s="2950"/>
      <c r="MPM21" s="2950"/>
      <c r="MPN21" s="2950"/>
      <c r="MPO21" s="2950"/>
      <c r="MPP21" s="2950"/>
      <c r="MPQ21" s="2950"/>
      <c r="MPR21" s="2950"/>
      <c r="MPS21" s="2950"/>
      <c r="MPT21" s="2950"/>
      <c r="MPU21" s="2950"/>
      <c r="MPV21" s="2950"/>
      <c r="MPW21" s="2950"/>
      <c r="MPX21" s="2950"/>
      <c r="MPY21" s="2950"/>
      <c r="MPZ21" s="2950"/>
      <c r="MQA21" s="2950"/>
      <c r="MQB21" s="2950"/>
      <c r="MQC21" s="2950"/>
      <c r="MQD21" s="2950"/>
      <c r="MQE21" s="2950"/>
      <c r="MQF21" s="2950"/>
      <c r="MQG21" s="2950"/>
      <c r="MQH21" s="2950"/>
      <c r="MQI21" s="2950"/>
      <c r="MQJ21" s="2950"/>
      <c r="MQK21" s="2950"/>
      <c r="MQL21" s="2950"/>
      <c r="MQM21" s="2950"/>
      <c r="MQN21" s="2950"/>
      <c r="MQO21" s="2950"/>
      <c r="MQP21" s="2950"/>
      <c r="MQQ21" s="2950"/>
      <c r="MQR21" s="2950"/>
      <c r="MQS21" s="2950"/>
      <c r="MQT21" s="2950"/>
      <c r="MQU21" s="2950"/>
      <c r="MQV21" s="2950"/>
      <c r="MQW21" s="2950"/>
      <c r="MQX21" s="2950"/>
      <c r="MQY21" s="2950"/>
      <c r="MQZ21" s="2950"/>
      <c r="MRA21" s="2950"/>
      <c r="MRB21" s="2950"/>
      <c r="MRC21" s="2950"/>
      <c r="MRD21" s="2950"/>
      <c r="MRE21" s="2950"/>
      <c r="MRF21" s="2950"/>
      <c r="MRG21" s="2950"/>
      <c r="MRH21" s="2950"/>
      <c r="MRI21" s="2950"/>
      <c r="MRJ21" s="2950"/>
      <c r="MRK21" s="2950"/>
      <c r="MRL21" s="2950"/>
      <c r="MRM21" s="2950"/>
      <c r="MRN21" s="2950"/>
      <c r="MRO21" s="2950"/>
      <c r="MRP21" s="2950"/>
      <c r="MRQ21" s="2950"/>
      <c r="MRR21" s="2950"/>
      <c r="MRS21" s="2950"/>
      <c r="MRT21" s="2950"/>
      <c r="MRU21" s="2950"/>
      <c r="MRV21" s="2950"/>
      <c r="MRW21" s="2950"/>
      <c r="MRX21" s="2950"/>
      <c r="MRY21" s="2950"/>
      <c r="MRZ21" s="2950"/>
      <c r="MSA21" s="2950"/>
      <c r="MSB21" s="2950"/>
      <c r="MSC21" s="2950"/>
      <c r="MSD21" s="2950"/>
      <c r="MSE21" s="2950"/>
      <c r="MSF21" s="2950"/>
      <c r="MSG21" s="2950"/>
      <c r="MSH21" s="2950"/>
      <c r="MSI21" s="2950"/>
      <c r="MSJ21" s="2950"/>
      <c r="MSK21" s="2950"/>
      <c r="MSL21" s="2950"/>
      <c r="MSM21" s="2950"/>
      <c r="MSN21" s="2950"/>
      <c r="MSO21" s="2950"/>
      <c r="MSP21" s="2950"/>
      <c r="MSQ21" s="2950"/>
      <c r="MSR21" s="2950"/>
      <c r="MSS21" s="2950"/>
      <c r="MST21" s="2950"/>
      <c r="MSU21" s="2950"/>
      <c r="MSV21" s="2950"/>
      <c r="MSW21" s="2950"/>
      <c r="MSX21" s="2950"/>
      <c r="MSY21" s="2950"/>
      <c r="MSZ21" s="2950"/>
      <c r="MTA21" s="2950"/>
      <c r="MTB21" s="2950"/>
      <c r="MTC21" s="2950"/>
      <c r="MTD21" s="2950"/>
      <c r="MTE21" s="2950"/>
      <c r="MTF21" s="2950"/>
      <c r="MTG21" s="2950"/>
      <c r="MTH21" s="2950"/>
      <c r="MTI21" s="2950"/>
      <c r="MTJ21" s="2950"/>
      <c r="MTK21" s="2950"/>
      <c r="MTL21" s="2950"/>
      <c r="MTM21" s="2950"/>
      <c r="MTN21" s="2950"/>
      <c r="MTO21" s="2950"/>
      <c r="MTP21" s="2950"/>
      <c r="MTQ21" s="2950"/>
      <c r="MTR21" s="2950"/>
      <c r="MTS21" s="2950"/>
      <c r="MTT21" s="2950"/>
      <c r="MTU21" s="2950"/>
      <c r="MTV21" s="2950"/>
      <c r="MTW21" s="2950"/>
      <c r="MTX21" s="2950"/>
      <c r="MTY21" s="2950"/>
      <c r="MTZ21" s="2950"/>
      <c r="MUA21" s="2950"/>
      <c r="MUB21" s="2950"/>
      <c r="MUC21" s="2950"/>
      <c r="MUD21" s="2950"/>
      <c r="MUE21" s="2950"/>
      <c r="MUF21" s="2950"/>
      <c r="MUG21" s="2950"/>
      <c r="MUH21" s="2950"/>
      <c r="MUI21" s="2950"/>
      <c r="MUJ21" s="2950"/>
      <c r="MUK21" s="2950"/>
      <c r="MUL21" s="2950"/>
      <c r="MUM21" s="2950"/>
      <c r="MUN21" s="2950"/>
      <c r="MUO21" s="2950"/>
      <c r="MUP21" s="2950"/>
      <c r="MUQ21" s="2950"/>
      <c r="MUR21" s="2950"/>
      <c r="MUS21" s="2950"/>
      <c r="MUT21" s="2950"/>
      <c r="MUU21" s="2950"/>
      <c r="MUV21" s="2950"/>
      <c r="MUW21" s="2950"/>
      <c r="MUX21" s="2950"/>
      <c r="MUY21" s="2950"/>
      <c r="MUZ21" s="2950"/>
      <c r="MVA21" s="2950"/>
      <c r="MVB21" s="2950"/>
      <c r="MVC21" s="2950"/>
      <c r="MVD21" s="2950"/>
      <c r="MVE21" s="2950"/>
      <c r="MVF21" s="2950"/>
      <c r="MVG21" s="2950"/>
      <c r="MVH21" s="2950"/>
      <c r="MVI21" s="2950"/>
      <c r="MVJ21" s="2950"/>
      <c r="MVK21" s="2950"/>
      <c r="MVL21" s="2950"/>
      <c r="MVM21" s="2950"/>
      <c r="MVN21" s="2950"/>
      <c r="MVO21" s="2950"/>
      <c r="MVP21" s="2950"/>
      <c r="MVQ21" s="2950"/>
      <c r="MVR21" s="2950"/>
      <c r="MVS21" s="2950"/>
      <c r="MVT21" s="2950"/>
      <c r="MVU21" s="2950"/>
      <c r="MVV21" s="2950"/>
      <c r="MVW21" s="2950"/>
      <c r="MVX21" s="2950"/>
      <c r="MVY21" s="2950"/>
      <c r="MVZ21" s="2950"/>
      <c r="MWA21" s="2950"/>
      <c r="MWB21" s="2950"/>
      <c r="MWC21" s="2950"/>
      <c r="MWD21" s="2950"/>
      <c r="MWE21" s="2950"/>
      <c r="MWF21" s="2950"/>
      <c r="MWG21" s="2950"/>
      <c r="MWH21" s="2950"/>
      <c r="MWI21" s="2950"/>
      <c r="MWJ21" s="2950"/>
      <c r="MWK21" s="2950"/>
      <c r="MWL21" s="2950"/>
      <c r="MWM21" s="2950"/>
      <c r="MWN21" s="2950"/>
      <c r="MWO21" s="2950"/>
      <c r="MWP21" s="2950"/>
      <c r="MWQ21" s="2950"/>
      <c r="MWR21" s="2950"/>
      <c r="MWS21" s="2950"/>
      <c r="MWT21" s="2950"/>
      <c r="MWU21" s="2950"/>
      <c r="MWV21" s="2950"/>
      <c r="MWW21" s="2950"/>
      <c r="MWX21" s="2950"/>
      <c r="MWY21" s="2950"/>
      <c r="MWZ21" s="2950"/>
      <c r="MXA21" s="2950"/>
      <c r="MXB21" s="2950"/>
      <c r="MXC21" s="2950"/>
      <c r="MXD21" s="2950"/>
      <c r="MXE21" s="2950"/>
      <c r="MXF21" s="2950"/>
      <c r="MXG21" s="2950"/>
      <c r="MXH21" s="2950"/>
      <c r="MXI21" s="2950"/>
      <c r="MXJ21" s="2950"/>
      <c r="MXK21" s="2950"/>
      <c r="MXL21" s="2950"/>
      <c r="MXM21" s="2950"/>
      <c r="MXN21" s="2950"/>
      <c r="MXO21" s="2950"/>
      <c r="MXP21" s="2950"/>
      <c r="MXQ21" s="2950"/>
      <c r="MXR21" s="2950"/>
      <c r="MXS21" s="2950"/>
      <c r="MXT21" s="2950"/>
      <c r="MXU21" s="2950"/>
      <c r="MXV21" s="2950"/>
      <c r="MXW21" s="2950"/>
      <c r="MXX21" s="2950"/>
      <c r="MXY21" s="2950"/>
      <c r="MXZ21" s="2950"/>
      <c r="MYA21" s="2950"/>
      <c r="MYB21" s="2950"/>
      <c r="MYC21" s="2950"/>
      <c r="MYD21" s="2950"/>
      <c r="MYE21" s="2950"/>
      <c r="MYF21" s="2950"/>
      <c r="MYG21" s="2950"/>
      <c r="MYH21" s="2950"/>
      <c r="MYI21" s="2950"/>
      <c r="MYJ21" s="2950"/>
      <c r="MYK21" s="2950"/>
      <c r="MYL21" s="2950"/>
      <c r="MYM21" s="2950"/>
      <c r="MYN21" s="2950"/>
      <c r="MYO21" s="2950"/>
      <c r="MYP21" s="2950"/>
      <c r="MYQ21" s="2950"/>
      <c r="MYR21" s="2950"/>
      <c r="MYS21" s="2950"/>
      <c r="MYT21" s="2950"/>
      <c r="MYU21" s="2950"/>
      <c r="MYV21" s="2950"/>
      <c r="MYW21" s="2950"/>
      <c r="MYX21" s="2950"/>
      <c r="MYY21" s="2950"/>
      <c r="MYZ21" s="2950"/>
      <c r="MZA21" s="2950"/>
      <c r="MZB21" s="2950"/>
      <c r="MZC21" s="2950"/>
      <c r="MZD21" s="2950"/>
      <c r="MZE21" s="2950"/>
      <c r="MZF21" s="2950"/>
      <c r="MZG21" s="2950"/>
      <c r="MZH21" s="2950"/>
      <c r="MZI21" s="2950"/>
      <c r="MZJ21" s="2950"/>
      <c r="MZK21" s="2950"/>
      <c r="MZL21" s="2950"/>
      <c r="MZM21" s="2950"/>
      <c r="MZN21" s="2950"/>
      <c r="MZO21" s="2950"/>
      <c r="MZP21" s="2950"/>
      <c r="MZQ21" s="2950"/>
      <c r="MZR21" s="2950"/>
      <c r="MZS21" s="2950"/>
      <c r="MZT21" s="2950"/>
      <c r="MZU21" s="2950"/>
      <c r="MZV21" s="2950"/>
      <c r="MZW21" s="2950"/>
      <c r="MZX21" s="2950"/>
      <c r="MZY21" s="2950"/>
      <c r="MZZ21" s="2950"/>
      <c r="NAA21" s="2950"/>
      <c r="NAB21" s="2950"/>
      <c r="NAC21" s="2950"/>
      <c r="NAD21" s="2950"/>
      <c r="NAE21" s="2950"/>
      <c r="NAF21" s="2950"/>
      <c r="NAG21" s="2950"/>
      <c r="NAH21" s="2950"/>
      <c r="NAI21" s="2950"/>
      <c r="NAJ21" s="2950"/>
      <c r="NAK21" s="2950"/>
      <c r="NAL21" s="2950"/>
      <c r="NAM21" s="2950"/>
      <c r="NAN21" s="2950"/>
      <c r="NAO21" s="2950"/>
      <c r="NAP21" s="2950"/>
      <c r="NAQ21" s="2950"/>
      <c r="NAR21" s="2950"/>
      <c r="NAS21" s="2950"/>
      <c r="NAT21" s="2950"/>
      <c r="NAU21" s="2950"/>
      <c r="NAV21" s="2950"/>
      <c r="NAW21" s="2950"/>
      <c r="NAX21" s="2950"/>
      <c r="NAY21" s="2950"/>
      <c r="NAZ21" s="2950"/>
      <c r="NBA21" s="2950"/>
      <c r="NBB21" s="2950"/>
      <c r="NBC21" s="2950"/>
      <c r="NBD21" s="2950"/>
      <c r="NBE21" s="2950"/>
      <c r="NBF21" s="2950"/>
      <c r="NBG21" s="2950"/>
      <c r="NBH21" s="2950"/>
      <c r="NBI21" s="2950"/>
      <c r="NBJ21" s="2950"/>
      <c r="NBK21" s="2950"/>
      <c r="NBL21" s="2950"/>
      <c r="NBM21" s="2950"/>
      <c r="NBN21" s="2950"/>
      <c r="NBO21" s="2950"/>
      <c r="NBP21" s="2950"/>
      <c r="NBQ21" s="2950"/>
      <c r="NBR21" s="2950"/>
      <c r="NBS21" s="2950"/>
      <c r="NBT21" s="2950"/>
      <c r="NBU21" s="2950"/>
      <c r="NBV21" s="2950"/>
      <c r="NBW21" s="2950"/>
      <c r="NBX21" s="2950"/>
      <c r="NBY21" s="2950"/>
      <c r="NBZ21" s="2950"/>
      <c r="NCA21" s="2950"/>
      <c r="NCB21" s="2950"/>
      <c r="NCC21" s="2950"/>
      <c r="NCD21" s="2950"/>
      <c r="NCE21" s="2950"/>
      <c r="NCF21" s="2950"/>
      <c r="NCG21" s="2950"/>
      <c r="NCH21" s="2950"/>
      <c r="NCI21" s="2950"/>
      <c r="NCJ21" s="2950"/>
      <c r="NCK21" s="2950"/>
      <c r="NCL21" s="2950"/>
      <c r="NCM21" s="2950"/>
      <c r="NCN21" s="2950"/>
      <c r="NCO21" s="2950"/>
      <c r="NCP21" s="2950"/>
      <c r="NCQ21" s="2950"/>
      <c r="NCR21" s="2950"/>
      <c r="NCS21" s="2950"/>
      <c r="NCT21" s="2950"/>
      <c r="NCU21" s="2950"/>
      <c r="NCV21" s="2950"/>
      <c r="NCW21" s="2950"/>
      <c r="NCX21" s="2950"/>
      <c r="NCY21" s="2950"/>
      <c r="NCZ21" s="2950"/>
      <c r="NDA21" s="2950"/>
      <c r="NDB21" s="2950"/>
      <c r="NDC21" s="2950"/>
      <c r="NDD21" s="2950"/>
      <c r="NDE21" s="2950"/>
      <c r="NDF21" s="2950"/>
      <c r="NDG21" s="2950"/>
      <c r="NDH21" s="2950"/>
      <c r="NDI21" s="2950"/>
      <c r="NDJ21" s="2950"/>
      <c r="NDK21" s="2950"/>
      <c r="NDL21" s="2950"/>
      <c r="NDM21" s="2950"/>
      <c r="NDN21" s="2950"/>
      <c r="NDO21" s="2950"/>
      <c r="NDP21" s="2950"/>
      <c r="NDQ21" s="2950"/>
      <c r="NDR21" s="2950"/>
      <c r="NDS21" s="2950"/>
      <c r="NDT21" s="2950"/>
      <c r="NDU21" s="2950"/>
      <c r="NDV21" s="2950"/>
      <c r="NDW21" s="2950"/>
      <c r="NDX21" s="2950"/>
      <c r="NDY21" s="2950"/>
      <c r="NDZ21" s="2950"/>
      <c r="NEA21" s="2950"/>
      <c r="NEB21" s="2950"/>
      <c r="NEC21" s="2950"/>
      <c r="NED21" s="2950"/>
      <c r="NEE21" s="2950"/>
      <c r="NEF21" s="2950"/>
      <c r="NEG21" s="2950"/>
      <c r="NEH21" s="2950"/>
      <c r="NEI21" s="2950"/>
      <c r="NEJ21" s="2950"/>
      <c r="NEK21" s="2950"/>
      <c r="NEL21" s="2950"/>
      <c r="NEM21" s="2950"/>
      <c r="NEN21" s="2950"/>
      <c r="NEO21" s="2950"/>
      <c r="NEP21" s="2950"/>
      <c r="NEQ21" s="2950"/>
      <c r="NER21" s="2950"/>
      <c r="NES21" s="2950"/>
      <c r="NET21" s="2950"/>
      <c r="NEU21" s="2950"/>
      <c r="NEV21" s="2950"/>
      <c r="NEW21" s="2950"/>
      <c r="NEX21" s="2950"/>
      <c r="NEY21" s="2950"/>
      <c r="NEZ21" s="2950"/>
      <c r="NFA21" s="2950"/>
      <c r="NFB21" s="2950"/>
      <c r="NFC21" s="2950"/>
      <c r="NFD21" s="2950"/>
      <c r="NFE21" s="2950"/>
      <c r="NFF21" s="2950"/>
      <c r="NFG21" s="2950"/>
      <c r="NFH21" s="2950"/>
      <c r="NFI21" s="2950"/>
      <c r="NFJ21" s="2950"/>
      <c r="NFK21" s="2950"/>
      <c r="NFL21" s="2950"/>
      <c r="NFM21" s="2950"/>
      <c r="NFN21" s="2950"/>
      <c r="NFO21" s="2950"/>
      <c r="NFP21" s="2950"/>
      <c r="NFQ21" s="2950"/>
      <c r="NFR21" s="2950"/>
      <c r="NFS21" s="2950"/>
      <c r="NFT21" s="2950"/>
      <c r="NFU21" s="2950"/>
      <c r="NFV21" s="2950"/>
      <c r="NFW21" s="2950"/>
      <c r="NFX21" s="2950"/>
      <c r="NFY21" s="2950"/>
      <c r="NFZ21" s="2950"/>
      <c r="NGA21" s="2950"/>
      <c r="NGB21" s="2950"/>
      <c r="NGC21" s="2950"/>
      <c r="NGD21" s="2950"/>
      <c r="NGE21" s="2950"/>
      <c r="NGF21" s="2950"/>
      <c r="NGG21" s="2950"/>
      <c r="NGH21" s="2950"/>
      <c r="NGI21" s="2950"/>
      <c r="NGJ21" s="2950"/>
      <c r="NGK21" s="2950"/>
      <c r="NGL21" s="2950"/>
      <c r="NGM21" s="2950"/>
      <c r="NGN21" s="2950"/>
      <c r="NGO21" s="2950"/>
      <c r="NGP21" s="2950"/>
      <c r="NGQ21" s="2950"/>
      <c r="NGR21" s="2950"/>
      <c r="NGS21" s="2950"/>
      <c r="NGT21" s="2950"/>
      <c r="NGU21" s="2950"/>
      <c r="NGV21" s="2950"/>
      <c r="NGW21" s="2950"/>
      <c r="NGX21" s="2950"/>
      <c r="NGY21" s="2950"/>
      <c r="NGZ21" s="2950"/>
      <c r="NHA21" s="2950"/>
      <c r="NHB21" s="2950"/>
      <c r="NHC21" s="2950"/>
      <c r="NHD21" s="2950"/>
      <c r="NHE21" s="2950"/>
      <c r="NHF21" s="2950"/>
      <c r="NHG21" s="2950"/>
      <c r="NHH21" s="2950"/>
      <c r="NHI21" s="2950"/>
      <c r="NHJ21" s="2950"/>
      <c r="NHK21" s="2950"/>
      <c r="NHL21" s="2950"/>
      <c r="NHM21" s="2950"/>
      <c r="NHN21" s="2950"/>
      <c r="NHO21" s="2950"/>
      <c r="NHP21" s="2950"/>
      <c r="NHQ21" s="2950"/>
      <c r="NHR21" s="2950"/>
      <c r="NHS21" s="2950"/>
      <c r="NHT21" s="2950"/>
      <c r="NHU21" s="2950"/>
      <c r="NHV21" s="2950"/>
      <c r="NHW21" s="2950"/>
      <c r="NHX21" s="2950"/>
      <c r="NHY21" s="2950"/>
      <c r="NHZ21" s="2950"/>
      <c r="NIA21" s="2950"/>
      <c r="NIB21" s="2950"/>
      <c r="NIC21" s="2950"/>
      <c r="NID21" s="2950"/>
      <c r="NIE21" s="2950"/>
      <c r="NIF21" s="2950"/>
      <c r="NIG21" s="2950"/>
      <c r="NIH21" s="2950"/>
      <c r="NII21" s="2950"/>
      <c r="NIJ21" s="2950"/>
      <c r="NIK21" s="2950"/>
      <c r="NIL21" s="2950"/>
      <c r="NIM21" s="2950"/>
      <c r="NIN21" s="2950"/>
      <c r="NIO21" s="2950"/>
      <c r="NIP21" s="2950"/>
      <c r="NIQ21" s="2950"/>
      <c r="NIR21" s="2950"/>
      <c r="NIS21" s="2950"/>
      <c r="NIT21" s="2950"/>
      <c r="NIU21" s="2950"/>
      <c r="NIV21" s="2950"/>
      <c r="NIW21" s="2950"/>
      <c r="NIX21" s="2950"/>
      <c r="NIY21" s="2950"/>
      <c r="NIZ21" s="2950"/>
      <c r="NJA21" s="2950"/>
      <c r="NJB21" s="2950"/>
      <c r="NJC21" s="2950"/>
      <c r="NJD21" s="2950"/>
      <c r="NJE21" s="2950"/>
      <c r="NJF21" s="2950"/>
      <c r="NJG21" s="2950"/>
      <c r="NJH21" s="2950"/>
      <c r="NJI21" s="2950"/>
      <c r="NJJ21" s="2950"/>
      <c r="NJK21" s="2950"/>
      <c r="NJL21" s="2950"/>
      <c r="NJM21" s="2950"/>
      <c r="NJN21" s="2950"/>
      <c r="NJO21" s="2950"/>
      <c r="NJP21" s="2950"/>
      <c r="NJQ21" s="2950"/>
      <c r="NJR21" s="2950"/>
      <c r="NJS21" s="2950"/>
      <c r="NJT21" s="2950"/>
      <c r="NJU21" s="2950"/>
      <c r="NJV21" s="2950"/>
      <c r="NJW21" s="2950"/>
      <c r="NJX21" s="2950"/>
      <c r="NJY21" s="2950"/>
      <c r="NJZ21" s="2950"/>
      <c r="NKA21" s="2950"/>
      <c r="NKB21" s="2950"/>
      <c r="NKC21" s="2950"/>
      <c r="NKD21" s="2950"/>
      <c r="NKE21" s="2950"/>
      <c r="NKF21" s="2950"/>
      <c r="NKG21" s="2950"/>
      <c r="NKH21" s="2950"/>
      <c r="NKI21" s="2950"/>
      <c r="NKJ21" s="2950"/>
      <c r="NKK21" s="2950"/>
      <c r="NKL21" s="2950"/>
      <c r="NKM21" s="2950"/>
      <c r="NKN21" s="2950"/>
      <c r="NKO21" s="2950"/>
      <c r="NKP21" s="2950"/>
      <c r="NKQ21" s="2950"/>
      <c r="NKR21" s="2950"/>
      <c r="NKS21" s="2950"/>
      <c r="NKT21" s="2950"/>
      <c r="NKU21" s="2950"/>
      <c r="NKV21" s="2950"/>
      <c r="NKW21" s="2950"/>
      <c r="NKX21" s="2950"/>
      <c r="NKY21" s="2950"/>
      <c r="NKZ21" s="2950"/>
      <c r="NLA21" s="2950"/>
      <c r="NLB21" s="2950"/>
      <c r="NLC21" s="2950"/>
      <c r="NLD21" s="2950"/>
      <c r="NLE21" s="2950"/>
      <c r="NLF21" s="2950"/>
      <c r="NLG21" s="2950"/>
      <c r="NLH21" s="2950"/>
      <c r="NLI21" s="2950"/>
      <c r="NLJ21" s="2950"/>
      <c r="NLK21" s="2950"/>
      <c r="NLL21" s="2950"/>
      <c r="NLM21" s="2950"/>
      <c r="NLN21" s="2950"/>
      <c r="NLO21" s="2950"/>
      <c r="NLP21" s="2950"/>
      <c r="NLQ21" s="2950"/>
      <c r="NLR21" s="2950"/>
      <c r="NLS21" s="2950"/>
      <c r="NLT21" s="2950"/>
      <c r="NLU21" s="2950"/>
      <c r="NLV21" s="2950"/>
      <c r="NLW21" s="2950"/>
      <c r="NLX21" s="2950"/>
      <c r="NLY21" s="2950"/>
      <c r="NLZ21" s="2950"/>
      <c r="NMA21" s="2950"/>
      <c r="NMB21" s="2950"/>
      <c r="NMC21" s="2950"/>
      <c r="NMD21" s="2950"/>
      <c r="NME21" s="2950"/>
      <c r="NMF21" s="2950"/>
      <c r="NMG21" s="2950"/>
      <c r="NMH21" s="2950"/>
      <c r="NMI21" s="2950"/>
      <c r="NMJ21" s="2950"/>
      <c r="NMK21" s="2950"/>
      <c r="NML21" s="2950"/>
      <c r="NMM21" s="2950"/>
      <c r="NMN21" s="2950"/>
      <c r="NMO21" s="2950"/>
      <c r="NMP21" s="2950"/>
      <c r="NMQ21" s="2950"/>
      <c r="NMR21" s="2950"/>
      <c r="NMS21" s="2950"/>
      <c r="NMT21" s="2950"/>
      <c r="NMU21" s="2950"/>
      <c r="NMV21" s="2950"/>
      <c r="NMW21" s="2950"/>
      <c r="NMX21" s="2950"/>
      <c r="NMY21" s="2950"/>
      <c r="NMZ21" s="2950"/>
      <c r="NNA21" s="2950"/>
      <c r="NNB21" s="2950"/>
      <c r="NNC21" s="2950"/>
      <c r="NND21" s="2950"/>
      <c r="NNE21" s="2950"/>
      <c r="NNF21" s="2950"/>
      <c r="NNG21" s="2950"/>
      <c r="NNH21" s="2950"/>
      <c r="NNI21" s="2950"/>
      <c r="NNJ21" s="2950"/>
      <c r="NNK21" s="2950"/>
      <c r="NNL21" s="2950"/>
      <c r="NNM21" s="2950"/>
      <c r="NNN21" s="2950"/>
      <c r="NNO21" s="2950"/>
      <c r="NNP21" s="2950"/>
      <c r="NNQ21" s="2950"/>
      <c r="NNR21" s="2950"/>
      <c r="NNS21" s="2950"/>
      <c r="NNT21" s="2950"/>
      <c r="NNU21" s="2950"/>
      <c r="NNV21" s="2950"/>
      <c r="NNW21" s="2950"/>
      <c r="NNX21" s="2950"/>
      <c r="NNY21" s="2950"/>
      <c r="NNZ21" s="2950"/>
      <c r="NOA21" s="2950"/>
      <c r="NOB21" s="2950"/>
      <c r="NOC21" s="2950"/>
      <c r="NOD21" s="2950"/>
      <c r="NOE21" s="2950"/>
      <c r="NOF21" s="2950"/>
      <c r="NOG21" s="2950"/>
      <c r="NOH21" s="2950"/>
      <c r="NOI21" s="2950"/>
      <c r="NOJ21" s="2950"/>
      <c r="NOK21" s="2950"/>
      <c r="NOL21" s="2950"/>
      <c r="NOM21" s="2950"/>
      <c r="NON21" s="2950"/>
      <c r="NOO21" s="2950"/>
      <c r="NOP21" s="2950"/>
      <c r="NOQ21" s="2950"/>
      <c r="NOR21" s="2950"/>
      <c r="NOS21" s="2950"/>
      <c r="NOT21" s="2950"/>
      <c r="NOU21" s="2950"/>
      <c r="NOV21" s="2950"/>
      <c r="NOW21" s="2950"/>
      <c r="NOX21" s="2950"/>
      <c r="NOY21" s="2950"/>
      <c r="NOZ21" s="2950"/>
      <c r="NPA21" s="2950"/>
      <c r="NPB21" s="2950"/>
      <c r="NPC21" s="2950"/>
      <c r="NPD21" s="2950"/>
      <c r="NPE21" s="2950"/>
      <c r="NPF21" s="2950"/>
      <c r="NPG21" s="2950"/>
      <c r="NPH21" s="2950"/>
      <c r="NPI21" s="2950"/>
      <c r="NPJ21" s="2950"/>
      <c r="NPK21" s="2950"/>
      <c r="NPL21" s="2950"/>
      <c r="NPM21" s="2950"/>
      <c r="NPN21" s="2950"/>
      <c r="NPO21" s="2950"/>
      <c r="NPP21" s="2950"/>
      <c r="NPQ21" s="2950"/>
      <c r="NPR21" s="2950"/>
      <c r="NPS21" s="2950"/>
      <c r="NPT21" s="2950"/>
      <c r="NPU21" s="2950"/>
      <c r="NPV21" s="2950"/>
      <c r="NPW21" s="2950"/>
      <c r="NPX21" s="2950"/>
      <c r="NPY21" s="2950"/>
      <c r="NPZ21" s="2950"/>
      <c r="NQA21" s="2950"/>
      <c r="NQB21" s="2950"/>
      <c r="NQC21" s="2950"/>
      <c r="NQD21" s="2950"/>
      <c r="NQE21" s="2950"/>
      <c r="NQF21" s="2950"/>
      <c r="NQG21" s="2950"/>
      <c r="NQH21" s="2950"/>
      <c r="NQI21" s="2950"/>
      <c r="NQJ21" s="2950"/>
      <c r="NQK21" s="2950"/>
      <c r="NQL21" s="2950"/>
      <c r="NQM21" s="2950"/>
      <c r="NQN21" s="2950"/>
      <c r="NQO21" s="2950"/>
      <c r="NQP21" s="2950"/>
      <c r="NQQ21" s="2950"/>
      <c r="NQR21" s="2950"/>
      <c r="NQS21" s="2950"/>
      <c r="NQT21" s="2950"/>
      <c r="NQU21" s="2950"/>
      <c r="NQV21" s="2950"/>
      <c r="NQW21" s="2950"/>
      <c r="NQX21" s="2950"/>
      <c r="NQY21" s="2950"/>
      <c r="NQZ21" s="2950"/>
      <c r="NRA21" s="2950"/>
      <c r="NRB21" s="2950"/>
      <c r="NRC21" s="2950"/>
      <c r="NRD21" s="2950"/>
      <c r="NRE21" s="2950"/>
      <c r="NRF21" s="2950"/>
      <c r="NRG21" s="2950"/>
      <c r="NRH21" s="2950"/>
      <c r="NRI21" s="2950"/>
      <c r="NRJ21" s="2950"/>
      <c r="NRK21" s="2950"/>
      <c r="NRL21" s="2950"/>
      <c r="NRM21" s="2950"/>
      <c r="NRN21" s="2950"/>
      <c r="NRO21" s="2950"/>
      <c r="NRP21" s="2950"/>
      <c r="NRQ21" s="2950"/>
      <c r="NRR21" s="2950"/>
      <c r="NRS21" s="2950"/>
      <c r="NRT21" s="2950"/>
      <c r="NRU21" s="2950"/>
      <c r="NRV21" s="2950"/>
      <c r="NRW21" s="2950"/>
      <c r="NRX21" s="2950"/>
      <c r="NRY21" s="2950"/>
      <c r="NRZ21" s="2950"/>
      <c r="NSA21" s="2950"/>
      <c r="NSB21" s="2950"/>
      <c r="NSC21" s="2950"/>
      <c r="NSD21" s="2950"/>
      <c r="NSE21" s="2950"/>
      <c r="NSF21" s="2950"/>
      <c r="NSG21" s="2950"/>
      <c r="NSH21" s="2950"/>
      <c r="NSI21" s="2950"/>
      <c r="NSJ21" s="2950"/>
      <c r="NSK21" s="2950"/>
      <c r="NSL21" s="2950"/>
      <c r="NSM21" s="2950"/>
      <c r="NSN21" s="2950"/>
      <c r="NSO21" s="2950"/>
      <c r="NSP21" s="2950"/>
      <c r="NSQ21" s="2950"/>
      <c r="NSR21" s="2950"/>
      <c r="NSS21" s="2950"/>
      <c r="NST21" s="2950"/>
      <c r="NSU21" s="2950"/>
      <c r="NSV21" s="2950"/>
      <c r="NSW21" s="2950"/>
      <c r="NSX21" s="2950"/>
      <c r="NSY21" s="2950"/>
      <c r="NSZ21" s="2950"/>
      <c r="NTA21" s="2950"/>
      <c r="NTB21" s="2950"/>
      <c r="NTC21" s="2950"/>
      <c r="NTD21" s="2950"/>
      <c r="NTE21" s="2950"/>
      <c r="NTF21" s="2950"/>
      <c r="NTG21" s="2950"/>
      <c r="NTH21" s="2950"/>
      <c r="NTI21" s="2950"/>
      <c r="NTJ21" s="2950"/>
      <c r="NTK21" s="2950"/>
      <c r="NTL21" s="2950"/>
      <c r="NTM21" s="2950"/>
      <c r="NTN21" s="2950"/>
      <c r="NTO21" s="2950"/>
      <c r="NTP21" s="2950"/>
      <c r="NTQ21" s="2950"/>
      <c r="NTR21" s="2950"/>
      <c r="NTS21" s="2950"/>
      <c r="NTT21" s="2950"/>
      <c r="NTU21" s="2950"/>
      <c r="NTV21" s="2950"/>
      <c r="NTW21" s="2950"/>
      <c r="NTX21" s="2950"/>
      <c r="NTY21" s="2950"/>
      <c r="NTZ21" s="2950"/>
      <c r="NUA21" s="2950"/>
      <c r="NUB21" s="2950"/>
      <c r="NUC21" s="2950"/>
      <c r="NUD21" s="2950"/>
      <c r="NUE21" s="2950"/>
      <c r="NUF21" s="2950"/>
      <c r="NUG21" s="2950"/>
      <c r="NUH21" s="2950"/>
      <c r="NUI21" s="2950"/>
      <c r="NUJ21" s="2950"/>
      <c r="NUK21" s="2950"/>
      <c r="NUL21" s="2950"/>
      <c r="NUM21" s="2950"/>
      <c r="NUN21" s="2950"/>
      <c r="NUO21" s="2950"/>
      <c r="NUP21" s="2950"/>
      <c r="NUQ21" s="2950"/>
      <c r="NUR21" s="2950"/>
      <c r="NUS21" s="2950"/>
      <c r="NUT21" s="2950"/>
      <c r="NUU21" s="2950"/>
      <c r="NUV21" s="2950"/>
      <c r="NUW21" s="2950"/>
      <c r="NUX21" s="2950"/>
      <c r="NUY21" s="2950"/>
      <c r="NUZ21" s="2950"/>
      <c r="NVA21" s="2950"/>
      <c r="NVB21" s="2950"/>
      <c r="NVC21" s="2950"/>
      <c r="NVD21" s="2950"/>
      <c r="NVE21" s="2950"/>
      <c r="NVF21" s="2950"/>
      <c r="NVG21" s="2950"/>
      <c r="NVH21" s="2950"/>
      <c r="NVI21" s="2950"/>
      <c r="NVJ21" s="2950"/>
      <c r="NVK21" s="2950"/>
      <c r="NVL21" s="2950"/>
      <c r="NVM21" s="2950"/>
      <c r="NVN21" s="2950"/>
      <c r="NVO21" s="2950"/>
      <c r="NVP21" s="2950"/>
      <c r="NVQ21" s="2950"/>
      <c r="NVR21" s="2950"/>
      <c r="NVS21" s="2950"/>
      <c r="NVT21" s="2950"/>
      <c r="NVU21" s="2950"/>
      <c r="NVV21" s="2950"/>
      <c r="NVW21" s="2950"/>
      <c r="NVX21" s="2950"/>
      <c r="NVY21" s="2950"/>
      <c r="NVZ21" s="2950"/>
      <c r="NWA21" s="2950"/>
      <c r="NWB21" s="2950"/>
      <c r="NWC21" s="2950"/>
      <c r="NWD21" s="2950"/>
      <c r="NWE21" s="2950"/>
      <c r="NWF21" s="2950"/>
      <c r="NWG21" s="2950"/>
      <c r="NWH21" s="2950"/>
      <c r="NWI21" s="2950"/>
      <c r="NWJ21" s="2950"/>
      <c r="NWK21" s="2950"/>
      <c r="NWL21" s="2950"/>
      <c r="NWM21" s="2950"/>
      <c r="NWN21" s="2950"/>
      <c r="NWO21" s="2950"/>
      <c r="NWP21" s="2950"/>
      <c r="NWQ21" s="2950"/>
      <c r="NWR21" s="2950"/>
      <c r="NWS21" s="2950"/>
      <c r="NWT21" s="2950"/>
      <c r="NWU21" s="2950"/>
      <c r="NWV21" s="2950"/>
      <c r="NWW21" s="2950"/>
      <c r="NWX21" s="2950"/>
      <c r="NWY21" s="2950"/>
      <c r="NWZ21" s="2950"/>
      <c r="NXA21" s="2950"/>
      <c r="NXB21" s="2950"/>
      <c r="NXC21" s="2950"/>
      <c r="NXD21" s="2950"/>
      <c r="NXE21" s="2950"/>
      <c r="NXF21" s="2950"/>
      <c r="NXG21" s="2950"/>
      <c r="NXH21" s="2950"/>
      <c r="NXI21" s="2950"/>
      <c r="NXJ21" s="2950"/>
      <c r="NXK21" s="2950"/>
      <c r="NXL21" s="2950"/>
      <c r="NXM21" s="2950"/>
      <c r="NXN21" s="2950"/>
      <c r="NXO21" s="2950"/>
      <c r="NXP21" s="2950"/>
      <c r="NXQ21" s="2950"/>
      <c r="NXR21" s="2950"/>
      <c r="NXS21" s="2950"/>
      <c r="NXT21" s="2950"/>
      <c r="NXU21" s="2950"/>
      <c r="NXV21" s="2950"/>
      <c r="NXW21" s="2950"/>
      <c r="NXX21" s="2950"/>
      <c r="NXY21" s="2950"/>
      <c r="NXZ21" s="2950"/>
      <c r="NYA21" s="2950"/>
      <c r="NYB21" s="2950"/>
      <c r="NYC21" s="2950"/>
      <c r="NYD21" s="2950"/>
      <c r="NYE21" s="2950"/>
      <c r="NYF21" s="2950"/>
      <c r="NYG21" s="2950"/>
      <c r="NYH21" s="2950"/>
      <c r="NYI21" s="2950"/>
      <c r="NYJ21" s="2950"/>
      <c r="NYK21" s="2950"/>
      <c r="NYL21" s="2950"/>
      <c r="NYM21" s="2950"/>
      <c r="NYN21" s="2950"/>
      <c r="NYO21" s="2950"/>
      <c r="NYP21" s="2950"/>
      <c r="NYQ21" s="2950"/>
      <c r="NYR21" s="2950"/>
      <c r="NYS21" s="2950"/>
      <c r="NYT21" s="2950"/>
      <c r="NYU21" s="2950"/>
      <c r="NYV21" s="2950"/>
      <c r="NYW21" s="2950"/>
      <c r="NYX21" s="2950"/>
      <c r="NYY21" s="2950"/>
      <c r="NYZ21" s="2950"/>
      <c r="NZA21" s="2950"/>
      <c r="NZB21" s="2950"/>
      <c r="NZC21" s="2950"/>
      <c r="NZD21" s="2950"/>
      <c r="NZE21" s="2950"/>
      <c r="NZF21" s="2950"/>
      <c r="NZG21" s="2950"/>
      <c r="NZH21" s="2950"/>
      <c r="NZI21" s="2950"/>
      <c r="NZJ21" s="2950"/>
      <c r="NZK21" s="2950"/>
      <c r="NZL21" s="2950"/>
      <c r="NZM21" s="2950"/>
      <c r="NZN21" s="2950"/>
      <c r="NZO21" s="2950"/>
      <c r="NZP21" s="2950"/>
      <c r="NZQ21" s="2950"/>
      <c r="NZR21" s="2950"/>
      <c r="NZS21" s="2950"/>
      <c r="NZT21" s="2950"/>
      <c r="NZU21" s="2950"/>
      <c r="NZV21" s="2950"/>
      <c r="NZW21" s="2950"/>
      <c r="NZX21" s="2950"/>
      <c r="NZY21" s="2950"/>
      <c r="NZZ21" s="2950"/>
      <c r="OAA21" s="2950"/>
      <c r="OAB21" s="2950"/>
      <c r="OAC21" s="2950"/>
      <c r="OAD21" s="2950"/>
      <c r="OAE21" s="2950"/>
      <c r="OAF21" s="2950"/>
      <c r="OAG21" s="2950"/>
      <c r="OAH21" s="2950"/>
      <c r="OAI21" s="2950"/>
      <c r="OAJ21" s="2950"/>
      <c r="OAK21" s="2950"/>
      <c r="OAL21" s="2950"/>
      <c r="OAM21" s="2950"/>
      <c r="OAN21" s="2950"/>
      <c r="OAO21" s="2950"/>
      <c r="OAP21" s="2950"/>
      <c r="OAQ21" s="2950"/>
      <c r="OAR21" s="2950"/>
      <c r="OAS21" s="2950"/>
      <c r="OAT21" s="2950"/>
      <c r="OAU21" s="2950"/>
      <c r="OAV21" s="2950"/>
      <c r="OAW21" s="2950"/>
      <c r="OAX21" s="2950"/>
      <c r="OAY21" s="2950"/>
      <c r="OAZ21" s="2950"/>
      <c r="OBA21" s="2950"/>
      <c r="OBB21" s="2950"/>
      <c r="OBC21" s="2950"/>
      <c r="OBD21" s="2950"/>
      <c r="OBE21" s="2950"/>
      <c r="OBF21" s="2950"/>
      <c r="OBG21" s="2950"/>
      <c r="OBH21" s="2950"/>
      <c r="OBI21" s="2950"/>
      <c r="OBJ21" s="2950"/>
      <c r="OBK21" s="2950"/>
      <c r="OBL21" s="2950"/>
      <c r="OBM21" s="2950"/>
      <c r="OBN21" s="2950"/>
      <c r="OBO21" s="2950"/>
      <c r="OBP21" s="2950"/>
      <c r="OBQ21" s="2950"/>
      <c r="OBR21" s="2950"/>
      <c r="OBS21" s="2950"/>
      <c r="OBT21" s="2950"/>
      <c r="OBU21" s="2950"/>
      <c r="OBV21" s="2950"/>
      <c r="OBW21" s="2950"/>
      <c r="OBX21" s="2950"/>
      <c r="OBY21" s="2950"/>
      <c r="OBZ21" s="2950"/>
      <c r="OCA21" s="2950"/>
      <c r="OCB21" s="2950"/>
      <c r="OCC21" s="2950"/>
      <c r="OCD21" s="2950"/>
      <c r="OCE21" s="2950"/>
      <c r="OCF21" s="2950"/>
      <c r="OCG21" s="2950"/>
      <c r="OCH21" s="2950"/>
      <c r="OCI21" s="2950"/>
      <c r="OCJ21" s="2950"/>
      <c r="OCK21" s="2950"/>
      <c r="OCL21" s="2950"/>
      <c r="OCM21" s="2950"/>
      <c r="OCN21" s="2950"/>
      <c r="OCO21" s="2950"/>
      <c r="OCP21" s="2950"/>
      <c r="OCQ21" s="2950"/>
      <c r="OCR21" s="2950"/>
      <c r="OCS21" s="2950"/>
      <c r="OCT21" s="2950"/>
      <c r="OCU21" s="2950"/>
      <c r="OCV21" s="2950"/>
      <c r="OCW21" s="2950"/>
      <c r="OCX21" s="2950"/>
      <c r="OCY21" s="2950"/>
      <c r="OCZ21" s="2950"/>
      <c r="ODA21" s="2950"/>
      <c r="ODB21" s="2950"/>
      <c r="ODC21" s="2950"/>
      <c r="ODD21" s="2950"/>
      <c r="ODE21" s="2950"/>
      <c r="ODF21" s="2950"/>
      <c r="ODG21" s="2950"/>
      <c r="ODH21" s="2950"/>
      <c r="ODI21" s="2950"/>
      <c r="ODJ21" s="2950"/>
      <c r="ODK21" s="2950"/>
      <c r="ODL21" s="2950"/>
      <c r="ODM21" s="2950"/>
      <c r="ODN21" s="2950"/>
      <c r="ODO21" s="2950"/>
      <c r="ODP21" s="2950"/>
      <c r="ODQ21" s="2950"/>
      <c r="ODR21" s="2950"/>
      <c r="ODS21" s="2950"/>
      <c r="ODT21" s="2950"/>
      <c r="ODU21" s="2950"/>
      <c r="ODV21" s="2950"/>
      <c r="ODW21" s="2950"/>
      <c r="ODX21" s="2950"/>
      <c r="ODY21" s="2950"/>
      <c r="ODZ21" s="2950"/>
      <c r="OEA21" s="2950"/>
      <c r="OEB21" s="2950"/>
      <c r="OEC21" s="2950"/>
      <c r="OED21" s="2950"/>
      <c r="OEE21" s="2950"/>
      <c r="OEF21" s="2950"/>
      <c r="OEG21" s="2950"/>
      <c r="OEH21" s="2950"/>
      <c r="OEI21" s="2950"/>
      <c r="OEJ21" s="2950"/>
      <c r="OEK21" s="2950"/>
      <c r="OEL21" s="2950"/>
      <c r="OEM21" s="2950"/>
      <c r="OEN21" s="2950"/>
      <c r="OEO21" s="2950"/>
      <c r="OEP21" s="2950"/>
      <c r="OEQ21" s="2950"/>
      <c r="OER21" s="2950"/>
      <c r="OES21" s="2950"/>
      <c r="OET21" s="2950"/>
      <c r="OEU21" s="2950"/>
      <c r="OEV21" s="2950"/>
      <c r="OEW21" s="2950"/>
      <c r="OEX21" s="2950"/>
      <c r="OEY21" s="2950"/>
      <c r="OEZ21" s="2950"/>
      <c r="OFA21" s="2950"/>
      <c r="OFB21" s="2950"/>
      <c r="OFC21" s="2950"/>
      <c r="OFD21" s="2950"/>
      <c r="OFE21" s="2950"/>
      <c r="OFF21" s="2950"/>
      <c r="OFG21" s="2950"/>
      <c r="OFH21" s="2950"/>
      <c r="OFI21" s="2950"/>
      <c r="OFJ21" s="2950"/>
      <c r="OFK21" s="2950"/>
      <c r="OFL21" s="2950"/>
      <c r="OFM21" s="2950"/>
      <c r="OFN21" s="2950"/>
      <c r="OFO21" s="2950"/>
      <c r="OFP21" s="2950"/>
      <c r="OFQ21" s="2950"/>
      <c r="OFR21" s="2950"/>
      <c r="OFS21" s="2950"/>
      <c r="OFT21" s="2950"/>
      <c r="OFU21" s="2950"/>
      <c r="OFV21" s="2950"/>
      <c r="OFW21" s="2950"/>
      <c r="OFX21" s="2950"/>
      <c r="OFY21" s="2950"/>
      <c r="OFZ21" s="2950"/>
      <c r="OGA21" s="2950"/>
      <c r="OGB21" s="2950"/>
      <c r="OGC21" s="2950"/>
      <c r="OGD21" s="2950"/>
      <c r="OGE21" s="2950"/>
      <c r="OGF21" s="2950"/>
      <c r="OGG21" s="2950"/>
      <c r="OGH21" s="2950"/>
      <c r="OGI21" s="2950"/>
      <c r="OGJ21" s="2950"/>
      <c r="OGK21" s="2950"/>
      <c r="OGL21" s="2950"/>
      <c r="OGM21" s="2950"/>
      <c r="OGN21" s="2950"/>
      <c r="OGO21" s="2950"/>
      <c r="OGP21" s="2950"/>
      <c r="OGQ21" s="2950"/>
      <c r="OGR21" s="2950"/>
      <c r="OGS21" s="2950"/>
      <c r="OGT21" s="2950"/>
      <c r="OGU21" s="2950"/>
      <c r="OGV21" s="2950"/>
      <c r="OGW21" s="2950"/>
      <c r="OGX21" s="2950"/>
      <c r="OGY21" s="2950"/>
      <c r="OGZ21" s="2950"/>
      <c r="OHA21" s="2950"/>
      <c r="OHB21" s="2950"/>
      <c r="OHC21" s="2950"/>
      <c r="OHD21" s="2950"/>
      <c r="OHE21" s="2950"/>
      <c r="OHF21" s="2950"/>
      <c r="OHG21" s="2950"/>
      <c r="OHH21" s="2950"/>
      <c r="OHI21" s="2950"/>
      <c r="OHJ21" s="2950"/>
      <c r="OHK21" s="2950"/>
      <c r="OHL21" s="2950"/>
      <c r="OHM21" s="2950"/>
      <c r="OHN21" s="2950"/>
      <c r="OHO21" s="2950"/>
      <c r="OHP21" s="2950"/>
      <c r="OHQ21" s="2950"/>
      <c r="OHR21" s="2950"/>
      <c r="OHS21" s="2950"/>
      <c r="OHT21" s="2950"/>
      <c r="OHU21" s="2950"/>
      <c r="OHV21" s="2950"/>
      <c r="OHW21" s="2950"/>
      <c r="OHX21" s="2950"/>
      <c r="OHY21" s="2950"/>
      <c r="OHZ21" s="2950"/>
      <c r="OIA21" s="2950"/>
      <c r="OIB21" s="2950"/>
      <c r="OIC21" s="2950"/>
      <c r="OID21" s="2950"/>
      <c r="OIE21" s="2950"/>
      <c r="OIF21" s="2950"/>
      <c r="OIG21" s="2950"/>
      <c r="OIH21" s="2950"/>
      <c r="OII21" s="2950"/>
      <c r="OIJ21" s="2950"/>
      <c r="OIK21" s="2950"/>
      <c r="OIL21" s="2950"/>
      <c r="OIM21" s="2950"/>
      <c r="OIN21" s="2950"/>
      <c r="OIO21" s="2950"/>
      <c r="OIP21" s="2950"/>
      <c r="OIQ21" s="2950"/>
      <c r="OIR21" s="2950"/>
      <c r="OIS21" s="2950"/>
      <c r="OIT21" s="2950"/>
      <c r="OIU21" s="2950"/>
      <c r="OIV21" s="2950"/>
      <c r="OIW21" s="2950"/>
      <c r="OIX21" s="2950"/>
      <c r="OIY21" s="2950"/>
      <c r="OIZ21" s="2950"/>
      <c r="OJA21" s="2950"/>
      <c r="OJB21" s="2950"/>
      <c r="OJC21" s="2950"/>
      <c r="OJD21" s="2950"/>
      <c r="OJE21" s="2950"/>
      <c r="OJF21" s="2950"/>
      <c r="OJG21" s="2950"/>
      <c r="OJH21" s="2950"/>
      <c r="OJI21" s="2950"/>
      <c r="OJJ21" s="2950"/>
      <c r="OJK21" s="2950"/>
      <c r="OJL21" s="2950"/>
      <c r="OJM21" s="2950"/>
      <c r="OJN21" s="2950"/>
      <c r="OJO21" s="2950"/>
      <c r="OJP21" s="2950"/>
      <c r="OJQ21" s="2950"/>
      <c r="OJR21" s="2950"/>
      <c r="OJS21" s="2950"/>
      <c r="OJT21" s="2950"/>
      <c r="OJU21" s="2950"/>
      <c r="OJV21" s="2950"/>
      <c r="OJW21" s="2950"/>
      <c r="OJX21" s="2950"/>
      <c r="OJY21" s="2950"/>
      <c r="OJZ21" s="2950"/>
      <c r="OKA21" s="2950"/>
      <c r="OKB21" s="2950"/>
      <c r="OKC21" s="2950"/>
      <c r="OKD21" s="2950"/>
      <c r="OKE21" s="2950"/>
      <c r="OKF21" s="2950"/>
      <c r="OKG21" s="2950"/>
      <c r="OKH21" s="2950"/>
      <c r="OKI21" s="2950"/>
      <c r="OKJ21" s="2950"/>
      <c r="OKK21" s="2950"/>
      <c r="OKL21" s="2950"/>
      <c r="OKM21" s="2950"/>
      <c r="OKN21" s="2950"/>
      <c r="OKO21" s="2950"/>
      <c r="OKP21" s="2950"/>
      <c r="OKQ21" s="2950"/>
      <c r="OKR21" s="2950"/>
      <c r="OKS21" s="2950"/>
      <c r="OKT21" s="2950"/>
      <c r="OKU21" s="2950"/>
      <c r="OKV21" s="2950"/>
      <c r="OKW21" s="2950"/>
      <c r="OKX21" s="2950"/>
      <c r="OKY21" s="2950"/>
      <c r="OKZ21" s="2950"/>
      <c r="OLA21" s="2950"/>
      <c r="OLB21" s="2950"/>
      <c r="OLC21" s="2950"/>
      <c r="OLD21" s="2950"/>
      <c r="OLE21" s="2950"/>
      <c r="OLF21" s="2950"/>
      <c r="OLG21" s="2950"/>
      <c r="OLH21" s="2950"/>
      <c r="OLI21" s="2950"/>
      <c r="OLJ21" s="2950"/>
      <c r="OLK21" s="2950"/>
      <c r="OLL21" s="2950"/>
      <c r="OLM21" s="2950"/>
      <c r="OLN21" s="2950"/>
      <c r="OLO21" s="2950"/>
      <c r="OLP21" s="2950"/>
      <c r="OLQ21" s="2950"/>
      <c r="OLR21" s="2950"/>
      <c r="OLS21" s="2950"/>
      <c r="OLT21" s="2950"/>
      <c r="OLU21" s="2950"/>
      <c r="OLV21" s="2950"/>
      <c r="OLW21" s="2950"/>
      <c r="OLX21" s="2950"/>
      <c r="OLY21" s="2950"/>
      <c r="OLZ21" s="2950"/>
      <c r="OMA21" s="2950"/>
      <c r="OMB21" s="2950"/>
      <c r="OMC21" s="2950"/>
      <c r="OMD21" s="2950"/>
      <c r="OME21" s="2950"/>
      <c r="OMF21" s="2950"/>
      <c r="OMG21" s="2950"/>
      <c r="OMH21" s="2950"/>
      <c r="OMI21" s="2950"/>
      <c r="OMJ21" s="2950"/>
      <c r="OMK21" s="2950"/>
      <c r="OML21" s="2950"/>
      <c r="OMM21" s="2950"/>
      <c r="OMN21" s="2950"/>
      <c r="OMO21" s="2950"/>
      <c r="OMP21" s="2950"/>
      <c r="OMQ21" s="2950"/>
      <c r="OMR21" s="2950"/>
      <c r="OMS21" s="2950"/>
      <c r="OMT21" s="2950"/>
      <c r="OMU21" s="2950"/>
      <c r="OMV21" s="2950"/>
      <c r="OMW21" s="2950"/>
      <c r="OMX21" s="2950"/>
      <c r="OMY21" s="2950"/>
      <c r="OMZ21" s="2950"/>
      <c r="ONA21" s="2950"/>
      <c r="ONB21" s="2950"/>
      <c r="ONC21" s="2950"/>
      <c r="OND21" s="2950"/>
      <c r="ONE21" s="2950"/>
      <c r="ONF21" s="2950"/>
      <c r="ONG21" s="2950"/>
      <c r="ONH21" s="2950"/>
      <c r="ONI21" s="2950"/>
      <c r="ONJ21" s="2950"/>
      <c r="ONK21" s="2950"/>
      <c r="ONL21" s="2950"/>
      <c r="ONM21" s="2950"/>
      <c r="ONN21" s="2950"/>
      <c r="ONO21" s="2950"/>
      <c r="ONP21" s="2950"/>
      <c r="ONQ21" s="2950"/>
      <c r="ONR21" s="2950"/>
      <c r="ONS21" s="2950"/>
      <c r="ONT21" s="2950"/>
      <c r="ONU21" s="2950"/>
      <c r="ONV21" s="2950"/>
      <c r="ONW21" s="2950"/>
      <c r="ONX21" s="2950"/>
      <c r="ONY21" s="2950"/>
      <c r="ONZ21" s="2950"/>
      <c r="OOA21" s="2950"/>
      <c r="OOB21" s="2950"/>
      <c r="OOC21" s="2950"/>
      <c r="OOD21" s="2950"/>
      <c r="OOE21" s="2950"/>
      <c r="OOF21" s="2950"/>
      <c r="OOG21" s="2950"/>
      <c r="OOH21" s="2950"/>
      <c r="OOI21" s="2950"/>
      <c r="OOJ21" s="2950"/>
      <c r="OOK21" s="2950"/>
      <c r="OOL21" s="2950"/>
      <c r="OOM21" s="2950"/>
      <c r="OON21" s="2950"/>
      <c r="OOO21" s="2950"/>
      <c r="OOP21" s="2950"/>
      <c r="OOQ21" s="2950"/>
      <c r="OOR21" s="2950"/>
      <c r="OOS21" s="2950"/>
      <c r="OOT21" s="2950"/>
      <c r="OOU21" s="2950"/>
      <c r="OOV21" s="2950"/>
      <c r="OOW21" s="2950"/>
      <c r="OOX21" s="2950"/>
      <c r="OOY21" s="2950"/>
      <c r="OOZ21" s="2950"/>
      <c r="OPA21" s="2950"/>
      <c r="OPB21" s="2950"/>
      <c r="OPC21" s="2950"/>
      <c r="OPD21" s="2950"/>
      <c r="OPE21" s="2950"/>
      <c r="OPF21" s="2950"/>
      <c r="OPG21" s="2950"/>
      <c r="OPH21" s="2950"/>
      <c r="OPI21" s="2950"/>
      <c r="OPJ21" s="2950"/>
      <c r="OPK21" s="2950"/>
      <c r="OPL21" s="2950"/>
      <c r="OPM21" s="2950"/>
      <c r="OPN21" s="2950"/>
      <c r="OPO21" s="2950"/>
      <c r="OPP21" s="2950"/>
      <c r="OPQ21" s="2950"/>
      <c r="OPR21" s="2950"/>
      <c r="OPS21" s="2950"/>
      <c r="OPT21" s="2950"/>
      <c r="OPU21" s="2950"/>
      <c r="OPV21" s="2950"/>
      <c r="OPW21" s="2950"/>
      <c r="OPX21" s="2950"/>
      <c r="OPY21" s="2950"/>
      <c r="OPZ21" s="2950"/>
      <c r="OQA21" s="2950"/>
      <c r="OQB21" s="2950"/>
      <c r="OQC21" s="2950"/>
      <c r="OQD21" s="2950"/>
      <c r="OQE21" s="2950"/>
      <c r="OQF21" s="2950"/>
      <c r="OQG21" s="2950"/>
      <c r="OQH21" s="2950"/>
      <c r="OQI21" s="2950"/>
      <c r="OQJ21" s="2950"/>
      <c r="OQK21" s="2950"/>
      <c r="OQL21" s="2950"/>
      <c r="OQM21" s="2950"/>
      <c r="OQN21" s="2950"/>
      <c r="OQO21" s="2950"/>
      <c r="OQP21" s="2950"/>
      <c r="OQQ21" s="2950"/>
      <c r="OQR21" s="2950"/>
      <c r="OQS21" s="2950"/>
      <c r="OQT21" s="2950"/>
      <c r="OQU21" s="2950"/>
      <c r="OQV21" s="2950"/>
      <c r="OQW21" s="2950"/>
      <c r="OQX21" s="2950"/>
      <c r="OQY21" s="2950"/>
      <c r="OQZ21" s="2950"/>
      <c r="ORA21" s="2950"/>
      <c r="ORB21" s="2950"/>
      <c r="ORC21" s="2950"/>
      <c r="ORD21" s="2950"/>
      <c r="ORE21" s="2950"/>
      <c r="ORF21" s="2950"/>
      <c r="ORG21" s="2950"/>
      <c r="ORH21" s="2950"/>
      <c r="ORI21" s="2950"/>
      <c r="ORJ21" s="2950"/>
      <c r="ORK21" s="2950"/>
      <c r="ORL21" s="2950"/>
      <c r="ORM21" s="2950"/>
      <c r="ORN21" s="2950"/>
      <c r="ORO21" s="2950"/>
      <c r="ORP21" s="2950"/>
      <c r="ORQ21" s="2950"/>
      <c r="ORR21" s="2950"/>
      <c r="ORS21" s="2950"/>
      <c r="ORT21" s="2950"/>
      <c r="ORU21" s="2950"/>
      <c r="ORV21" s="2950"/>
      <c r="ORW21" s="2950"/>
      <c r="ORX21" s="2950"/>
      <c r="ORY21" s="2950"/>
      <c r="ORZ21" s="2950"/>
      <c r="OSA21" s="2950"/>
      <c r="OSB21" s="2950"/>
      <c r="OSC21" s="2950"/>
      <c r="OSD21" s="2950"/>
      <c r="OSE21" s="2950"/>
      <c r="OSF21" s="2950"/>
      <c r="OSG21" s="2950"/>
      <c r="OSH21" s="2950"/>
      <c r="OSI21" s="2950"/>
      <c r="OSJ21" s="2950"/>
      <c r="OSK21" s="2950"/>
      <c r="OSL21" s="2950"/>
      <c r="OSM21" s="2950"/>
      <c r="OSN21" s="2950"/>
      <c r="OSO21" s="2950"/>
      <c r="OSP21" s="2950"/>
      <c r="OSQ21" s="2950"/>
      <c r="OSR21" s="2950"/>
      <c r="OSS21" s="2950"/>
      <c r="OST21" s="2950"/>
      <c r="OSU21" s="2950"/>
      <c r="OSV21" s="2950"/>
      <c r="OSW21" s="2950"/>
      <c r="OSX21" s="2950"/>
      <c r="OSY21" s="2950"/>
      <c r="OSZ21" s="2950"/>
      <c r="OTA21" s="2950"/>
      <c r="OTB21" s="2950"/>
      <c r="OTC21" s="2950"/>
      <c r="OTD21" s="2950"/>
      <c r="OTE21" s="2950"/>
      <c r="OTF21" s="2950"/>
      <c r="OTG21" s="2950"/>
      <c r="OTH21" s="2950"/>
      <c r="OTI21" s="2950"/>
      <c r="OTJ21" s="2950"/>
      <c r="OTK21" s="2950"/>
      <c r="OTL21" s="2950"/>
      <c r="OTM21" s="2950"/>
      <c r="OTN21" s="2950"/>
      <c r="OTO21" s="2950"/>
      <c r="OTP21" s="2950"/>
      <c r="OTQ21" s="2950"/>
      <c r="OTR21" s="2950"/>
      <c r="OTS21" s="2950"/>
      <c r="OTT21" s="2950"/>
      <c r="OTU21" s="2950"/>
      <c r="OTV21" s="2950"/>
      <c r="OTW21" s="2950"/>
      <c r="OTX21" s="2950"/>
      <c r="OTY21" s="2950"/>
      <c r="OTZ21" s="2950"/>
      <c r="OUA21" s="2950"/>
      <c r="OUB21" s="2950"/>
      <c r="OUC21" s="2950"/>
      <c r="OUD21" s="2950"/>
      <c r="OUE21" s="2950"/>
      <c r="OUF21" s="2950"/>
      <c r="OUG21" s="2950"/>
      <c r="OUH21" s="2950"/>
      <c r="OUI21" s="2950"/>
      <c r="OUJ21" s="2950"/>
      <c r="OUK21" s="2950"/>
      <c r="OUL21" s="2950"/>
      <c r="OUM21" s="2950"/>
      <c r="OUN21" s="2950"/>
      <c r="OUO21" s="2950"/>
      <c r="OUP21" s="2950"/>
      <c r="OUQ21" s="2950"/>
      <c r="OUR21" s="2950"/>
      <c r="OUS21" s="2950"/>
      <c r="OUT21" s="2950"/>
      <c r="OUU21" s="2950"/>
      <c r="OUV21" s="2950"/>
      <c r="OUW21" s="2950"/>
      <c r="OUX21" s="2950"/>
      <c r="OUY21" s="2950"/>
      <c r="OUZ21" s="2950"/>
      <c r="OVA21" s="2950"/>
      <c r="OVB21" s="2950"/>
      <c r="OVC21" s="2950"/>
      <c r="OVD21" s="2950"/>
      <c r="OVE21" s="2950"/>
      <c r="OVF21" s="2950"/>
      <c r="OVG21" s="2950"/>
      <c r="OVH21" s="2950"/>
      <c r="OVI21" s="2950"/>
      <c r="OVJ21" s="2950"/>
      <c r="OVK21" s="2950"/>
      <c r="OVL21" s="2950"/>
      <c r="OVM21" s="2950"/>
      <c r="OVN21" s="2950"/>
      <c r="OVO21" s="2950"/>
      <c r="OVP21" s="2950"/>
      <c r="OVQ21" s="2950"/>
      <c r="OVR21" s="2950"/>
      <c r="OVS21" s="2950"/>
      <c r="OVT21" s="2950"/>
      <c r="OVU21" s="2950"/>
      <c r="OVV21" s="2950"/>
      <c r="OVW21" s="2950"/>
      <c r="OVX21" s="2950"/>
      <c r="OVY21" s="2950"/>
      <c r="OVZ21" s="2950"/>
      <c r="OWA21" s="2950"/>
      <c r="OWB21" s="2950"/>
      <c r="OWC21" s="2950"/>
      <c r="OWD21" s="2950"/>
      <c r="OWE21" s="2950"/>
      <c r="OWF21" s="2950"/>
      <c r="OWG21" s="2950"/>
      <c r="OWH21" s="2950"/>
      <c r="OWI21" s="2950"/>
      <c r="OWJ21" s="2950"/>
      <c r="OWK21" s="2950"/>
      <c r="OWL21" s="2950"/>
      <c r="OWM21" s="2950"/>
      <c r="OWN21" s="2950"/>
      <c r="OWO21" s="2950"/>
      <c r="OWP21" s="2950"/>
      <c r="OWQ21" s="2950"/>
      <c r="OWR21" s="2950"/>
      <c r="OWS21" s="2950"/>
      <c r="OWT21" s="2950"/>
      <c r="OWU21" s="2950"/>
      <c r="OWV21" s="2950"/>
      <c r="OWW21" s="2950"/>
      <c r="OWX21" s="2950"/>
      <c r="OWY21" s="2950"/>
      <c r="OWZ21" s="2950"/>
      <c r="OXA21" s="2950"/>
      <c r="OXB21" s="2950"/>
      <c r="OXC21" s="2950"/>
      <c r="OXD21" s="2950"/>
      <c r="OXE21" s="2950"/>
      <c r="OXF21" s="2950"/>
      <c r="OXG21" s="2950"/>
      <c r="OXH21" s="2950"/>
      <c r="OXI21" s="2950"/>
      <c r="OXJ21" s="2950"/>
      <c r="OXK21" s="2950"/>
      <c r="OXL21" s="2950"/>
      <c r="OXM21" s="2950"/>
      <c r="OXN21" s="2950"/>
      <c r="OXO21" s="2950"/>
      <c r="OXP21" s="2950"/>
      <c r="OXQ21" s="2950"/>
      <c r="OXR21" s="2950"/>
      <c r="OXS21" s="2950"/>
      <c r="OXT21" s="2950"/>
      <c r="OXU21" s="2950"/>
      <c r="OXV21" s="2950"/>
      <c r="OXW21" s="2950"/>
      <c r="OXX21" s="2950"/>
      <c r="OXY21" s="2950"/>
      <c r="OXZ21" s="2950"/>
      <c r="OYA21" s="2950"/>
      <c r="OYB21" s="2950"/>
      <c r="OYC21" s="2950"/>
      <c r="OYD21" s="2950"/>
      <c r="OYE21" s="2950"/>
      <c r="OYF21" s="2950"/>
      <c r="OYG21" s="2950"/>
      <c r="OYH21" s="2950"/>
      <c r="OYI21" s="2950"/>
      <c r="OYJ21" s="2950"/>
      <c r="OYK21" s="2950"/>
      <c r="OYL21" s="2950"/>
      <c r="OYM21" s="2950"/>
      <c r="OYN21" s="2950"/>
      <c r="OYO21" s="2950"/>
      <c r="OYP21" s="2950"/>
      <c r="OYQ21" s="2950"/>
      <c r="OYR21" s="2950"/>
      <c r="OYS21" s="2950"/>
      <c r="OYT21" s="2950"/>
      <c r="OYU21" s="2950"/>
      <c r="OYV21" s="2950"/>
      <c r="OYW21" s="2950"/>
      <c r="OYX21" s="2950"/>
      <c r="OYY21" s="2950"/>
      <c r="OYZ21" s="2950"/>
      <c r="OZA21" s="2950"/>
      <c r="OZB21" s="2950"/>
      <c r="OZC21" s="2950"/>
      <c r="OZD21" s="2950"/>
      <c r="OZE21" s="2950"/>
      <c r="OZF21" s="2950"/>
      <c r="OZG21" s="2950"/>
      <c r="OZH21" s="2950"/>
      <c r="OZI21" s="2950"/>
      <c r="OZJ21" s="2950"/>
      <c r="OZK21" s="2950"/>
      <c r="OZL21" s="2950"/>
      <c r="OZM21" s="2950"/>
      <c r="OZN21" s="2950"/>
      <c r="OZO21" s="2950"/>
      <c r="OZP21" s="2950"/>
      <c r="OZQ21" s="2950"/>
      <c r="OZR21" s="2950"/>
      <c r="OZS21" s="2950"/>
      <c r="OZT21" s="2950"/>
      <c r="OZU21" s="2950"/>
      <c r="OZV21" s="2950"/>
      <c r="OZW21" s="2950"/>
      <c r="OZX21" s="2950"/>
      <c r="OZY21" s="2950"/>
      <c r="OZZ21" s="2950"/>
      <c r="PAA21" s="2950"/>
      <c r="PAB21" s="2950"/>
      <c r="PAC21" s="2950"/>
      <c r="PAD21" s="2950"/>
      <c r="PAE21" s="2950"/>
      <c r="PAF21" s="2950"/>
      <c r="PAG21" s="2950"/>
      <c r="PAH21" s="2950"/>
      <c r="PAI21" s="2950"/>
      <c r="PAJ21" s="2950"/>
      <c r="PAK21" s="2950"/>
      <c r="PAL21" s="2950"/>
      <c r="PAM21" s="2950"/>
      <c r="PAN21" s="2950"/>
      <c r="PAO21" s="2950"/>
      <c r="PAP21" s="2950"/>
      <c r="PAQ21" s="2950"/>
      <c r="PAR21" s="2950"/>
      <c r="PAS21" s="2950"/>
      <c r="PAT21" s="2950"/>
      <c r="PAU21" s="2950"/>
      <c r="PAV21" s="2950"/>
      <c r="PAW21" s="2950"/>
      <c r="PAX21" s="2950"/>
      <c r="PAY21" s="2950"/>
      <c r="PAZ21" s="2950"/>
      <c r="PBA21" s="2950"/>
      <c r="PBB21" s="2950"/>
      <c r="PBC21" s="2950"/>
      <c r="PBD21" s="2950"/>
      <c r="PBE21" s="2950"/>
      <c r="PBF21" s="2950"/>
      <c r="PBG21" s="2950"/>
      <c r="PBH21" s="2950"/>
      <c r="PBI21" s="2950"/>
      <c r="PBJ21" s="2950"/>
      <c r="PBK21" s="2950"/>
      <c r="PBL21" s="2950"/>
      <c r="PBM21" s="2950"/>
      <c r="PBN21" s="2950"/>
      <c r="PBO21" s="2950"/>
      <c r="PBP21" s="2950"/>
      <c r="PBQ21" s="2950"/>
      <c r="PBR21" s="2950"/>
      <c r="PBS21" s="2950"/>
      <c r="PBT21" s="2950"/>
      <c r="PBU21" s="2950"/>
      <c r="PBV21" s="2950"/>
      <c r="PBW21" s="2950"/>
      <c r="PBX21" s="2950"/>
      <c r="PBY21" s="2950"/>
      <c r="PBZ21" s="2950"/>
      <c r="PCA21" s="2950"/>
      <c r="PCB21" s="2950"/>
      <c r="PCC21" s="2950"/>
      <c r="PCD21" s="2950"/>
      <c r="PCE21" s="2950"/>
      <c r="PCF21" s="2950"/>
      <c r="PCG21" s="2950"/>
      <c r="PCH21" s="2950"/>
      <c r="PCI21" s="2950"/>
      <c r="PCJ21" s="2950"/>
      <c r="PCK21" s="2950"/>
      <c r="PCL21" s="2950"/>
      <c r="PCM21" s="2950"/>
      <c r="PCN21" s="2950"/>
      <c r="PCO21" s="2950"/>
      <c r="PCP21" s="2950"/>
      <c r="PCQ21" s="2950"/>
      <c r="PCR21" s="2950"/>
      <c r="PCS21" s="2950"/>
      <c r="PCT21" s="2950"/>
      <c r="PCU21" s="2950"/>
      <c r="PCV21" s="2950"/>
      <c r="PCW21" s="2950"/>
      <c r="PCX21" s="2950"/>
      <c r="PCY21" s="2950"/>
      <c r="PCZ21" s="2950"/>
      <c r="PDA21" s="2950"/>
      <c r="PDB21" s="2950"/>
      <c r="PDC21" s="2950"/>
      <c r="PDD21" s="2950"/>
      <c r="PDE21" s="2950"/>
      <c r="PDF21" s="2950"/>
      <c r="PDG21" s="2950"/>
      <c r="PDH21" s="2950"/>
      <c r="PDI21" s="2950"/>
      <c r="PDJ21" s="2950"/>
      <c r="PDK21" s="2950"/>
      <c r="PDL21" s="2950"/>
      <c r="PDM21" s="2950"/>
      <c r="PDN21" s="2950"/>
      <c r="PDO21" s="2950"/>
      <c r="PDP21" s="2950"/>
      <c r="PDQ21" s="2950"/>
      <c r="PDR21" s="2950"/>
      <c r="PDS21" s="2950"/>
      <c r="PDT21" s="2950"/>
      <c r="PDU21" s="2950"/>
      <c r="PDV21" s="2950"/>
      <c r="PDW21" s="2950"/>
      <c r="PDX21" s="2950"/>
      <c r="PDY21" s="2950"/>
      <c r="PDZ21" s="2950"/>
      <c r="PEA21" s="2950"/>
      <c r="PEB21" s="2950"/>
      <c r="PEC21" s="2950"/>
      <c r="PED21" s="2950"/>
      <c r="PEE21" s="2950"/>
      <c r="PEF21" s="2950"/>
      <c r="PEG21" s="2950"/>
      <c r="PEH21" s="2950"/>
      <c r="PEI21" s="2950"/>
      <c r="PEJ21" s="2950"/>
      <c r="PEK21" s="2950"/>
      <c r="PEL21" s="2950"/>
      <c r="PEM21" s="2950"/>
      <c r="PEN21" s="2950"/>
      <c r="PEO21" s="2950"/>
      <c r="PEP21" s="2950"/>
      <c r="PEQ21" s="2950"/>
      <c r="PER21" s="2950"/>
      <c r="PES21" s="2950"/>
      <c r="PET21" s="2950"/>
      <c r="PEU21" s="2950"/>
      <c r="PEV21" s="2950"/>
      <c r="PEW21" s="2950"/>
      <c r="PEX21" s="2950"/>
      <c r="PEY21" s="2950"/>
      <c r="PEZ21" s="2950"/>
      <c r="PFA21" s="2950"/>
      <c r="PFB21" s="2950"/>
      <c r="PFC21" s="2950"/>
      <c r="PFD21" s="2950"/>
      <c r="PFE21" s="2950"/>
      <c r="PFF21" s="2950"/>
      <c r="PFG21" s="2950"/>
      <c r="PFH21" s="2950"/>
      <c r="PFI21" s="2950"/>
      <c r="PFJ21" s="2950"/>
      <c r="PFK21" s="2950"/>
      <c r="PFL21" s="2950"/>
      <c r="PFM21" s="2950"/>
      <c r="PFN21" s="2950"/>
      <c r="PFO21" s="2950"/>
      <c r="PFP21" s="2950"/>
      <c r="PFQ21" s="2950"/>
      <c r="PFR21" s="2950"/>
      <c r="PFS21" s="2950"/>
      <c r="PFT21" s="2950"/>
      <c r="PFU21" s="2950"/>
      <c r="PFV21" s="2950"/>
      <c r="PFW21" s="2950"/>
      <c r="PFX21" s="2950"/>
      <c r="PFY21" s="2950"/>
      <c r="PFZ21" s="2950"/>
      <c r="PGA21" s="2950"/>
      <c r="PGB21" s="2950"/>
      <c r="PGC21" s="2950"/>
      <c r="PGD21" s="2950"/>
      <c r="PGE21" s="2950"/>
      <c r="PGF21" s="2950"/>
      <c r="PGG21" s="2950"/>
      <c r="PGH21" s="2950"/>
      <c r="PGI21" s="2950"/>
      <c r="PGJ21" s="2950"/>
      <c r="PGK21" s="2950"/>
      <c r="PGL21" s="2950"/>
      <c r="PGM21" s="2950"/>
      <c r="PGN21" s="2950"/>
      <c r="PGO21" s="2950"/>
      <c r="PGP21" s="2950"/>
      <c r="PGQ21" s="2950"/>
      <c r="PGR21" s="2950"/>
      <c r="PGS21" s="2950"/>
      <c r="PGT21" s="2950"/>
      <c r="PGU21" s="2950"/>
      <c r="PGV21" s="2950"/>
      <c r="PGW21" s="2950"/>
      <c r="PGX21" s="2950"/>
      <c r="PGY21" s="2950"/>
      <c r="PGZ21" s="2950"/>
      <c r="PHA21" s="2950"/>
      <c r="PHB21" s="2950"/>
      <c r="PHC21" s="2950"/>
      <c r="PHD21" s="2950"/>
      <c r="PHE21" s="2950"/>
      <c r="PHF21" s="2950"/>
      <c r="PHG21" s="2950"/>
      <c r="PHH21" s="2950"/>
      <c r="PHI21" s="2950"/>
      <c r="PHJ21" s="2950"/>
      <c r="PHK21" s="2950"/>
      <c r="PHL21" s="2950"/>
      <c r="PHM21" s="2950"/>
      <c r="PHN21" s="2950"/>
      <c r="PHO21" s="2950"/>
      <c r="PHP21" s="2950"/>
      <c r="PHQ21" s="2950"/>
      <c r="PHR21" s="2950"/>
      <c r="PHS21" s="2950"/>
      <c r="PHT21" s="2950"/>
      <c r="PHU21" s="2950"/>
      <c r="PHV21" s="2950"/>
      <c r="PHW21" s="2950"/>
      <c r="PHX21" s="2950"/>
      <c r="PHY21" s="2950"/>
      <c r="PHZ21" s="2950"/>
      <c r="PIA21" s="2950"/>
      <c r="PIB21" s="2950"/>
      <c r="PIC21" s="2950"/>
      <c r="PID21" s="2950"/>
      <c r="PIE21" s="2950"/>
      <c r="PIF21" s="2950"/>
      <c r="PIG21" s="2950"/>
      <c r="PIH21" s="2950"/>
      <c r="PII21" s="2950"/>
      <c r="PIJ21" s="2950"/>
      <c r="PIK21" s="2950"/>
      <c r="PIL21" s="2950"/>
      <c r="PIM21" s="2950"/>
      <c r="PIN21" s="2950"/>
      <c r="PIO21" s="2950"/>
      <c r="PIP21" s="2950"/>
      <c r="PIQ21" s="2950"/>
      <c r="PIR21" s="2950"/>
      <c r="PIS21" s="2950"/>
      <c r="PIT21" s="2950"/>
      <c r="PIU21" s="2950"/>
      <c r="PIV21" s="2950"/>
      <c r="PIW21" s="2950"/>
      <c r="PIX21" s="2950"/>
      <c r="PIY21" s="2950"/>
      <c r="PIZ21" s="2950"/>
      <c r="PJA21" s="2950"/>
      <c r="PJB21" s="2950"/>
      <c r="PJC21" s="2950"/>
      <c r="PJD21" s="2950"/>
      <c r="PJE21" s="2950"/>
      <c r="PJF21" s="2950"/>
      <c r="PJG21" s="2950"/>
      <c r="PJH21" s="2950"/>
      <c r="PJI21" s="2950"/>
      <c r="PJJ21" s="2950"/>
      <c r="PJK21" s="2950"/>
      <c r="PJL21" s="2950"/>
      <c r="PJM21" s="2950"/>
      <c r="PJN21" s="2950"/>
      <c r="PJO21" s="2950"/>
      <c r="PJP21" s="2950"/>
      <c r="PJQ21" s="2950"/>
      <c r="PJR21" s="2950"/>
      <c r="PJS21" s="2950"/>
      <c r="PJT21" s="2950"/>
      <c r="PJU21" s="2950"/>
      <c r="PJV21" s="2950"/>
      <c r="PJW21" s="2950"/>
      <c r="PJX21" s="2950"/>
      <c r="PJY21" s="2950"/>
      <c r="PJZ21" s="2950"/>
      <c r="PKA21" s="2950"/>
      <c r="PKB21" s="2950"/>
      <c r="PKC21" s="2950"/>
      <c r="PKD21" s="2950"/>
      <c r="PKE21" s="2950"/>
      <c r="PKF21" s="2950"/>
      <c r="PKG21" s="2950"/>
      <c r="PKH21" s="2950"/>
      <c r="PKI21" s="2950"/>
      <c r="PKJ21" s="2950"/>
      <c r="PKK21" s="2950"/>
      <c r="PKL21" s="2950"/>
      <c r="PKM21" s="2950"/>
      <c r="PKN21" s="2950"/>
      <c r="PKO21" s="2950"/>
      <c r="PKP21" s="2950"/>
      <c r="PKQ21" s="2950"/>
      <c r="PKR21" s="2950"/>
      <c r="PKS21" s="2950"/>
      <c r="PKT21" s="2950"/>
      <c r="PKU21" s="2950"/>
      <c r="PKV21" s="2950"/>
      <c r="PKW21" s="2950"/>
      <c r="PKX21" s="2950"/>
      <c r="PKY21" s="2950"/>
      <c r="PKZ21" s="2950"/>
      <c r="PLA21" s="2950"/>
      <c r="PLB21" s="2950"/>
      <c r="PLC21" s="2950"/>
      <c r="PLD21" s="2950"/>
      <c r="PLE21" s="2950"/>
      <c r="PLF21" s="2950"/>
      <c r="PLG21" s="2950"/>
      <c r="PLH21" s="2950"/>
      <c r="PLI21" s="2950"/>
      <c r="PLJ21" s="2950"/>
      <c r="PLK21" s="2950"/>
      <c r="PLL21" s="2950"/>
      <c r="PLM21" s="2950"/>
      <c r="PLN21" s="2950"/>
      <c r="PLO21" s="2950"/>
      <c r="PLP21" s="2950"/>
      <c r="PLQ21" s="2950"/>
      <c r="PLR21" s="2950"/>
      <c r="PLS21" s="2950"/>
      <c r="PLT21" s="2950"/>
      <c r="PLU21" s="2950"/>
      <c r="PLV21" s="2950"/>
      <c r="PLW21" s="2950"/>
      <c r="PLX21" s="2950"/>
      <c r="PLY21" s="2950"/>
      <c r="PLZ21" s="2950"/>
      <c r="PMA21" s="2950"/>
      <c r="PMB21" s="2950"/>
      <c r="PMC21" s="2950"/>
      <c r="PMD21" s="2950"/>
      <c r="PME21" s="2950"/>
      <c r="PMF21" s="2950"/>
      <c r="PMG21" s="2950"/>
      <c r="PMH21" s="2950"/>
      <c r="PMI21" s="2950"/>
      <c r="PMJ21" s="2950"/>
      <c r="PMK21" s="2950"/>
      <c r="PML21" s="2950"/>
      <c r="PMM21" s="2950"/>
      <c r="PMN21" s="2950"/>
      <c r="PMO21" s="2950"/>
      <c r="PMP21" s="2950"/>
      <c r="PMQ21" s="2950"/>
      <c r="PMR21" s="2950"/>
      <c r="PMS21" s="2950"/>
      <c r="PMT21" s="2950"/>
      <c r="PMU21" s="2950"/>
      <c r="PMV21" s="2950"/>
      <c r="PMW21" s="2950"/>
      <c r="PMX21" s="2950"/>
      <c r="PMY21" s="2950"/>
      <c r="PMZ21" s="2950"/>
      <c r="PNA21" s="2950"/>
      <c r="PNB21" s="2950"/>
      <c r="PNC21" s="2950"/>
      <c r="PND21" s="2950"/>
      <c r="PNE21" s="2950"/>
      <c r="PNF21" s="2950"/>
      <c r="PNG21" s="2950"/>
      <c r="PNH21" s="2950"/>
      <c r="PNI21" s="2950"/>
      <c r="PNJ21" s="2950"/>
      <c r="PNK21" s="2950"/>
      <c r="PNL21" s="2950"/>
      <c r="PNM21" s="2950"/>
      <c r="PNN21" s="2950"/>
      <c r="PNO21" s="2950"/>
      <c r="PNP21" s="2950"/>
      <c r="PNQ21" s="2950"/>
      <c r="PNR21" s="2950"/>
      <c r="PNS21" s="2950"/>
      <c r="PNT21" s="2950"/>
      <c r="PNU21" s="2950"/>
      <c r="PNV21" s="2950"/>
      <c r="PNW21" s="2950"/>
      <c r="PNX21" s="2950"/>
      <c r="PNY21" s="2950"/>
      <c r="PNZ21" s="2950"/>
      <c r="POA21" s="2950"/>
      <c r="POB21" s="2950"/>
      <c r="POC21" s="2950"/>
      <c r="POD21" s="2950"/>
      <c r="POE21" s="2950"/>
      <c r="POF21" s="2950"/>
      <c r="POG21" s="2950"/>
      <c r="POH21" s="2950"/>
      <c r="POI21" s="2950"/>
      <c r="POJ21" s="2950"/>
      <c r="POK21" s="2950"/>
      <c r="POL21" s="2950"/>
      <c r="POM21" s="2950"/>
      <c r="PON21" s="2950"/>
      <c r="POO21" s="2950"/>
      <c r="POP21" s="2950"/>
      <c r="POQ21" s="2950"/>
      <c r="POR21" s="2950"/>
      <c r="POS21" s="2950"/>
      <c r="POT21" s="2950"/>
      <c r="POU21" s="2950"/>
      <c r="POV21" s="2950"/>
      <c r="POW21" s="2950"/>
      <c r="POX21" s="2950"/>
      <c r="POY21" s="2950"/>
      <c r="POZ21" s="2950"/>
      <c r="PPA21" s="2950"/>
      <c r="PPB21" s="2950"/>
      <c r="PPC21" s="2950"/>
      <c r="PPD21" s="2950"/>
      <c r="PPE21" s="2950"/>
      <c r="PPF21" s="2950"/>
      <c r="PPG21" s="2950"/>
      <c r="PPH21" s="2950"/>
      <c r="PPI21" s="2950"/>
      <c r="PPJ21" s="2950"/>
      <c r="PPK21" s="2950"/>
      <c r="PPL21" s="2950"/>
      <c r="PPM21" s="2950"/>
      <c r="PPN21" s="2950"/>
      <c r="PPO21" s="2950"/>
      <c r="PPP21" s="2950"/>
      <c r="PPQ21" s="2950"/>
      <c r="PPR21" s="2950"/>
      <c r="PPS21" s="2950"/>
      <c r="PPT21" s="2950"/>
      <c r="PPU21" s="2950"/>
      <c r="PPV21" s="2950"/>
      <c r="PPW21" s="2950"/>
      <c r="PPX21" s="2950"/>
      <c r="PPY21" s="2950"/>
      <c r="PPZ21" s="2950"/>
      <c r="PQA21" s="2950"/>
      <c r="PQB21" s="2950"/>
      <c r="PQC21" s="2950"/>
      <c r="PQD21" s="2950"/>
      <c r="PQE21" s="2950"/>
      <c r="PQF21" s="2950"/>
      <c r="PQG21" s="2950"/>
      <c r="PQH21" s="2950"/>
      <c r="PQI21" s="2950"/>
      <c r="PQJ21" s="2950"/>
      <c r="PQK21" s="2950"/>
      <c r="PQL21" s="2950"/>
      <c r="PQM21" s="2950"/>
      <c r="PQN21" s="2950"/>
      <c r="PQO21" s="2950"/>
      <c r="PQP21" s="2950"/>
      <c r="PQQ21" s="2950"/>
      <c r="PQR21" s="2950"/>
      <c r="PQS21" s="2950"/>
      <c r="PQT21" s="2950"/>
      <c r="PQU21" s="2950"/>
      <c r="PQV21" s="2950"/>
      <c r="PQW21" s="2950"/>
      <c r="PQX21" s="2950"/>
      <c r="PQY21" s="2950"/>
      <c r="PQZ21" s="2950"/>
      <c r="PRA21" s="2950"/>
      <c r="PRB21" s="2950"/>
      <c r="PRC21" s="2950"/>
      <c r="PRD21" s="2950"/>
      <c r="PRE21" s="2950"/>
      <c r="PRF21" s="2950"/>
      <c r="PRG21" s="2950"/>
      <c r="PRH21" s="2950"/>
      <c r="PRI21" s="2950"/>
      <c r="PRJ21" s="2950"/>
      <c r="PRK21" s="2950"/>
      <c r="PRL21" s="2950"/>
      <c r="PRM21" s="2950"/>
      <c r="PRN21" s="2950"/>
      <c r="PRO21" s="2950"/>
      <c r="PRP21" s="2950"/>
      <c r="PRQ21" s="2950"/>
      <c r="PRR21" s="2950"/>
      <c r="PRS21" s="2950"/>
      <c r="PRT21" s="2950"/>
      <c r="PRU21" s="2950"/>
      <c r="PRV21" s="2950"/>
      <c r="PRW21" s="2950"/>
      <c r="PRX21" s="2950"/>
      <c r="PRY21" s="2950"/>
      <c r="PRZ21" s="2950"/>
      <c r="PSA21" s="2950"/>
      <c r="PSB21" s="2950"/>
      <c r="PSC21" s="2950"/>
      <c r="PSD21" s="2950"/>
      <c r="PSE21" s="2950"/>
      <c r="PSF21" s="2950"/>
      <c r="PSG21" s="2950"/>
      <c r="PSH21" s="2950"/>
      <c r="PSI21" s="2950"/>
      <c r="PSJ21" s="2950"/>
      <c r="PSK21" s="2950"/>
      <c r="PSL21" s="2950"/>
      <c r="PSM21" s="2950"/>
      <c r="PSN21" s="2950"/>
      <c r="PSO21" s="2950"/>
      <c r="PSP21" s="2950"/>
      <c r="PSQ21" s="2950"/>
      <c r="PSR21" s="2950"/>
      <c r="PSS21" s="2950"/>
      <c r="PST21" s="2950"/>
      <c r="PSU21" s="2950"/>
      <c r="PSV21" s="2950"/>
      <c r="PSW21" s="2950"/>
      <c r="PSX21" s="2950"/>
      <c r="PSY21" s="2950"/>
      <c r="PSZ21" s="2950"/>
      <c r="PTA21" s="2950"/>
      <c r="PTB21" s="2950"/>
      <c r="PTC21" s="2950"/>
      <c r="PTD21" s="2950"/>
      <c r="PTE21" s="2950"/>
      <c r="PTF21" s="2950"/>
      <c r="PTG21" s="2950"/>
      <c r="PTH21" s="2950"/>
      <c r="PTI21" s="2950"/>
      <c r="PTJ21" s="2950"/>
      <c r="PTK21" s="2950"/>
      <c r="PTL21" s="2950"/>
      <c r="PTM21" s="2950"/>
      <c r="PTN21" s="2950"/>
      <c r="PTO21" s="2950"/>
      <c r="PTP21" s="2950"/>
      <c r="PTQ21" s="2950"/>
      <c r="PTR21" s="2950"/>
      <c r="PTS21" s="2950"/>
      <c r="PTT21" s="2950"/>
      <c r="PTU21" s="2950"/>
      <c r="PTV21" s="2950"/>
      <c r="PTW21" s="2950"/>
      <c r="PTX21" s="2950"/>
      <c r="PTY21" s="2950"/>
      <c r="PTZ21" s="2950"/>
      <c r="PUA21" s="2950"/>
      <c r="PUB21" s="2950"/>
      <c r="PUC21" s="2950"/>
      <c r="PUD21" s="2950"/>
      <c r="PUE21" s="2950"/>
      <c r="PUF21" s="2950"/>
      <c r="PUG21" s="2950"/>
      <c r="PUH21" s="2950"/>
      <c r="PUI21" s="2950"/>
      <c r="PUJ21" s="2950"/>
      <c r="PUK21" s="2950"/>
      <c r="PUL21" s="2950"/>
      <c r="PUM21" s="2950"/>
      <c r="PUN21" s="2950"/>
      <c r="PUO21" s="2950"/>
      <c r="PUP21" s="2950"/>
      <c r="PUQ21" s="2950"/>
      <c r="PUR21" s="2950"/>
      <c r="PUS21" s="2950"/>
      <c r="PUT21" s="2950"/>
      <c r="PUU21" s="2950"/>
      <c r="PUV21" s="2950"/>
      <c r="PUW21" s="2950"/>
      <c r="PUX21" s="2950"/>
      <c r="PUY21" s="2950"/>
      <c r="PUZ21" s="2950"/>
      <c r="PVA21" s="2950"/>
      <c r="PVB21" s="2950"/>
      <c r="PVC21" s="2950"/>
      <c r="PVD21" s="2950"/>
      <c r="PVE21" s="2950"/>
      <c r="PVF21" s="2950"/>
      <c r="PVG21" s="2950"/>
      <c r="PVH21" s="2950"/>
      <c r="PVI21" s="2950"/>
      <c r="PVJ21" s="2950"/>
      <c r="PVK21" s="2950"/>
      <c r="PVL21" s="2950"/>
      <c r="PVM21" s="2950"/>
      <c r="PVN21" s="2950"/>
      <c r="PVO21" s="2950"/>
      <c r="PVP21" s="2950"/>
      <c r="PVQ21" s="2950"/>
      <c r="PVR21" s="2950"/>
      <c r="PVS21" s="2950"/>
      <c r="PVT21" s="2950"/>
      <c r="PVU21" s="2950"/>
      <c r="PVV21" s="2950"/>
      <c r="PVW21" s="2950"/>
      <c r="PVX21" s="2950"/>
      <c r="PVY21" s="2950"/>
      <c r="PVZ21" s="2950"/>
      <c r="PWA21" s="2950"/>
      <c r="PWB21" s="2950"/>
      <c r="PWC21" s="2950"/>
      <c r="PWD21" s="2950"/>
      <c r="PWE21" s="2950"/>
      <c r="PWF21" s="2950"/>
      <c r="PWG21" s="2950"/>
      <c r="PWH21" s="2950"/>
      <c r="PWI21" s="2950"/>
      <c r="PWJ21" s="2950"/>
      <c r="PWK21" s="2950"/>
      <c r="PWL21" s="2950"/>
      <c r="PWM21" s="2950"/>
      <c r="PWN21" s="2950"/>
      <c r="PWO21" s="2950"/>
      <c r="PWP21" s="2950"/>
      <c r="PWQ21" s="2950"/>
      <c r="PWR21" s="2950"/>
      <c r="PWS21" s="2950"/>
      <c r="PWT21" s="2950"/>
      <c r="PWU21" s="2950"/>
      <c r="PWV21" s="2950"/>
      <c r="PWW21" s="2950"/>
      <c r="PWX21" s="2950"/>
      <c r="PWY21" s="2950"/>
      <c r="PWZ21" s="2950"/>
      <c r="PXA21" s="2950"/>
      <c r="PXB21" s="2950"/>
      <c r="PXC21" s="2950"/>
      <c r="PXD21" s="2950"/>
      <c r="PXE21" s="2950"/>
      <c r="PXF21" s="2950"/>
      <c r="PXG21" s="2950"/>
      <c r="PXH21" s="2950"/>
      <c r="PXI21" s="2950"/>
      <c r="PXJ21" s="2950"/>
      <c r="PXK21" s="2950"/>
      <c r="PXL21" s="2950"/>
      <c r="PXM21" s="2950"/>
      <c r="PXN21" s="2950"/>
      <c r="PXO21" s="2950"/>
      <c r="PXP21" s="2950"/>
      <c r="PXQ21" s="2950"/>
      <c r="PXR21" s="2950"/>
      <c r="PXS21" s="2950"/>
      <c r="PXT21" s="2950"/>
      <c r="PXU21" s="2950"/>
      <c r="PXV21" s="2950"/>
      <c r="PXW21" s="2950"/>
      <c r="PXX21" s="2950"/>
      <c r="PXY21" s="2950"/>
      <c r="PXZ21" s="2950"/>
      <c r="PYA21" s="2950"/>
      <c r="PYB21" s="2950"/>
      <c r="PYC21" s="2950"/>
      <c r="PYD21" s="2950"/>
      <c r="PYE21" s="2950"/>
      <c r="PYF21" s="2950"/>
      <c r="PYG21" s="2950"/>
      <c r="PYH21" s="2950"/>
      <c r="PYI21" s="2950"/>
      <c r="PYJ21" s="2950"/>
      <c r="PYK21" s="2950"/>
      <c r="PYL21" s="2950"/>
      <c r="PYM21" s="2950"/>
      <c r="PYN21" s="2950"/>
      <c r="PYO21" s="2950"/>
      <c r="PYP21" s="2950"/>
      <c r="PYQ21" s="2950"/>
      <c r="PYR21" s="2950"/>
      <c r="PYS21" s="2950"/>
      <c r="PYT21" s="2950"/>
      <c r="PYU21" s="2950"/>
      <c r="PYV21" s="2950"/>
      <c r="PYW21" s="2950"/>
      <c r="PYX21" s="2950"/>
      <c r="PYY21" s="2950"/>
      <c r="PYZ21" s="2950"/>
      <c r="PZA21" s="2950"/>
      <c r="PZB21" s="2950"/>
      <c r="PZC21" s="2950"/>
      <c r="PZD21" s="2950"/>
      <c r="PZE21" s="2950"/>
      <c r="PZF21" s="2950"/>
      <c r="PZG21" s="2950"/>
      <c r="PZH21" s="2950"/>
      <c r="PZI21" s="2950"/>
      <c r="PZJ21" s="2950"/>
      <c r="PZK21" s="2950"/>
      <c r="PZL21" s="2950"/>
      <c r="PZM21" s="2950"/>
      <c r="PZN21" s="2950"/>
      <c r="PZO21" s="2950"/>
      <c r="PZP21" s="2950"/>
      <c r="PZQ21" s="2950"/>
      <c r="PZR21" s="2950"/>
      <c r="PZS21" s="2950"/>
      <c r="PZT21" s="2950"/>
      <c r="PZU21" s="2950"/>
      <c r="PZV21" s="2950"/>
      <c r="PZW21" s="2950"/>
      <c r="PZX21" s="2950"/>
      <c r="PZY21" s="2950"/>
      <c r="PZZ21" s="2950"/>
      <c r="QAA21" s="2950"/>
      <c r="QAB21" s="2950"/>
      <c r="QAC21" s="2950"/>
      <c r="QAD21" s="2950"/>
      <c r="QAE21" s="2950"/>
      <c r="QAF21" s="2950"/>
      <c r="QAG21" s="2950"/>
      <c r="QAH21" s="2950"/>
      <c r="QAI21" s="2950"/>
      <c r="QAJ21" s="2950"/>
      <c r="QAK21" s="2950"/>
      <c r="QAL21" s="2950"/>
      <c r="QAM21" s="2950"/>
      <c r="QAN21" s="2950"/>
      <c r="QAO21" s="2950"/>
      <c r="QAP21" s="2950"/>
      <c r="QAQ21" s="2950"/>
      <c r="QAR21" s="2950"/>
      <c r="QAS21" s="2950"/>
      <c r="QAT21" s="2950"/>
      <c r="QAU21" s="2950"/>
      <c r="QAV21" s="2950"/>
      <c r="QAW21" s="2950"/>
      <c r="QAX21" s="2950"/>
      <c r="QAY21" s="2950"/>
      <c r="QAZ21" s="2950"/>
      <c r="QBA21" s="2950"/>
      <c r="QBB21" s="2950"/>
      <c r="QBC21" s="2950"/>
      <c r="QBD21" s="2950"/>
      <c r="QBE21" s="2950"/>
      <c r="QBF21" s="2950"/>
      <c r="QBG21" s="2950"/>
      <c r="QBH21" s="2950"/>
      <c r="QBI21" s="2950"/>
      <c r="QBJ21" s="2950"/>
      <c r="QBK21" s="2950"/>
      <c r="QBL21" s="2950"/>
      <c r="QBM21" s="2950"/>
      <c r="QBN21" s="2950"/>
      <c r="QBO21" s="2950"/>
      <c r="QBP21" s="2950"/>
      <c r="QBQ21" s="2950"/>
      <c r="QBR21" s="2950"/>
      <c r="QBS21" s="2950"/>
      <c r="QBT21" s="2950"/>
      <c r="QBU21" s="2950"/>
      <c r="QBV21" s="2950"/>
      <c r="QBW21" s="2950"/>
      <c r="QBX21" s="2950"/>
      <c r="QBY21" s="2950"/>
      <c r="QBZ21" s="2950"/>
      <c r="QCA21" s="2950"/>
      <c r="QCB21" s="2950"/>
      <c r="QCC21" s="2950"/>
      <c r="QCD21" s="2950"/>
      <c r="QCE21" s="2950"/>
      <c r="QCF21" s="2950"/>
      <c r="QCG21" s="2950"/>
      <c r="QCH21" s="2950"/>
      <c r="QCI21" s="2950"/>
      <c r="QCJ21" s="2950"/>
      <c r="QCK21" s="2950"/>
      <c r="QCL21" s="2950"/>
      <c r="QCM21" s="2950"/>
      <c r="QCN21" s="2950"/>
      <c r="QCO21" s="2950"/>
      <c r="QCP21" s="2950"/>
      <c r="QCQ21" s="2950"/>
      <c r="QCR21" s="2950"/>
      <c r="QCS21" s="2950"/>
      <c r="QCT21" s="2950"/>
      <c r="QCU21" s="2950"/>
      <c r="QCV21" s="2950"/>
      <c r="QCW21" s="2950"/>
      <c r="QCX21" s="2950"/>
      <c r="QCY21" s="2950"/>
      <c r="QCZ21" s="2950"/>
      <c r="QDA21" s="2950"/>
      <c r="QDB21" s="2950"/>
      <c r="QDC21" s="2950"/>
      <c r="QDD21" s="2950"/>
      <c r="QDE21" s="2950"/>
      <c r="QDF21" s="2950"/>
      <c r="QDG21" s="2950"/>
      <c r="QDH21" s="2950"/>
      <c r="QDI21" s="2950"/>
      <c r="QDJ21" s="2950"/>
      <c r="QDK21" s="2950"/>
      <c r="QDL21" s="2950"/>
      <c r="QDM21" s="2950"/>
      <c r="QDN21" s="2950"/>
      <c r="QDO21" s="2950"/>
      <c r="QDP21" s="2950"/>
      <c r="QDQ21" s="2950"/>
      <c r="QDR21" s="2950"/>
      <c r="QDS21" s="2950"/>
      <c r="QDT21" s="2950"/>
      <c r="QDU21" s="2950"/>
      <c r="QDV21" s="2950"/>
      <c r="QDW21" s="2950"/>
      <c r="QDX21" s="2950"/>
      <c r="QDY21" s="2950"/>
      <c r="QDZ21" s="2950"/>
      <c r="QEA21" s="2950"/>
      <c r="QEB21" s="2950"/>
      <c r="QEC21" s="2950"/>
      <c r="QED21" s="2950"/>
      <c r="QEE21" s="2950"/>
      <c r="QEF21" s="2950"/>
      <c r="QEG21" s="2950"/>
      <c r="QEH21" s="2950"/>
      <c r="QEI21" s="2950"/>
      <c r="QEJ21" s="2950"/>
      <c r="QEK21" s="2950"/>
      <c r="QEL21" s="2950"/>
      <c r="QEM21" s="2950"/>
      <c r="QEN21" s="2950"/>
      <c r="QEO21" s="2950"/>
      <c r="QEP21" s="2950"/>
      <c r="QEQ21" s="2950"/>
      <c r="QER21" s="2950"/>
      <c r="QES21" s="2950"/>
      <c r="QET21" s="2950"/>
      <c r="QEU21" s="2950"/>
      <c r="QEV21" s="2950"/>
      <c r="QEW21" s="2950"/>
      <c r="QEX21" s="2950"/>
      <c r="QEY21" s="2950"/>
      <c r="QEZ21" s="2950"/>
      <c r="QFA21" s="2950"/>
      <c r="QFB21" s="2950"/>
      <c r="QFC21" s="2950"/>
      <c r="QFD21" s="2950"/>
      <c r="QFE21" s="2950"/>
      <c r="QFF21" s="2950"/>
      <c r="QFG21" s="2950"/>
      <c r="QFH21" s="2950"/>
      <c r="QFI21" s="2950"/>
      <c r="QFJ21" s="2950"/>
      <c r="QFK21" s="2950"/>
      <c r="QFL21" s="2950"/>
      <c r="QFM21" s="2950"/>
      <c r="QFN21" s="2950"/>
      <c r="QFO21" s="2950"/>
      <c r="QFP21" s="2950"/>
      <c r="QFQ21" s="2950"/>
      <c r="QFR21" s="2950"/>
      <c r="QFS21" s="2950"/>
      <c r="QFT21" s="2950"/>
      <c r="QFU21" s="2950"/>
      <c r="QFV21" s="2950"/>
      <c r="QFW21" s="2950"/>
      <c r="QFX21" s="2950"/>
      <c r="QFY21" s="2950"/>
      <c r="QFZ21" s="2950"/>
      <c r="QGA21" s="2950"/>
      <c r="QGB21" s="2950"/>
      <c r="QGC21" s="2950"/>
      <c r="QGD21" s="2950"/>
      <c r="QGE21" s="2950"/>
      <c r="QGF21" s="2950"/>
      <c r="QGG21" s="2950"/>
      <c r="QGH21" s="2950"/>
      <c r="QGI21" s="2950"/>
      <c r="QGJ21" s="2950"/>
      <c r="QGK21" s="2950"/>
      <c r="QGL21" s="2950"/>
      <c r="QGM21" s="2950"/>
      <c r="QGN21" s="2950"/>
      <c r="QGO21" s="2950"/>
      <c r="QGP21" s="2950"/>
      <c r="QGQ21" s="2950"/>
      <c r="QGR21" s="2950"/>
      <c r="QGS21" s="2950"/>
      <c r="QGT21" s="2950"/>
      <c r="QGU21" s="2950"/>
      <c r="QGV21" s="2950"/>
      <c r="QGW21" s="2950"/>
      <c r="QGX21" s="2950"/>
      <c r="QGY21" s="2950"/>
      <c r="QGZ21" s="2950"/>
      <c r="QHA21" s="2950"/>
      <c r="QHB21" s="2950"/>
      <c r="QHC21" s="2950"/>
      <c r="QHD21" s="2950"/>
      <c r="QHE21" s="2950"/>
      <c r="QHF21" s="2950"/>
      <c r="QHG21" s="2950"/>
      <c r="QHH21" s="2950"/>
      <c r="QHI21" s="2950"/>
      <c r="QHJ21" s="2950"/>
      <c r="QHK21" s="2950"/>
      <c r="QHL21" s="2950"/>
      <c r="QHM21" s="2950"/>
      <c r="QHN21" s="2950"/>
      <c r="QHO21" s="2950"/>
      <c r="QHP21" s="2950"/>
      <c r="QHQ21" s="2950"/>
      <c r="QHR21" s="2950"/>
      <c r="QHS21" s="2950"/>
      <c r="QHT21" s="2950"/>
      <c r="QHU21" s="2950"/>
      <c r="QHV21" s="2950"/>
      <c r="QHW21" s="2950"/>
      <c r="QHX21" s="2950"/>
      <c r="QHY21" s="2950"/>
      <c r="QHZ21" s="2950"/>
      <c r="QIA21" s="2950"/>
      <c r="QIB21" s="2950"/>
      <c r="QIC21" s="2950"/>
      <c r="QID21" s="2950"/>
      <c r="QIE21" s="2950"/>
      <c r="QIF21" s="2950"/>
      <c r="QIG21" s="2950"/>
      <c r="QIH21" s="2950"/>
      <c r="QII21" s="2950"/>
      <c r="QIJ21" s="2950"/>
      <c r="QIK21" s="2950"/>
      <c r="QIL21" s="2950"/>
      <c r="QIM21" s="2950"/>
      <c r="QIN21" s="2950"/>
      <c r="QIO21" s="2950"/>
      <c r="QIP21" s="2950"/>
      <c r="QIQ21" s="2950"/>
      <c r="QIR21" s="2950"/>
      <c r="QIS21" s="2950"/>
      <c r="QIT21" s="2950"/>
      <c r="QIU21" s="2950"/>
      <c r="QIV21" s="2950"/>
      <c r="QIW21" s="2950"/>
      <c r="QIX21" s="2950"/>
      <c r="QIY21" s="2950"/>
      <c r="QIZ21" s="2950"/>
      <c r="QJA21" s="2950"/>
      <c r="QJB21" s="2950"/>
      <c r="QJC21" s="2950"/>
      <c r="QJD21" s="2950"/>
      <c r="QJE21" s="2950"/>
      <c r="QJF21" s="2950"/>
      <c r="QJG21" s="2950"/>
      <c r="QJH21" s="2950"/>
      <c r="QJI21" s="2950"/>
      <c r="QJJ21" s="2950"/>
      <c r="QJK21" s="2950"/>
      <c r="QJL21" s="2950"/>
      <c r="QJM21" s="2950"/>
      <c r="QJN21" s="2950"/>
      <c r="QJO21" s="2950"/>
      <c r="QJP21" s="2950"/>
      <c r="QJQ21" s="2950"/>
      <c r="QJR21" s="2950"/>
      <c r="QJS21" s="2950"/>
      <c r="QJT21" s="2950"/>
      <c r="QJU21" s="2950"/>
      <c r="QJV21" s="2950"/>
      <c r="QJW21" s="2950"/>
      <c r="QJX21" s="2950"/>
      <c r="QJY21" s="2950"/>
      <c r="QJZ21" s="2950"/>
      <c r="QKA21" s="2950"/>
      <c r="QKB21" s="2950"/>
      <c r="QKC21" s="2950"/>
      <c r="QKD21" s="2950"/>
      <c r="QKE21" s="2950"/>
      <c r="QKF21" s="2950"/>
      <c r="QKG21" s="2950"/>
      <c r="QKH21" s="2950"/>
      <c r="QKI21" s="2950"/>
      <c r="QKJ21" s="2950"/>
      <c r="QKK21" s="2950"/>
      <c r="QKL21" s="2950"/>
      <c r="QKM21" s="2950"/>
      <c r="QKN21" s="2950"/>
      <c r="QKO21" s="2950"/>
      <c r="QKP21" s="2950"/>
      <c r="QKQ21" s="2950"/>
      <c r="QKR21" s="2950"/>
      <c r="QKS21" s="2950"/>
      <c r="QKT21" s="2950"/>
      <c r="QKU21" s="2950"/>
      <c r="QKV21" s="2950"/>
      <c r="QKW21" s="2950"/>
      <c r="QKX21" s="2950"/>
      <c r="QKY21" s="2950"/>
      <c r="QKZ21" s="2950"/>
      <c r="QLA21" s="2950"/>
      <c r="QLB21" s="2950"/>
      <c r="QLC21" s="2950"/>
      <c r="QLD21" s="2950"/>
      <c r="QLE21" s="2950"/>
      <c r="QLF21" s="2950"/>
      <c r="QLG21" s="2950"/>
      <c r="QLH21" s="2950"/>
      <c r="QLI21" s="2950"/>
      <c r="QLJ21" s="2950"/>
      <c r="QLK21" s="2950"/>
      <c r="QLL21" s="2950"/>
      <c r="QLM21" s="2950"/>
      <c r="QLN21" s="2950"/>
      <c r="QLO21" s="2950"/>
      <c r="QLP21" s="2950"/>
      <c r="QLQ21" s="2950"/>
      <c r="QLR21" s="2950"/>
      <c r="QLS21" s="2950"/>
      <c r="QLT21" s="2950"/>
      <c r="QLU21" s="2950"/>
      <c r="QLV21" s="2950"/>
      <c r="QLW21" s="2950"/>
      <c r="QLX21" s="2950"/>
      <c r="QLY21" s="2950"/>
      <c r="QLZ21" s="2950"/>
      <c r="QMA21" s="2950"/>
      <c r="QMB21" s="2950"/>
      <c r="QMC21" s="2950"/>
      <c r="QMD21" s="2950"/>
      <c r="QME21" s="2950"/>
      <c r="QMF21" s="2950"/>
      <c r="QMG21" s="2950"/>
      <c r="QMH21" s="2950"/>
      <c r="QMI21" s="2950"/>
      <c r="QMJ21" s="2950"/>
      <c r="QMK21" s="2950"/>
      <c r="QML21" s="2950"/>
      <c r="QMM21" s="2950"/>
      <c r="QMN21" s="2950"/>
      <c r="QMO21" s="2950"/>
      <c r="QMP21" s="2950"/>
      <c r="QMQ21" s="2950"/>
      <c r="QMR21" s="2950"/>
      <c r="QMS21" s="2950"/>
      <c r="QMT21" s="2950"/>
      <c r="QMU21" s="2950"/>
      <c r="QMV21" s="2950"/>
      <c r="QMW21" s="2950"/>
      <c r="QMX21" s="2950"/>
      <c r="QMY21" s="2950"/>
      <c r="QMZ21" s="2950"/>
      <c r="QNA21" s="2950"/>
      <c r="QNB21" s="2950"/>
      <c r="QNC21" s="2950"/>
      <c r="QND21" s="2950"/>
      <c r="QNE21" s="2950"/>
      <c r="QNF21" s="2950"/>
      <c r="QNG21" s="2950"/>
      <c r="QNH21" s="2950"/>
      <c r="QNI21" s="2950"/>
      <c r="QNJ21" s="2950"/>
      <c r="QNK21" s="2950"/>
      <c r="QNL21" s="2950"/>
      <c r="QNM21" s="2950"/>
      <c r="QNN21" s="2950"/>
      <c r="QNO21" s="2950"/>
      <c r="QNP21" s="2950"/>
      <c r="QNQ21" s="2950"/>
      <c r="QNR21" s="2950"/>
      <c r="QNS21" s="2950"/>
      <c r="QNT21" s="2950"/>
      <c r="QNU21" s="2950"/>
      <c r="QNV21" s="2950"/>
      <c r="QNW21" s="2950"/>
      <c r="QNX21" s="2950"/>
      <c r="QNY21" s="2950"/>
      <c r="QNZ21" s="2950"/>
      <c r="QOA21" s="2950"/>
      <c r="QOB21" s="2950"/>
      <c r="QOC21" s="2950"/>
      <c r="QOD21" s="2950"/>
      <c r="QOE21" s="2950"/>
      <c r="QOF21" s="2950"/>
      <c r="QOG21" s="2950"/>
      <c r="QOH21" s="2950"/>
      <c r="QOI21" s="2950"/>
      <c r="QOJ21" s="2950"/>
      <c r="QOK21" s="2950"/>
      <c r="QOL21" s="2950"/>
      <c r="QOM21" s="2950"/>
      <c r="QON21" s="2950"/>
      <c r="QOO21" s="2950"/>
      <c r="QOP21" s="2950"/>
      <c r="QOQ21" s="2950"/>
      <c r="QOR21" s="2950"/>
      <c r="QOS21" s="2950"/>
      <c r="QOT21" s="2950"/>
      <c r="QOU21" s="2950"/>
      <c r="QOV21" s="2950"/>
      <c r="QOW21" s="2950"/>
      <c r="QOX21" s="2950"/>
      <c r="QOY21" s="2950"/>
      <c r="QOZ21" s="2950"/>
      <c r="QPA21" s="2950"/>
      <c r="QPB21" s="2950"/>
      <c r="QPC21" s="2950"/>
      <c r="QPD21" s="2950"/>
      <c r="QPE21" s="2950"/>
      <c r="QPF21" s="2950"/>
      <c r="QPG21" s="2950"/>
      <c r="QPH21" s="2950"/>
      <c r="QPI21" s="2950"/>
      <c r="QPJ21" s="2950"/>
      <c r="QPK21" s="2950"/>
      <c r="QPL21" s="2950"/>
      <c r="QPM21" s="2950"/>
      <c r="QPN21" s="2950"/>
      <c r="QPO21" s="2950"/>
      <c r="QPP21" s="2950"/>
      <c r="QPQ21" s="2950"/>
      <c r="QPR21" s="2950"/>
      <c r="QPS21" s="2950"/>
      <c r="QPT21" s="2950"/>
      <c r="QPU21" s="2950"/>
      <c r="QPV21" s="2950"/>
      <c r="QPW21" s="2950"/>
      <c r="QPX21" s="2950"/>
      <c r="QPY21" s="2950"/>
      <c r="QPZ21" s="2950"/>
      <c r="QQA21" s="2950"/>
      <c r="QQB21" s="2950"/>
      <c r="QQC21" s="2950"/>
      <c r="QQD21" s="2950"/>
      <c r="QQE21" s="2950"/>
      <c r="QQF21" s="2950"/>
      <c r="QQG21" s="2950"/>
      <c r="QQH21" s="2950"/>
      <c r="QQI21" s="2950"/>
      <c r="QQJ21" s="2950"/>
      <c r="QQK21" s="2950"/>
      <c r="QQL21" s="2950"/>
      <c r="QQM21" s="2950"/>
      <c r="QQN21" s="2950"/>
      <c r="QQO21" s="2950"/>
      <c r="QQP21" s="2950"/>
      <c r="QQQ21" s="2950"/>
      <c r="QQR21" s="2950"/>
      <c r="QQS21" s="2950"/>
      <c r="QQT21" s="2950"/>
      <c r="QQU21" s="2950"/>
      <c r="QQV21" s="2950"/>
      <c r="QQW21" s="2950"/>
      <c r="QQX21" s="2950"/>
      <c r="QQY21" s="2950"/>
      <c r="QQZ21" s="2950"/>
      <c r="QRA21" s="2950"/>
      <c r="QRB21" s="2950"/>
      <c r="QRC21" s="2950"/>
      <c r="QRD21" s="2950"/>
      <c r="QRE21" s="2950"/>
      <c r="QRF21" s="2950"/>
      <c r="QRG21" s="2950"/>
      <c r="QRH21" s="2950"/>
      <c r="QRI21" s="2950"/>
      <c r="QRJ21" s="2950"/>
      <c r="QRK21" s="2950"/>
      <c r="QRL21" s="2950"/>
      <c r="QRM21" s="2950"/>
      <c r="QRN21" s="2950"/>
      <c r="QRO21" s="2950"/>
      <c r="QRP21" s="2950"/>
      <c r="QRQ21" s="2950"/>
      <c r="QRR21" s="2950"/>
      <c r="QRS21" s="2950"/>
      <c r="QRT21" s="2950"/>
      <c r="QRU21" s="2950"/>
      <c r="QRV21" s="2950"/>
      <c r="QRW21" s="2950"/>
      <c r="QRX21" s="2950"/>
      <c r="QRY21" s="2950"/>
      <c r="QRZ21" s="2950"/>
      <c r="QSA21" s="2950"/>
      <c r="QSB21" s="2950"/>
      <c r="QSC21" s="2950"/>
      <c r="QSD21" s="2950"/>
      <c r="QSE21" s="2950"/>
      <c r="QSF21" s="2950"/>
      <c r="QSG21" s="2950"/>
      <c r="QSH21" s="2950"/>
      <c r="QSI21" s="2950"/>
      <c r="QSJ21" s="2950"/>
      <c r="QSK21" s="2950"/>
      <c r="QSL21" s="2950"/>
      <c r="QSM21" s="2950"/>
      <c r="QSN21" s="2950"/>
      <c r="QSO21" s="2950"/>
      <c r="QSP21" s="2950"/>
      <c r="QSQ21" s="2950"/>
      <c r="QSR21" s="2950"/>
      <c r="QSS21" s="2950"/>
      <c r="QST21" s="2950"/>
      <c r="QSU21" s="2950"/>
      <c r="QSV21" s="2950"/>
      <c r="QSW21" s="2950"/>
      <c r="QSX21" s="2950"/>
      <c r="QSY21" s="2950"/>
      <c r="QSZ21" s="2950"/>
      <c r="QTA21" s="2950"/>
      <c r="QTB21" s="2950"/>
      <c r="QTC21" s="2950"/>
      <c r="QTD21" s="2950"/>
      <c r="QTE21" s="2950"/>
      <c r="QTF21" s="2950"/>
      <c r="QTG21" s="2950"/>
      <c r="QTH21" s="2950"/>
      <c r="QTI21" s="2950"/>
      <c r="QTJ21" s="2950"/>
      <c r="QTK21" s="2950"/>
      <c r="QTL21" s="2950"/>
      <c r="QTM21" s="2950"/>
      <c r="QTN21" s="2950"/>
      <c r="QTO21" s="2950"/>
      <c r="QTP21" s="2950"/>
      <c r="QTQ21" s="2950"/>
      <c r="QTR21" s="2950"/>
      <c r="QTS21" s="2950"/>
      <c r="QTT21" s="2950"/>
      <c r="QTU21" s="2950"/>
      <c r="QTV21" s="2950"/>
      <c r="QTW21" s="2950"/>
      <c r="QTX21" s="2950"/>
      <c r="QTY21" s="2950"/>
      <c r="QTZ21" s="2950"/>
      <c r="QUA21" s="2950"/>
      <c r="QUB21" s="2950"/>
      <c r="QUC21" s="2950"/>
      <c r="QUD21" s="2950"/>
      <c r="QUE21" s="2950"/>
      <c r="QUF21" s="2950"/>
      <c r="QUG21" s="2950"/>
      <c r="QUH21" s="2950"/>
      <c r="QUI21" s="2950"/>
      <c r="QUJ21" s="2950"/>
      <c r="QUK21" s="2950"/>
      <c r="QUL21" s="2950"/>
      <c r="QUM21" s="2950"/>
      <c r="QUN21" s="2950"/>
      <c r="QUO21" s="2950"/>
      <c r="QUP21" s="2950"/>
      <c r="QUQ21" s="2950"/>
      <c r="QUR21" s="2950"/>
      <c r="QUS21" s="2950"/>
      <c r="QUT21" s="2950"/>
      <c r="QUU21" s="2950"/>
      <c r="QUV21" s="2950"/>
      <c r="QUW21" s="2950"/>
      <c r="QUX21" s="2950"/>
      <c r="QUY21" s="2950"/>
      <c r="QUZ21" s="2950"/>
      <c r="QVA21" s="2950"/>
      <c r="QVB21" s="2950"/>
      <c r="QVC21" s="2950"/>
      <c r="QVD21" s="2950"/>
      <c r="QVE21" s="2950"/>
      <c r="QVF21" s="2950"/>
      <c r="QVG21" s="2950"/>
      <c r="QVH21" s="2950"/>
      <c r="QVI21" s="2950"/>
      <c r="QVJ21" s="2950"/>
      <c r="QVK21" s="2950"/>
      <c r="QVL21" s="2950"/>
      <c r="QVM21" s="2950"/>
      <c r="QVN21" s="2950"/>
      <c r="QVO21" s="2950"/>
      <c r="QVP21" s="2950"/>
      <c r="QVQ21" s="2950"/>
      <c r="QVR21" s="2950"/>
      <c r="QVS21" s="2950"/>
      <c r="QVT21" s="2950"/>
      <c r="QVU21" s="2950"/>
      <c r="QVV21" s="2950"/>
      <c r="QVW21" s="2950"/>
      <c r="QVX21" s="2950"/>
      <c r="QVY21" s="2950"/>
      <c r="QVZ21" s="2950"/>
      <c r="QWA21" s="2950"/>
      <c r="QWB21" s="2950"/>
      <c r="QWC21" s="2950"/>
      <c r="QWD21" s="2950"/>
      <c r="QWE21" s="2950"/>
      <c r="QWF21" s="2950"/>
      <c r="QWG21" s="2950"/>
      <c r="QWH21" s="2950"/>
      <c r="QWI21" s="2950"/>
      <c r="QWJ21" s="2950"/>
      <c r="QWK21" s="2950"/>
      <c r="QWL21" s="2950"/>
      <c r="QWM21" s="2950"/>
      <c r="QWN21" s="2950"/>
      <c r="QWO21" s="2950"/>
      <c r="QWP21" s="2950"/>
      <c r="QWQ21" s="2950"/>
      <c r="QWR21" s="2950"/>
      <c r="QWS21" s="2950"/>
      <c r="QWT21" s="2950"/>
      <c r="QWU21" s="2950"/>
      <c r="QWV21" s="2950"/>
      <c r="QWW21" s="2950"/>
      <c r="QWX21" s="2950"/>
      <c r="QWY21" s="2950"/>
      <c r="QWZ21" s="2950"/>
      <c r="QXA21" s="2950"/>
      <c r="QXB21" s="2950"/>
      <c r="QXC21" s="2950"/>
      <c r="QXD21" s="2950"/>
      <c r="QXE21" s="2950"/>
      <c r="QXF21" s="2950"/>
      <c r="QXG21" s="2950"/>
      <c r="QXH21" s="2950"/>
      <c r="QXI21" s="2950"/>
      <c r="QXJ21" s="2950"/>
      <c r="QXK21" s="2950"/>
      <c r="QXL21" s="2950"/>
      <c r="QXM21" s="2950"/>
      <c r="QXN21" s="2950"/>
      <c r="QXO21" s="2950"/>
      <c r="QXP21" s="2950"/>
      <c r="QXQ21" s="2950"/>
      <c r="QXR21" s="2950"/>
      <c r="QXS21" s="2950"/>
      <c r="QXT21" s="2950"/>
      <c r="QXU21" s="2950"/>
      <c r="QXV21" s="2950"/>
      <c r="QXW21" s="2950"/>
      <c r="QXX21" s="2950"/>
      <c r="QXY21" s="2950"/>
      <c r="QXZ21" s="2950"/>
      <c r="QYA21" s="2950"/>
      <c r="QYB21" s="2950"/>
      <c r="QYC21" s="2950"/>
      <c r="QYD21" s="2950"/>
      <c r="QYE21" s="2950"/>
      <c r="QYF21" s="2950"/>
      <c r="QYG21" s="2950"/>
      <c r="QYH21" s="2950"/>
      <c r="QYI21" s="2950"/>
      <c r="QYJ21" s="2950"/>
      <c r="QYK21" s="2950"/>
      <c r="QYL21" s="2950"/>
      <c r="QYM21" s="2950"/>
      <c r="QYN21" s="2950"/>
      <c r="QYO21" s="2950"/>
      <c r="QYP21" s="2950"/>
      <c r="QYQ21" s="2950"/>
      <c r="QYR21" s="2950"/>
      <c r="QYS21" s="2950"/>
      <c r="QYT21" s="2950"/>
      <c r="QYU21" s="2950"/>
      <c r="QYV21" s="2950"/>
      <c r="QYW21" s="2950"/>
      <c r="QYX21" s="2950"/>
      <c r="QYY21" s="2950"/>
      <c r="QYZ21" s="2950"/>
      <c r="QZA21" s="2950"/>
      <c r="QZB21" s="2950"/>
      <c r="QZC21" s="2950"/>
      <c r="QZD21" s="2950"/>
      <c r="QZE21" s="2950"/>
      <c r="QZF21" s="2950"/>
      <c r="QZG21" s="2950"/>
      <c r="QZH21" s="2950"/>
      <c r="QZI21" s="2950"/>
      <c r="QZJ21" s="2950"/>
      <c r="QZK21" s="2950"/>
      <c r="QZL21" s="2950"/>
      <c r="QZM21" s="2950"/>
      <c r="QZN21" s="2950"/>
      <c r="QZO21" s="2950"/>
      <c r="QZP21" s="2950"/>
      <c r="QZQ21" s="2950"/>
      <c r="QZR21" s="2950"/>
      <c r="QZS21" s="2950"/>
      <c r="QZT21" s="2950"/>
      <c r="QZU21" s="2950"/>
      <c r="QZV21" s="2950"/>
      <c r="QZW21" s="2950"/>
      <c r="QZX21" s="2950"/>
      <c r="QZY21" s="2950"/>
      <c r="QZZ21" s="2950"/>
      <c r="RAA21" s="2950"/>
      <c r="RAB21" s="2950"/>
      <c r="RAC21" s="2950"/>
      <c r="RAD21" s="2950"/>
      <c r="RAE21" s="2950"/>
      <c r="RAF21" s="2950"/>
      <c r="RAG21" s="2950"/>
      <c r="RAH21" s="2950"/>
      <c r="RAI21" s="2950"/>
      <c r="RAJ21" s="2950"/>
      <c r="RAK21" s="2950"/>
      <c r="RAL21" s="2950"/>
      <c r="RAM21" s="2950"/>
      <c r="RAN21" s="2950"/>
      <c r="RAO21" s="2950"/>
      <c r="RAP21" s="2950"/>
      <c r="RAQ21" s="2950"/>
      <c r="RAR21" s="2950"/>
      <c r="RAS21" s="2950"/>
      <c r="RAT21" s="2950"/>
      <c r="RAU21" s="2950"/>
      <c r="RAV21" s="2950"/>
      <c r="RAW21" s="2950"/>
      <c r="RAX21" s="2950"/>
      <c r="RAY21" s="2950"/>
      <c r="RAZ21" s="2950"/>
      <c r="RBA21" s="2950"/>
      <c r="RBB21" s="2950"/>
      <c r="RBC21" s="2950"/>
      <c r="RBD21" s="2950"/>
      <c r="RBE21" s="2950"/>
      <c r="RBF21" s="2950"/>
      <c r="RBG21" s="2950"/>
      <c r="RBH21" s="2950"/>
      <c r="RBI21" s="2950"/>
      <c r="RBJ21" s="2950"/>
      <c r="RBK21" s="2950"/>
      <c r="RBL21" s="2950"/>
      <c r="RBM21" s="2950"/>
      <c r="RBN21" s="2950"/>
      <c r="RBO21" s="2950"/>
      <c r="RBP21" s="2950"/>
      <c r="RBQ21" s="2950"/>
      <c r="RBR21" s="2950"/>
      <c r="RBS21" s="2950"/>
      <c r="RBT21" s="2950"/>
      <c r="RBU21" s="2950"/>
      <c r="RBV21" s="2950"/>
      <c r="RBW21" s="2950"/>
      <c r="RBX21" s="2950"/>
      <c r="RBY21" s="2950"/>
      <c r="RBZ21" s="2950"/>
      <c r="RCA21" s="2950"/>
      <c r="RCB21" s="2950"/>
      <c r="RCC21" s="2950"/>
      <c r="RCD21" s="2950"/>
      <c r="RCE21" s="2950"/>
      <c r="RCF21" s="2950"/>
      <c r="RCG21" s="2950"/>
      <c r="RCH21" s="2950"/>
      <c r="RCI21" s="2950"/>
      <c r="RCJ21" s="2950"/>
      <c r="RCK21" s="2950"/>
      <c r="RCL21" s="2950"/>
      <c r="RCM21" s="2950"/>
      <c r="RCN21" s="2950"/>
      <c r="RCO21" s="2950"/>
      <c r="RCP21" s="2950"/>
      <c r="RCQ21" s="2950"/>
      <c r="RCR21" s="2950"/>
      <c r="RCS21" s="2950"/>
      <c r="RCT21" s="2950"/>
      <c r="RCU21" s="2950"/>
      <c r="RCV21" s="2950"/>
      <c r="RCW21" s="2950"/>
      <c r="RCX21" s="2950"/>
      <c r="RCY21" s="2950"/>
      <c r="RCZ21" s="2950"/>
      <c r="RDA21" s="2950"/>
      <c r="RDB21" s="2950"/>
      <c r="RDC21" s="2950"/>
      <c r="RDD21" s="2950"/>
      <c r="RDE21" s="2950"/>
      <c r="RDF21" s="2950"/>
      <c r="RDG21" s="2950"/>
      <c r="RDH21" s="2950"/>
      <c r="RDI21" s="2950"/>
      <c r="RDJ21" s="2950"/>
      <c r="RDK21" s="2950"/>
      <c r="RDL21" s="2950"/>
      <c r="RDM21" s="2950"/>
      <c r="RDN21" s="2950"/>
      <c r="RDO21" s="2950"/>
      <c r="RDP21" s="2950"/>
      <c r="RDQ21" s="2950"/>
      <c r="RDR21" s="2950"/>
      <c r="RDS21" s="2950"/>
      <c r="RDT21" s="2950"/>
      <c r="RDU21" s="2950"/>
      <c r="RDV21" s="2950"/>
      <c r="RDW21" s="2950"/>
      <c r="RDX21" s="2950"/>
      <c r="RDY21" s="2950"/>
      <c r="RDZ21" s="2950"/>
      <c r="REA21" s="2950"/>
      <c r="REB21" s="2950"/>
      <c r="REC21" s="2950"/>
      <c r="RED21" s="2950"/>
      <c r="REE21" s="2950"/>
      <c r="REF21" s="2950"/>
      <c r="REG21" s="2950"/>
      <c r="REH21" s="2950"/>
      <c r="REI21" s="2950"/>
      <c r="REJ21" s="2950"/>
      <c r="REK21" s="2950"/>
      <c r="REL21" s="2950"/>
      <c r="REM21" s="2950"/>
      <c r="REN21" s="2950"/>
      <c r="REO21" s="2950"/>
      <c r="REP21" s="2950"/>
      <c r="REQ21" s="2950"/>
      <c r="RER21" s="2950"/>
      <c r="RES21" s="2950"/>
      <c r="RET21" s="2950"/>
      <c r="REU21" s="2950"/>
      <c r="REV21" s="2950"/>
      <c r="REW21" s="2950"/>
      <c r="REX21" s="2950"/>
      <c r="REY21" s="2950"/>
      <c r="REZ21" s="2950"/>
      <c r="RFA21" s="2950"/>
      <c r="RFB21" s="2950"/>
      <c r="RFC21" s="2950"/>
      <c r="RFD21" s="2950"/>
      <c r="RFE21" s="2950"/>
      <c r="RFF21" s="2950"/>
      <c r="RFG21" s="2950"/>
      <c r="RFH21" s="2950"/>
      <c r="RFI21" s="2950"/>
      <c r="RFJ21" s="2950"/>
      <c r="RFK21" s="2950"/>
      <c r="RFL21" s="2950"/>
      <c r="RFM21" s="2950"/>
      <c r="RFN21" s="2950"/>
      <c r="RFO21" s="2950"/>
      <c r="RFP21" s="2950"/>
      <c r="RFQ21" s="2950"/>
      <c r="RFR21" s="2950"/>
      <c r="RFS21" s="2950"/>
      <c r="RFT21" s="2950"/>
      <c r="RFU21" s="2950"/>
      <c r="RFV21" s="2950"/>
      <c r="RFW21" s="2950"/>
      <c r="RFX21" s="2950"/>
      <c r="RFY21" s="2950"/>
      <c r="RFZ21" s="2950"/>
      <c r="RGA21" s="2950"/>
      <c r="RGB21" s="2950"/>
      <c r="RGC21" s="2950"/>
      <c r="RGD21" s="2950"/>
      <c r="RGE21" s="2950"/>
      <c r="RGF21" s="2950"/>
      <c r="RGG21" s="2950"/>
      <c r="RGH21" s="2950"/>
      <c r="RGI21" s="2950"/>
      <c r="RGJ21" s="2950"/>
      <c r="RGK21" s="2950"/>
      <c r="RGL21" s="2950"/>
      <c r="RGM21" s="2950"/>
      <c r="RGN21" s="2950"/>
      <c r="RGO21" s="2950"/>
      <c r="RGP21" s="2950"/>
      <c r="RGQ21" s="2950"/>
      <c r="RGR21" s="2950"/>
      <c r="RGS21" s="2950"/>
      <c r="RGT21" s="2950"/>
      <c r="RGU21" s="2950"/>
      <c r="RGV21" s="2950"/>
      <c r="RGW21" s="2950"/>
      <c r="RGX21" s="2950"/>
      <c r="RGY21" s="2950"/>
      <c r="RGZ21" s="2950"/>
      <c r="RHA21" s="2950"/>
      <c r="RHB21" s="2950"/>
      <c r="RHC21" s="2950"/>
      <c r="RHD21" s="2950"/>
      <c r="RHE21" s="2950"/>
      <c r="RHF21" s="2950"/>
      <c r="RHG21" s="2950"/>
      <c r="RHH21" s="2950"/>
      <c r="RHI21" s="2950"/>
      <c r="RHJ21" s="2950"/>
      <c r="RHK21" s="2950"/>
      <c r="RHL21" s="2950"/>
      <c r="RHM21" s="2950"/>
      <c r="RHN21" s="2950"/>
      <c r="RHO21" s="2950"/>
      <c r="RHP21" s="2950"/>
      <c r="RHQ21" s="2950"/>
      <c r="RHR21" s="2950"/>
      <c r="RHS21" s="2950"/>
      <c r="RHT21" s="2950"/>
      <c r="RHU21" s="2950"/>
      <c r="RHV21" s="2950"/>
      <c r="RHW21" s="2950"/>
      <c r="RHX21" s="2950"/>
      <c r="RHY21" s="2950"/>
      <c r="RHZ21" s="2950"/>
      <c r="RIA21" s="2950"/>
      <c r="RIB21" s="2950"/>
      <c r="RIC21" s="2950"/>
      <c r="RID21" s="2950"/>
      <c r="RIE21" s="2950"/>
      <c r="RIF21" s="2950"/>
      <c r="RIG21" s="2950"/>
      <c r="RIH21" s="2950"/>
      <c r="RII21" s="2950"/>
      <c r="RIJ21" s="2950"/>
      <c r="RIK21" s="2950"/>
      <c r="RIL21" s="2950"/>
      <c r="RIM21" s="2950"/>
      <c r="RIN21" s="2950"/>
      <c r="RIO21" s="2950"/>
      <c r="RIP21" s="2950"/>
      <c r="RIQ21" s="2950"/>
      <c r="RIR21" s="2950"/>
      <c r="RIS21" s="2950"/>
      <c r="RIT21" s="2950"/>
      <c r="RIU21" s="2950"/>
      <c r="RIV21" s="2950"/>
      <c r="RIW21" s="2950"/>
      <c r="RIX21" s="2950"/>
      <c r="RIY21" s="2950"/>
      <c r="RIZ21" s="2950"/>
      <c r="RJA21" s="2950"/>
      <c r="RJB21" s="2950"/>
      <c r="RJC21" s="2950"/>
      <c r="RJD21" s="2950"/>
      <c r="RJE21" s="2950"/>
      <c r="RJF21" s="2950"/>
      <c r="RJG21" s="2950"/>
      <c r="RJH21" s="2950"/>
      <c r="RJI21" s="2950"/>
      <c r="RJJ21" s="2950"/>
      <c r="RJK21" s="2950"/>
      <c r="RJL21" s="2950"/>
      <c r="RJM21" s="2950"/>
      <c r="RJN21" s="2950"/>
      <c r="RJO21" s="2950"/>
      <c r="RJP21" s="2950"/>
      <c r="RJQ21" s="2950"/>
      <c r="RJR21" s="2950"/>
      <c r="RJS21" s="2950"/>
      <c r="RJT21" s="2950"/>
      <c r="RJU21" s="2950"/>
      <c r="RJV21" s="2950"/>
      <c r="RJW21" s="2950"/>
      <c r="RJX21" s="2950"/>
      <c r="RJY21" s="2950"/>
      <c r="RJZ21" s="2950"/>
      <c r="RKA21" s="2950"/>
      <c r="RKB21" s="2950"/>
      <c r="RKC21" s="2950"/>
      <c r="RKD21" s="2950"/>
      <c r="RKE21" s="2950"/>
      <c r="RKF21" s="2950"/>
      <c r="RKG21" s="2950"/>
      <c r="RKH21" s="2950"/>
      <c r="RKI21" s="2950"/>
      <c r="RKJ21" s="2950"/>
      <c r="RKK21" s="2950"/>
      <c r="RKL21" s="2950"/>
      <c r="RKM21" s="2950"/>
      <c r="RKN21" s="2950"/>
      <c r="RKO21" s="2950"/>
      <c r="RKP21" s="2950"/>
      <c r="RKQ21" s="2950"/>
      <c r="RKR21" s="2950"/>
      <c r="RKS21" s="2950"/>
      <c r="RKT21" s="2950"/>
      <c r="RKU21" s="2950"/>
      <c r="RKV21" s="2950"/>
      <c r="RKW21" s="2950"/>
      <c r="RKX21" s="2950"/>
      <c r="RKY21" s="2950"/>
      <c r="RKZ21" s="2950"/>
      <c r="RLA21" s="2950"/>
      <c r="RLB21" s="2950"/>
      <c r="RLC21" s="2950"/>
      <c r="RLD21" s="2950"/>
      <c r="RLE21" s="2950"/>
      <c r="RLF21" s="2950"/>
      <c r="RLG21" s="2950"/>
      <c r="RLH21" s="2950"/>
      <c r="RLI21" s="2950"/>
      <c r="RLJ21" s="2950"/>
      <c r="RLK21" s="2950"/>
      <c r="RLL21" s="2950"/>
      <c r="RLM21" s="2950"/>
      <c r="RLN21" s="2950"/>
      <c r="RLO21" s="2950"/>
      <c r="RLP21" s="2950"/>
      <c r="RLQ21" s="2950"/>
      <c r="RLR21" s="2950"/>
      <c r="RLS21" s="2950"/>
      <c r="RLT21" s="2950"/>
      <c r="RLU21" s="2950"/>
      <c r="RLV21" s="2950"/>
      <c r="RLW21" s="2950"/>
      <c r="RLX21" s="2950"/>
      <c r="RLY21" s="2950"/>
      <c r="RLZ21" s="2950"/>
      <c r="RMA21" s="2950"/>
      <c r="RMB21" s="2950"/>
      <c r="RMC21" s="2950"/>
      <c r="RMD21" s="2950"/>
      <c r="RME21" s="2950"/>
      <c r="RMF21" s="2950"/>
      <c r="RMG21" s="2950"/>
      <c r="RMH21" s="2950"/>
      <c r="RMI21" s="2950"/>
      <c r="RMJ21" s="2950"/>
      <c r="RMK21" s="2950"/>
      <c r="RML21" s="2950"/>
      <c r="RMM21" s="2950"/>
      <c r="RMN21" s="2950"/>
      <c r="RMO21" s="2950"/>
      <c r="RMP21" s="2950"/>
      <c r="RMQ21" s="2950"/>
      <c r="RMR21" s="2950"/>
      <c r="RMS21" s="2950"/>
      <c r="RMT21" s="2950"/>
      <c r="RMU21" s="2950"/>
      <c r="RMV21" s="2950"/>
      <c r="RMW21" s="2950"/>
      <c r="RMX21" s="2950"/>
      <c r="RMY21" s="2950"/>
      <c r="RMZ21" s="2950"/>
      <c r="RNA21" s="2950"/>
      <c r="RNB21" s="2950"/>
      <c r="RNC21" s="2950"/>
      <c r="RND21" s="2950"/>
      <c r="RNE21" s="2950"/>
      <c r="RNF21" s="2950"/>
      <c r="RNG21" s="2950"/>
      <c r="RNH21" s="2950"/>
      <c r="RNI21" s="2950"/>
      <c r="RNJ21" s="2950"/>
      <c r="RNK21" s="2950"/>
      <c r="RNL21" s="2950"/>
      <c r="RNM21" s="2950"/>
      <c r="RNN21" s="2950"/>
      <c r="RNO21" s="2950"/>
      <c r="RNP21" s="2950"/>
      <c r="RNQ21" s="2950"/>
      <c r="RNR21" s="2950"/>
      <c r="RNS21" s="2950"/>
      <c r="RNT21" s="2950"/>
      <c r="RNU21" s="2950"/>
      <c r="RNV21" s="2950"/>
      <c r="RNW21" s="2950"/>
      <c r="RNX21" s="2950"/>
      <c r="RNY21" s="2950"/>
      <c r="RNZ21" s="2950"/>
      <c r="ROA21" s="2950"/>
      <c r="ROB21" s="2950"/>
      <c r="ROC21" s="2950"/>
      <c r="ROD21" s="2950"/>
      <c r="ROE21" s="2950"/>
      <c r="ROF21" s="2950"/>
      <c r="ROG21" s="2950"/>
      <c r="ROH21" s="2950"/>
      <c r="ROI21" s="2950"/>
      <c r="ROJ21" s="2950"/>
      <c r="ROK21" s="2950"/>
      <c r="ROL21" s="2950"/>
      <c r="ROM21" s="2950"/>
      <c r="RON21" s="2950"/>
      <c r="ROO21" s="2950"/>
      <c r="ROP21" s="2950"/>
      <c r="ROQ21" s="2950"/>
      <c r="ROR21" s="2950"/>
      <c r="ROS21" s="2950"/>
      <c r="ROT21" s="2950"/>
      <c r="ROU21" s="2950"/>
      <c r="ROV21" s="2950"/>
      <c r="ROW21" s="2950"/>
      <c r="ROX21" s="2950"/>
      <c r="ROY21" s="2950"/>
      <c r="ROZ21" s="2950"/>
      <c r="RPA21" s="2950"/>
      <c r="RPB21" s="2950"/>
      <c r="RPC21" s="2950"/>
      <c r="RPD21" s="2950"/>
      <c r="RPE21" s="2950"/>
      <c r="RPF21" s="2950"/>
      <c r="RPG21" s="2950"/>
      <c r="RPH21" s="2950"/>
      <c r="RPI21" s="2950"/>
      <c r="RPJ21" s="2950"/>
      <c r="RPK21" s="2950"/>
      <c r="RPL21" s="2950"/>
      <c r="RPM21" s="2950"/>
      <c r="RPN21" s="2950"/>
      <c r="RPO21" s="2950"/>
      <c r="RPP21" s="2950"/>
      <c r="RPQ21" s="2950"/>
      <c r="RPR21" s="2950"/>
      <c r="RPS21" s="2950"/>
      <c r="RPT21" s="2950"/>
      <c r="RPU21" s="2950"/>
      <c r="RPV21" s="2950"/>
      <c r="RPW21" s="2950"/>
      <c r="RPX21" s="2950"/>
      <c r="RPY21" s="2950"/>
      <c r="RPZ21" s="2950"/>
      <c r="RQA21" s="2950"/>
      <c r="RQB21" s="2950"/>
      <c r="RQC21" s="2950"/>
      <c r="RQD21" s="2950"/>
      <c r="RQE21" s="2950"/>
      <c r="RQF21" s="2950"/>
      <c r="RQG21" s="2950"/>
      <c r="RQH21" s="2950"/>
      <c r="RQI21" s="2950"/>
      <c r="RQJ21" s="2950"/>
      <c r="RQK21" s="2950"/>
      <c r="RQL21" s="2950"/>
      <c r="RQM21" s="2950"/>
      <c r="RQN21" s="2950"/>
      <c r="RQO21" s="2950"/>
      <c r="RQP21" s="2950"/>
      <c r="RQQ21" s="2950"/>
      <c r="RQR21" s="2950"/>
      <c r="RQS21" s="2950"/>
      <c r="RQT21" s="2950"/>
      <c r="RQU21" s="2950"/>
      <c r="RQV21" s="2950"/>
      <c r="RQW21" s="2950"/>
      <c r="RQX21" s="2950"/>
      <c r="RQY21" s="2950"/>
      <c r="RQZ21" s="2950"/>
      <c r="RRA21" s="2950"/>
      <c r="RRB21" s="2950"/>
      <c r="RRC21" s="2950"/>
      <c r="RRD21" s="2950"/>
      <c r="RRE21" s="2950"/>
      <c r="RRF21" s="2950"/>
      <c r="RRG21" s="2950"/>
      <c r="RRH21" s="2950"/>
      <c r="RRI21" s="2950"/>
      <c r="RRJ21" s="2950"/>
      <c r="RRK21" s="2950"/>
      <c r="RRL21" s="2950"/>
      <c r="RRM21" s="2950"/>
      <c r="RRN21" s="2950"/>
      <c r="RRO21" s="2950"/>
      <c r="RRP21" s="2950"/>
      <c r="RRQ21" s="2950"/>
      <c r="RRR21" s="2950"/>
      <c r="RRS21" s="2950"/>
      <c r="RRT21" s="2950"/>
      <c r="RRU21" s="2950"/>
      <c r="RRV21" s="2950"/>
      <c r="RRW21" s="2950"/>
      <c r="RRX21" s="2950"/>
      <c r="RRY21" s="2950"/>
      <c r="RRZ21" s="2950"/>
      <c r="RSA21" s="2950"/>
      <c r="RSB21" s="2950"/>
      <c r="RSC21" s="2950"/>
      <c r="RSD21" s="2950"/>
      <c r="RSE21" s="2950"/>
      <c r="RSF21" s="2950"/>
      <c r="RSG21" s="2950"/>
      <c r="RSH21" s="2950"/>
      <c r="RSI21" s="2950"/>
      <c r="RSJ21" s="2950"/>
      <c r="RSK21" s="2950"/>
      <c r="RSL21" s="2950"/>
      <c r="RSM21" s="2950"/>
      <c r="RSN21" s="2950"/>
      <c r="RSO21" s="2950"/>
      <c r="RSP21" s="2950"/>
      <c r="RSQ21" s="2950"/>
      <c r="RSR21" s="2950"/>
      <c r="RSS21" s="2950"/>
      <c r="RST21" s="2950"/>
      <c r="RSU21" s="2950"/>
      <c r="RSV21" s="2950"/>
      <c r="RSW21" s="2950"/>
      <c r="RSX21" s="2950"/>
      <c r="RSY21" s="2950"/>
      <c r="RSZ21" s="2950"/>
      <c r="RTA21" s="2950"/>
      <c r="RTB21" s="2950"/>
      <c r="RTC21" s="2950"/>
      <c r="RTD21" s="2950"/>
      <c r="RTE21" s="2950"/>
      <c r="RTF21" s="2950"/>
      <c r="RTG21" s="2950"/>
      <c r="RTH21" s="2950"/>
      <c r="RTI21" s="2950"/>
      <c r="RTJ21" s="2950"/>
      <c r="RTK21" s="2950"/>
      <c r="RTL21" s="2950"/>
      <c r="RTM21" s="2950"/>
      <c r="RTN21" s="2950"/>
      <c r="RTO21" s="2950"/>
      <c r="RTP21" s="2950"/>
      <c r="RTQ21" s="2950"/>
      <c r="RTR21" s="2950"/>
      <c r="RTS21" s="2950"/>
      <c r="RTT21" s="2950"/>
      <c r="RTU21" s="2950"/>
      <c r="RTV21" s="2950"/>
      <c r="RTW21" s="2950"/>
      <c r="RTX21" s="2950"/>
      <c r="RTY21" s="2950"/>
      <c r="RTZ21" s="2950"/>
      <c r="RUA21" s="2950"/>
      <c r="RUB21" s="2950"/>
      <c r="RUC21" s="2950"/>
      <c r="RUD21" s="2950"/>
      <c r="RUE21" s="2950"/>
      <c r="RUF21" s="2950"/>
      <c r="RUG21" s="2950"/>
      <c r="RUH21" s="2950"/>
      <c r="RUI21" s="2950"/>
      <c r="RUJ21" s="2950"/>
      <c r="RUK21" s="2950"/>
      <c r="RUL21" s="2950"/>
      <c r="RUM21" s="2950"/>
      <c r="RUN21" s="2950"/>
      <c r="RUO21" s="2950"/>
      <c r="RUP21" s="2950"/>
      <c r="RUQ21" s="2950"/>
      <c r="RUR21" s="2950"/>
      <c r="RUS21" s="2950"/>
      <c r="RUT21" s="2950"/>
      <c r="RUU21" s="2950"/>
      <c r="RUV21" s="2950"/>
      <c r="RUW21" s="2950"/>
      <c r="RUX21" s="2950"/>
      <c r="RUY21" s="2950"/>
      <c r="RUZ21" s="2950"/>
      <c r="RVA21" s="2950"/>
      <c r="RVB21" s="2950"/>
      <c r="RVC21" s="2950"/>
      <c r="RVD21" s="2950"/>
      <c r="RVE21" s="2950"/>
      <c r="RVF21" s="2950"/>
      <c r="RVG21" s="2950"/>
      <c r="RVH21" s="2950"/>
      <c r="RVI21" s="2950"/>
      <c r="RVJ21" s="2950"/>
      <c r="RVK21" s="2950"/>
      <c r="RVL21" s="2950"/>
      <c r="RVM21" s="2950"/>
      <c r="RVN21" s="2950"/>
      <c r="RVO21" s="2950"/>
      <c r="RVP21" s="2950"/>
      <c r="RVQ21" s="2950"/>
      <c r="RVR21" s="2950"/>
      <c r="RVS21" s="2950"/>
      <c r="RVT21" s="2950"/>
      <c r="RVU21" s="2950"/>
      <c r="RVV21" s="2950"/>
      <c r="RVW21" s="2950"/>
      <c r="RVX21" s="2950"/>
      <c r="RVY21" s="2950"/>
      <c r="RVZ21" s="2950"/>
      <c r="RWA21" s="2950"/>
      <c r="RWB21" s="2950"/>
      <c r="RWC21" s="2950"/>
      <c r="RWD21" s="2950"/>
      <c r="RWE21" s="2950"/>
      <c r="RWF21" s="2950"/>
      <c r="RWG21" s="2950"/>
      <c r="RWH21" s="2950"/>
      <c r="RWI21" s="2950"/>
      <c r="RWJ21" s="2950"/>
      <c r="RWK21" s="2950"/>
      <c r="RWL21" s="2950"/>
      <c r="RWM21" s="2950"/>
      <c r="RWN21" s="2950"/>
      <c r="RWO21" s="2950"/>
      <c r="RWP21" s="2950"/>
      <c r="RWQ21" s="2950"/>
      <c r="RWR21" s="2950"/>
      <c r="RWS21" s="2950"/>
      <c r="RWT21" s="2950"/>
      <c r="RWU21" s="2950"/>
      <c r="RWV21" s="2950"/>
      <c r="RWW21" s="2950"/>
      <c r="RWX21" s="2950"/>
      <c r="RWY21" s="2950"/>
      <c r="RWZ21" s="2950"/>
      <c r="RXA21" s="2950"/>
      <c r="RXB21" s="2950"/>
      <c r="RXC21" s="2950"/>
      <c r="RXD21" s="2950"/>
      <c r="RXE21" s="2950"/>
      <c r="RXF21" s="2950"/>
      <c r="RXG21" s="2950"/>
      <c r="RXH21" s="2950"/>
      <c r="RXI21" s="2950"/>
      <c r="RXJ21" s="2950"/>
      <c r="RXK21" s="2950"/>
      <c r="RXL21" s="2950"/>
      <c r="RXM21" s="2950"/>
      <c r="RXN21" s="2950"/>
      <c r="RXO21" s="2950"/>
      <c r="RXP21" s="2950"/>
      <c r="RXQ21" s="2950"/>
      <c r="RXR21" s="2950"/>
      <c r="RXS21" s="2950"/>
      <c r="RXT21" s="2950"/>
      <c r="RXU21" s="2950"/>
      <c r="RXV21" s="2950"/>
      <c r="RXW21" s="2950"/>
      <c r="RXX21" s="2950"/>
      <c r="RXY21" s="2950"/>
      <c r="RXZ21" s="2950"/>
      <c r="RYA21" s="2950"/>
      <c r="RYB21" s="2950"/>
      <c r="RYC21" s="2950"/>
      <c r="RYD21" s="2950"/>
      <c r="RYE21" s="2950"/>
      <c r="RYF21" s="2950"/>
      <c r="RYG21" s="2950"/>
      <c r="RYH21" s="2950"/>
      <c r="RYI21" s="2950"/>
      <c r="RYJ21" s="2950"/>
      <c r="RYK21" s="2950"/>
      <c r="RYL21" s="2950"/>
      <c r="RYM21" s="2950"/>
      <c r="RYN21" s="2950"/>
      <c r="RYO21" s="2950"/>
      <c r="RYP21" s="2950"/>
      <c r="RYQ21" s="2950"/>
      <c r="RYR21" s="2950"/>
      <c r="RYS21" s="2950"/>
      <c r="RYT21" s="2950"/>
      <c r="RYU21" s="2950"/>
      <c r="RYV21" s="2950"/>
      <c r="RYW21" s="2950"/>
      <c r="RYX21" s="2950"/>
      <c r="RYY21" s="2950"/>
      <c r="RYZ21" s="2950"/>
      <c r="RZA21" s="2950"/>
      <c r="RZB21" s="2950"/>
      <c r="RZC21" s="2950"/>
      <c r="RZD21" s="2950"/>
      <c r="RZE21" s="2950"/>
      <c r="RZF21" s="2950"/>
      <c r="RZG21" s="2950"/>
      <c r="RZH21" s="2950"/>
      <c r="RZI21" s="2950"/>
      <c r="RZJ21" s="2950"/>
      <c r="RZK21" s="2950"/>
      <c r="RZL21" s="2950"/>
      <c r="RZM21" s="2950"/>
      <c r="RZN21" s="2950"/>
      <c r="RZO21" s="2950"/>
      <c r="RZP21" s="2950"/>
      <c r="RZQ21" s="2950"/>
      <c r="RZR21" s="2950"/>
      <c r="RZS21" s="2950"/>
      <c r="RZT21" s="2950"/>
      <c r="RZU21" s="2950"/>
      <c r="RZV21" s="2950"/>
      <c r="RZW21" s="2950"/>
      <c r="RZX21" s="2950"/>
      <c r="RZY21" s="2950"/>
      <c r="RZZ21" s="2950"/>
      <c r="SAA21" s="2950"/>
      <c r="SAB21" s="2950"/>
      <c r="SAC21" s="2950"/>
      <c r="SAD21" s="2950"/>
      <c r="SAE21" s="2950"/>
      <c r="SAF21" s="2950"/>
      <c r="SAG21" s="2950"/>
      <c r="SAH21" s="2950"/>
      <c r="SAI21" s="2950"/>
      <c r="SAJ21" s="2950"/>
      <c r="SAK21" s="2950"/>
      <c r="SAL21" s="2950"/>
      <c r="SAM21" s="2950"/>
      <c r="SAN21" s="2950"/>
      <c r="SAO21" s="2950"/>
      <c r="SAP21" s="2950"/>
      <c r="SAQ21" s="2950"/>
      <c r="SAR21" s="2950"/>
      <c r="SAS21" s="2950"/>
      <c r="SAT21" s="2950"/>
      <c r="SAU21" s="2950"/>
      <c r="SAV21" s="2950"/>
      <c r="SAW21" s="2950"/>
      <c r="SAX21" s="2950"/>
      <c r="SAY21" s="2950"/>
      <c r="SAZ21" s="2950"/>
      <c r="SBA21" s="2950"/>
      <c r="SBB21" s="2950"/>
      <c r="SBC21" s="2950"/>
      <c r="SBD21" s="2950"/>
      <c r="SBE21" s="2950"/>
      <c r="SBF21" s="2950"/>
      <c r="SBG21" s="2950"/>
      <c r="SBH21" s="2950"/>
      <c r="SBI21" s="2950"/>
      <c r="SBJ21" s="2950"/>
      <c r="SBK21" s="2950"/>
      <c r="SBL21" s="2950"/>
      <c r="SBM21" s="2950"/>
      <c r="SBN21" s="2950"/>
      <c r="SBO21" s="2950"/>
      <c r="SBP21" s="2950"/>
      <c r="SBQ21" s="2950"/>
      <c r="SBR21" s="2950"/>
      <c r="SBS21" s="2950"/>
      <c r="SBT21" s="2950"/>
      <c r="SBU21" s="2950"/>
      <c r="SBV21" s="2950"/>
      <c r="SBW21" s="2950"/>
      <c r="SBX21" s="2950"/>
      <c r="SBY21" s="2950"/>
      <c r="SBZ21" s="2950"/>
      <c r="SCA21" s="2950"/>
      <c r="SCB21" s="2950"/>
      <c r="SCC21" s="2950"/>
      <c r="SCD21" s="2950"/>
      <c r="SCE21" s="2950"/>
      <c r="SCF21" s="2950"/>
      <c r="SCG21" s="2950"/>
      <c r="SCH21" s="2950"/>
      <c r="SCI21" s="2950"/>
      <c r="SCJ21" s="2950"/>
      <c r="SCK21" s="2950"/>
      <c r="SCL21" s="2950"/>
      <c r="SCM21" s="2950"/>
      <c r="SCN21" s="2950"/>
      <c r="SCO21" s="2950"/>
      <c r="SCP21" s="2950"/>
      <c r="SCQ21" s="2950"/>
      <c r="SCR21" s="2950"/>
      <c r="SCS21" s="2950"/>
      <c r="SCT21" s="2950"/>
      <c r="SCU21" s="2950"/>
      <c r="SCV21" s="2950"/>
      <c r="SCW21" s="2950"/>
      <c r="SCX21" s="2950"/>
      <c r="SCY21" s="2950"/>
      <c r="SCZ21" s="2950"/>
      <c r="SDA21" s="2950"/>
      <c r="SDB21" s="2950"/>
      <c r="SDC21" s="2950"/>
      <c r="SDD21" s="2950"/>
      <c r="SDE21" s="2950"/>
      <c r="SDF21" s="2950"/>
      <c r="SDG21" s="2950"/>
      <c r="SDH21" s="2950"/>
      <c r="SDI21" s="2950"/>
      <c r="SDJ21" s="2950"/>
      <c r="SDK21" s="2950"/>
      <c r="SDL21" s="2950"/>
      <c r="SDM21" s="2950"/>
      <c r="SDN21" s="2950"/>
      <c r="SDO21" s="2950"/>
      <c r="SDP21" s="2950"/>
      <c r="SDQ21" s="2950"/>
      <c r="SDR21" s="2950"/>
      <c r="SDS21" s="2950"/>
      <c r="SDT21" s="2950"/>
      <c r="SDU21" s="2950"/>
      <c r="SDV21" s="2950"/>
      <c r="SDW21" s="2950"/>
      <c r="SDX21" s="2950"/>
      <c r="SDY21" s="2950"/>
      <c r="SDZ21" s="2950"/>
      <c r="SEA21" s="2950"/>
      <c r="SEB21" s="2950"/>
      <c r="SEC21" s="2950"/>
      <c r="SED21" s="2950"/>
      <c r="SEE21" s="2950"/>
      <c r="SEF21" s="2950"/>
      <c r="SEG21" s="2950"/>
      <c r="SEH21" s="2950"/>
      <c r="SEI21" s="2950"/>
      <c r="SEJ21" s="2950"/>
      <c r="SEK21" s="2950"/>
      <c r="SEL21" s="2950"/>
      <c r="SEM21" s="2950"/>
      <c r="SEN21" s="2950"/>
      <c r="SEO21" s="2950"/>
      <c r="SEP21" s="2950"/>
      <c r="SEQ21" s="2950"/>
      <c r="SER21" s="2950"/>
      <c r="SES21" s="2950"/>
      <c r="SET21" s="2950"/>
      <c r="SEU21" s="2950"/>
      <c r="SEV21" s="2950"/>
      <c r="SEW21" s="2950"/>
      <c r="SEX21" s="2950"/>
      <c r="SEY21" s="2950"/>
      <c r="SEZ21" s="2950"/>
      <c r="SFA21" s="2950"/>
      <c r="SFB21" s="2950"/>
      <c r="SFC21" s="2950"/>
      <c r="SFD21" s="2950"/>
      <c r="SFE21" s="2950"/>
      <c r="SFF21" s="2950"/>
      <c r="SFG21" s="2950"/>
      <c r="SFH21" s="2950"/>
      <c r="SFI21" s="2950"/>
      <c r="SFJ21" s="2950"/>
      <c r="SFK21" s="2950"/>
      <c r="SFL21" s="2950"/>
      <c r="SFM21" s="2950"/>
      <c r="SFN21" s="2950"/>
      <c r="SFO21" s="2950"/>
      <c r="SFP21" s="2950"/>
      <c r="SFQ21" s="2950"/>
      <c r="SFR21" s="2950"/>
      <c r="SFS21" s="2950"/>
      <c r="SFT21" s="2950"/>
      <c r="SFU21" s="2950"/>
      <c r="SFV21" s="2950"/>
      <c r="SFW21" s="2950"/>
      <c r="SFX21" s="2950"/>
      <c r="SFY21" s="2950"/>
      <c r="SFZ21" s="2950"/>
      <c r="SGA21" s="2950"/>
      <c r="SGB21" s="2950"/>
      <c r="SGC21" s="2950"/>
      <c r="SGD21" s="2950"/>
      <c r="SGE21" s="2950"/>
      <c r="SGF21" s="2950"/>
      <c r="SGG21" s="2950"/>
      <c r="SGH21" s="2950"/>
      <c r="SGI21" s="2950"/>
      <c r="SGJ21" s="2950"/>
      <c r="SGK21" s="2950"/>
      <c r="SGL21" s="2950"/>
      <c r="SGM21" s="2950"/>
      <c r="SGN21" s="2950"/>
      <c r="SGO21" s="2950"/>
      <c r="SGP21" s="2950"/>
      <c r="SGQ21" s="2950"/>
      <c r="SGR21" s="2950"/>
      <c r="SGS21" s="2950"/>
      <c r="SGT21" s="2950"/>
      <c r="SGU21" s="2950"/>
      <c r="SGV21" s="2950"/>
      <c r="SGW21" s="2950"/>
      <c r="SGX21" s="2950"/>
      <c r="SGY21" s="2950"/>
      <c r="SGZ21" s="2950"/>
      <c r="SHA21" s="2950"/>
      <c r="SHB21" s="2950"/>
      <c r="SHC21" s="2950"/>
      <c r="SHD21" s="2950"/>
      <c r="SHE21" s="2950"/>
      <c r="SHF21" s="2950"/>
      <c r="SHG21" s="2950"/>
      <c r="SHH21" s="2950"/>
      <c r="SHI21" s="2950"/>
      <c r="SHJ21" s="2950"/>
      <c r="SHK21" s="2950"/>
      <c r="SHL21" s="2950"/>
      <c r="SHM21" s="2950"/>
      <c r="SHN21" s="2950"/>
      <c r="SHO21" s="2950"/>
      <c r="SHP21" s="2950"/>
      <c r="SHQ21" s="2950"/>
      <c r="SHR21" s="2950"/>
      <c r="SHS21" s="2950"/>
      <c r="SHT21" s="2950"/>
      <c r="SHU21" s="2950"/>
      <c r="SHV21" s="2950"/>
      <c r="SHW21" s="2950"/>
      <c r="SHX21" s="2950"/>
      <c r="SHY21" s="2950"/>
      <c r="SHZ21" s="2950"/>
      <c r="SIA21" s="2950"/>
      <c r="SIB21" s="2950"/>
      <c r="SIC21" s="2950"/>
      <c r="SID21" s="2950"/>
      <c r="SIE21" s="2950"/>
      <c r="SIF21" s="2950"/>
      <c r="SIG21" s="2950"/>
      <c r="SIH21" s="2950"/>
      <c r="SII21" s="2950"/>
      <c r="SIJ21" s="2950"/>
      <c r="SIK21" s="2950"/>
      <c r="SIL21" s="2950"/>
      <c r="SIM21" s="2950"/>
      <c r="SIN21" s="2950"/>
      <c r="SIO21" s="2950"/>
      <c r="SIP21" s="2950"/>
      <c r="SIQ21" s="2950"/>
      <c r="SIR21" s="2950"/>
      <c r="SIS21" s="2950"/>
      <c r="SIT21" s="2950"/>
      <c r="SIU21" s="2950"/>
      <c r="SIV21" s="2950"/>
      <c r="SIW21" s="2950"/>
      <c r="SIX21" s="2950"/>
      <c r="SIY21" s="2950"/>
      <c r="SIZ21" s="2950"/>
      <c r="SJA21" s="2950"/>
      <c r="SJB21" s="2950"/>
      <c r="SJC21" s="2950"/>
      <c r="SJD21" s="2950"/>
      <c r="SJE21" s="2950"/>
      <c r="SJF21" s="2950"/>
      <c r="SJG21" s="2950"/>
      <c r="SJH21" s="2950"/>
      <c r="SJI21" s="2950"/>
      <c r="SJJ21" s="2950"/>
      <c r="SJK21" s="2950"/>
      <c r="SJL21" s="2950"/>
      <c r="SJM21" s="2950"/>
      <c r="SJN21" s="2950"/>
      <c r="SJO21" s="2950"/>
      <c r="SJP21" s="2950"/>
      <c r="SJQ21" s="2950"/>
      <c r="SJR21" s="2950"/>
      <c r="SJS21" s="2950"/>
      <c r="SJT21" s="2950"/>
      <c r="SJU21" s="2950"/>
      <c r="SJV21" s="2950"/>
      <c r="SJW21" s="2950"/>
      <c r="SJX21" s="2950"/>
      <c r="SJY21" s="2950"/>
      <c r="SJZ21" s="2950"/>
      <c r="SKA21" s="2950"/>
      <c r="SKB21" s="2950"/>
      <c r="SKC21" s="2950"/>
      <c r="SKD21" s="2950"/>
      <c r="SKE21" s="2950"/>
      <c r="SKF21" s="2950"/>
      <c r="SKG21" s="2950"/>
      <c r="SKH21" s="2950"/>
      <c r="SKI21" s="2950"/>
      <c r="SKJ21" s="2950"/>
      <c r="SKK21" s="2950"/>
      <c r="SKL21" s="2950"/>
      <c r="SKM21" s="2950"/>
      <c r="SKN21" s="2950"/>
      <c r="SKO21" s="2950"/>
      <c r="SKP21" s="2950"/>
      <c r="SKQ21" s="2950"/>
      <c r="SKR21" s="2950"/>
      <c r="SKS21" s="2950"/>
      <c r="SKT21" s="2950"/>
      <c r="SKU21" s="2950"/>
      <c r="SKV21" s="2950"/>
      <c r="SKW21" s="2950"/>
      <c r="SKX21" s="2950"/>
      <c r="SKY21" s="2950"/>
      <c r="SKZ21" s="2950"/>
      <c r="SLA21" s="2950"/>
      <c r="SLB21" s="2950"/>
      <c r="SLC21" s="2950"/>
      <c r="SLD21" s="2950"/>
      <c r="SLE21" s="2950"/>
      <c r="SLF21" s="2950"/>
      <c r="SLG21" s="2950"/>
      <c r="SLH21" s="2950"/>
      <c r="SLI21" s="2950"/>
      <c r="SLJ21" s="2950"/>
      <c r="SLK21" s="2950"/>
      <c r="SLL21" s="2950"/>
      <c r="SLM21" s="2950"/>
      <c r="SLN21" s="2950"/>
      <c r="SLO21" s="2950"/>
      <c r="SLP21" s="2950"/>
      <c r="SLQ21" s="2950"/>
      <c r="SLR21" s="2950"/>
      <c r="SLS21" s="2950"/>
      <c r="SLT21" s="2950"/>
      <c r="SLU21" s="2950"/>
      <c r="SLV21" s="2950"/>
      <c r="SLW21" s="2950"/>
      <c r="SLX21" s="2950"/>
      <c r="SLY21" s="2950"/>
      <c r="SLZ21" s="2950"/>
      <c r="SMA21" s="2950"/>
      <c r="SMB21" s="2950"/>
      <c r="SMC21" s="2950"/>
      <c r="SMD21" s="2950"/>
      <c r="SME21" s="2950"/>
      <c r="SMF21" s="2950"/>
      <c r="SMG21" s="2950"/>
      <c r="SMH21" s="2950"/>
      <c r="SMI21" s="2950"/>
      <c r="SMJ21" s="2950"/>
      <c r="SMK21" s="2950"/>
      <c r="SML21" s="2950"/>
      <c r="SMM21" s="2950"/>
      <c r="SMN21" s="2950"/>
      <c r="SMO21" s="2950"/>
      <c r="SMP21" s="2950"/>
      <c r="SMQ21" s="2950"/>
      <c r="SMR21" s="2950"/>
      <c r="SMS21" s="2950"/>
      <c r="SMT21" s="2950"/>
      <c r="SMU21" s="2950"/>
      <c r="SMV21" s="2950"/>
      <c r="SMW21" s="2950"/>
      <c r="SMX21" s="2950"/>
      <c r="SMY21" s="2950"/>
      <c r="SMZ21" s="2950"/>
      <c r="SNA21" s="2950"/>
      <c r="SNB21" s="2950"/>
      <c r="SNC21" s="2950"/>
      <c r="SND21" s="2950"/>
      <c r="SNE21" s="2950"/>
      <c r="SNF21" s="2950"/>
      <c r="SNG21" s="2950"/>
      <c r="SNH21" s="2950"/>
      <c r="SNI21" s="2950"/>
      <c r="SNJ21" s="2950"/>
      <c r="SNK21" s="2950"/>
      <c r="SNL21" s="2950"/>
      <c r="SNM21" s="2950"/>
      <c r="SNN21" s="2950"/>
      <c r="SNO21" s="2950"/>
      <c r="SNP21" s="2950"/>
      <c r="SNQ21" s="2950"/>
      <c r="SNR21" s="2950"/>
      <c r="SNS21" s="2950"/>
      <c r="SNT21" s="2950"/>
      <c r="SNU21" s="2950"/>
      <c r="SNV21" s="2950"/>
      <c r="SNW21" s="2950"/>
      <c r="SNX21" s="2950"/>
      <c r="SNY21" s="2950"/>
      <c r="SNZ21" s="2950"/>
      <c r="SOA21" s="2950"/>
      <c r="SOB21" s="2950"/>
      <c r="SOC21" s="2950"/>
      <c r="SOD21" s="2950"/>
      <c r="SOE21" s="2950"/>
      <c r="SOF21" s="2950"/>
      <c r="SOG21" s="2950"/>
      <c r="SOH21" s="2950"/>
      <c r="SOI21" s="2950"/>
      <c r="SOJ21" s="2950"/>
      <c r="SOK21" s="2950"/>
      <c r="SOL21" s="2950"/>
      <c r="SOM21" s="2950"/>
      <c r="SON21" s="2950"/>
      <c r="SOO21" s="2950"/>
      <c r="SOP21" s="2950"/>
      <c r="SOQ21" s="2950"/>
      <c r="SOR21" s="2950"/>
      <c r="SOS21" s="2950"/>
      <c r="SOT21" s="2950"/>
      <c r="SOU21" s="2950"/>
      <c r="SOV21" s="2950"/>
      <c r="SOW21" s="2950"/>
      <c r="SOX21" s="2950"/>
      <c r="SOY21" s="2950"/>
      <c r="SOZ21" s="2950"/>
      <c r="SPA21" s="2950"/>
      <c r="SPB21" s="2950"/>
      <c r="SPC21" s="2950"/>
      <c r="SPD21" s="2950"/>
      <c r="SPE21" s="2950"/>
      <c r="SPF21" s="2950"/>
      <c r="SPG21" s="2950"/>
      <c r="SPH21" s="2950"/>
      <c r="SPI21" s="2950"/>
      <c r="SPJ21" s="2950"/>
      <c r="SPK21" s="2950"/>
      <c r="SPL21" s="2950"/>
      <c r="SPM21" s="2950"/>
      <c r="SPN21" s="2950"/>
      <c r="SPO21" s="2950"/>
      <c r="SPP21" s="2950"/>
      <c r="SPQ21" s="2950"/>
      <c r="SPR21" s="2950"/>
      <c r="SPS21" s="2950"/>
      <c r="SPT21" s="2950"/>
      <c r="SPU21" s="2950"/>
      <c r="SPV21" s="2950"/>
      <c r="SPW21" s="2950"/>
      <c r="SPX21" s="2950"/>
      <c r="SPY21" s="2950"/>
      <c r="SPZ21" s="2950"/>
      <c r="SQA21" s="2950"/>
      <c r="SQB21" s="2950"/>
      <c r="SQC21" s="2950"/>
      <c r="SQD21" s="2950"/>
      <c r="SQE21" s="2950"/>
      <c r="SQF21" s="2950"/>
      <c r="SQG21" s="2950"/>
      <c r="SQH21" s="2950"/>
      <c r="SQI21" s="2950"/>
      <c r="SQJ21" s="2950"/>
      <c r="SQK21" s="2950"/>
      <c r="SQL21" s="2950"/>
      <c r="SQM21" s="2950"/>
      <c r="SQN21" s="2950"/>
      <c r="SQO21" s="2950"/>
      <c r="SQP21" s="2950"/>
      <c r="SQQ21" s="2950"/>
      <c r="SQR21" s="2950"/>
      <c r="SQS21" s="2950"/>
      <c r="SQT21" s="2950"/>
      <c r="SQU21" s="2950"/>
      <c r="SQV21" s="2950"/>
      <c r="SQW21" s="2950"/>
      <c r="SQX21" s="2950"/>
      <c r="SQY21" s="2950"/>
      <c r="SQZ21" s="2950"/>
      <c r="SRA21" s="2950"/>
      <c r="SRB21" s="2950"/>
      <c r="SRC21" s="2950"/>
      <c r="SRD21" s="2950"/>
      <c r="SRE21" s="2950"/>
      <c r="SRF21" s="2950"/>
      <c r="SRG21" s="2950"/>
      <c r="SRH21" s="2950"/>
      <c r="SRI21" s="2950"/>
      <c r="SRJ21" s="2950"/>
      <c r="SRK21" s="2950"/>
      <c r="SRL21" s="2950"/>
      <c r="SRM21" s="2950"/>
      <c r="SRN21" s="2950"/>
      <c r="SRO21" s="2950"/>
      <c r="SRP21" s="2950"/>
      <c r="SRQ21" s="2950"/>
      <c r="SRR21" s="2950"/>
      <c r="SRS21" s="2950"/>
      <c r="SRT21" s="2950"/>
      <c r="SRU21" s="2950"/>
      <c r="SRV21" s="2950"/>
      <c r="SRW21" s="2950"/>
      <c r="SRX21" s="2950"/>
      <c r="SRY21" s="2950"/>
      <c r="SRZ21" s="2950"/>
      <c r="SSA21" s="2950"/>
      <c r="SSB21" s="2950"/>
      <c r="SSC21" s="2950"/>
      <c r="SSD21" s="2950"/>
      <c r="SSE21" s="2950"/>
      <c r="SSF21" s="2950"/>
      <c r="SSG21" s="2950"/>
      <c r="SSH21" s="2950"/>
      <c r="SSI21" s="2950"/>
      <c r="SSJ21" s="2950"/>
      <c r="SSK21" s="2950"/>
      <c r="SSL21" s="2950"/>
      <c r="SSM21" s="2950"/>
      <c r="SSN21" s="2950"/>
      <c r="SSO21" s="2950"/>
      <c r="SSP21" s="2950"/>
      <c r="SSQ21" s="2950"/>
      <c r="SSR21" s="2950"/>
      <c r="SSS21" s="2950"/>
      <c r="SST21" s="2950"/>
      <c r="SSU21" s="2950"/>
      <c r="SSV21" s="2950"/>
      <c r="SSW21" s="2950"/>
      <c r="SSX21" s="2950"/>
      <c r="SSY21" s="2950"/>
      <c r="SSZ21" s="2950"/>
      <c r="STA21" s="2950"/>
      <c r="STB21" s="2950"/>
      <c r="STC21" s="2950"/>
      <c r="STD21" s="2950"/>
      <c r="STE21" s="2950"/>
      <c r="STF21" s="2950"/>
      <c r="STG21" s="2950"/>
      <c r="STH21" s="2950"/>
      <c r="STI21" s="2950"/>
      <c r="STJ21" s="2950"/>
      <c r="STK21" s="2950"/>
      <c r="STL21" s="2950"/>
      <c r="STM21" s="2950"/>
      <c r="STN21" s="2950"/>
      <c r="STO21" s="2950"/>
      <c r="STP21" s="2950"/>
      <c r="STQ21" s="2950"/>
      <c r="STR21" s="2950"/>
      <c r="STS21" s="2950"/>
      <c r="STT21" s="2950"/>
      <c r="STU21" s="2950"/>
      <c r="STV21" s="2950"/>
      <c r="STW21" s="2950"/>
      <c r="STX21" s="2950"/>
      <c r="STY21" s="2950"/>
      <c r="STZ21" s="2950"/>
      <c r="SUA21" s="2950"/>
      <c r="SUB21" s="2950"/>
      <c r="SUC21" s="2950"/>
      <c r="SUD21" s="2950"/>
      <c r="SUE21" s="2950"/>
      <c r="SUF21" s="2950"/>
      <c r="SUG21" s="2950"/>
      <c r="SUH21" s="2950"/>
      <c r="SUI21" s="2950"/>
      <c r="SUJ21" s="2950"/>
      <c r="SUK21" s="2950"/>
      <c r="SUL21" s="2950"/>
      <c r="SUM21" s="2950"/>
      <c r="SUN21" s="2950"/>
      <c r="SUO21" s="2950"/>
      <c r="SUP21" s="2950"/>
      <c r="SUQ21" s="2950"/>
      <c r="SUR21" s="2950"/>
      <c r="SUS21" s="2950"/>
      <c r="SUT21" s="2950"/>
      <c r="SUU21" s="2950"/>
      <c r="SUV21" s="2950"/>
      <c r="SUW21" s="2950"/>
      <c r="SUX21" s="2950"/>
      <c r="SUY21" s="2950"/>
      <c r="SUZ21" s="2950"/>
      <c r="SVA21" s="2950"/>
      <c r="SVB21" s="2950"/>
      <c r="SVC21" s="2950"/>
      <c r="SVD21" s="2950"/>
      <c r="SVE21" s="2950"/>
      <c r="SVF21" s="2950"/>
      <c r="SVG21" s="2950"/>
      <c r="SVH21" s="2950"/>
      <c r="SVI21" s="2950"/>
      <c r="SVJ21" s="2950"/>
      <c r="SVK21" s="2950"/>
      <c r="SVL21" s="2950"/>
      <c r="SVM21" s="2950"/>
      <c r="SVN21" s="2950"/>
      <c r="SVO21" s="2950"/>
      <c r="SVP21" s="2950"/>
      <c r="SVQ21" s="2950"/>
      <c r="SVR21" s="2950"/>
      <c r="SVS21" s="2950"/>
      <c r="SVT21" s="2950"/>
      <c r="SVU21" s="2950"/>
      <c r="SVV21" s="2950"/>
      <c r="SVW21" s="2950"/>
      <c r="SVX21" s="2950"/>
      <c r="SVY21" s="2950"/>
      <c r="SVZ21" s="2950"/>
      <c r="SWA21" s="2950"/>
      <c r="SWB21" s="2950"/>
      <c r="SWC21" s="2950"/>
      <c r="SWD21" s="2950"/>
      <c r="SWE21" s="2950"/>
      <c r="SWF21" s="2950"/>
      <c r="SWG21" s="2950"/>
      <c r="SWH21" s="2950"/>
      <c r="SWI21" s="2950"/>
      <c r="SWJ21" s="2950"/>
      <c r="SWK21" s="2950"/>
      <c r="SWL21" s="2950"/>
      <c r="SWM21" s="2950"/>
      <c r="SWN21" s="2950"/>
      <c r="SWO21" s="2950"/>
      <c r="SWP21" s="2950"/>
      <c r="SWQ21" s="2950"/>
      <c r="SWR21" s="2950"/>
      <c r="SWS21" s="2950"/>
      <c r="SWT21" s="2950"/>
      <c r="SWU21" s="2950"/>
      <c r="SWV21" s="2950"/>
      <c r="SWW21" s="2950"/>
      <c r="SWX21" s="2950"/>
      <c r="SWY21" s="2950"/>
      <c r="SWZ21" s="2950"/>
      <c r="SXA21" s="2950"/>
      <c r="SXB21" s="2950"/>
      <c r="SXC21" s="2950"/>
      <c r="SXD21" s="2950"/>
      <c r="SXE21" s="2950"/>
      <c r="SXF21" s="2950"/>
      <c r="SXG21" s="2950"/>
      <c r="SXH21" s="2950"/>
      <c r="SXI21" s="2950"/>
      <c r="SXJ21" s="2950"/>
      <c r="SXK21" s="2950"/>
      <c r="SXL21" s="2950"/>
      <c r="SXM21" s="2950"/>
      <c r="SXN21" s="2950"/>
      <c r="SXO21" s="2950"/>
      <c r="SXP21" s="2950"/>
      <c r="SXQ21" s="2950"/>
      <c r="SXR21" s="2950"/>
      <c r="SXS21" s="2950"/>
      <c r="SXT21" s="2950"/>
      <c r="SXU21" s="2950"/>
      <c r="SXV21" s="2950"/>
      <c r="SXW21" s="2950"/>
      <c r="SXX21" s="2950"/>
      <c r="SXY21" s="2950"/>
      <c r="SXZ21" s="2950"/>
      <c r="SYA21" s="2950"/>
      <c r="SYB21" s="2950"/>
      <c r="SYC21" s="2950"/>
      <c r="SYD21" s="2950"/>
      <c r="SYE21" s="2950"/>
      <c r="SYF21" s="2950"/>
      <c r="SYG21" s="2950"/>
      <c r="SYH21" s="2950"/>
      <c r="SYI21" s="2950"/>
      <c r="SYJ21" s="2950"/>
      <c r="SYK21" s="2950"/>
      <c r="SYL21" s="2950"/>
      <c r="SYM21" s="2950"/>
      <c r="SYN21" s="2950"/>
      <c r="SYO21" s="2950"/>
      <c r="SYP21" s="2950"/>
      <c r="SYQ21" s="2950"/>
      <c r="SYR21" s="2950"/>
      <c r="SYS21" s="2950"/>
      <c r="SYT21" s="2950"/>
      <c r="SYU21" s="2950"/>
      <c r="SYV21" s="2950"/>
      <c r="SYW21" s="2950"/>
      <c r="SYX21" s="2950"/>
      <c r="SYY21" s="2950"/>
      <c r="SYZ21" s="2950"/>
      <c r="SZA21" s="2950"/>
      <c r="SZB21" s="2950"/>
      <c r="SZC21" s="2950"/>
      <c r="SZD21" s="2950"/>
      <c r="SZE21" s="2950"/>
      <c r="SZF21" s="2950"/>
      <c r="SZG21" s="2950"/>
      <c r="SZH21" s="2950"/>
      <c r="SZI21" s="2950"/>
      <c r="SZJ21" s="2950"/>
      <c r="SZK21" s="2950"/>
      <c r="SZL21" s="2950"/>
      <c r="SZM21" s="2950"/>
      <c r="SZN21" s="2950"/>
      <c r="SZO21" s="2950"/>
      <c r="SZP21" s="2950"/>
      <c r="SZQ21" s="2950"/>
      <c r="SZR21" s="2950"/>
      <c r="SZS21" s="2950"/>
      <c r="SZT21" s="2950"/>
      <c r="SZU21" s="2950"/>
      <c r="SZV21" s="2950"/>
      <c r="SZW21" s="2950"/>
      <c r="SZX21" s="2950"/>
      <c r="SZY21" s="2950"/>
      <c r="SZZ21" s="2950"/>
      <c r="TAA21" s="2950"/>
      <c r="TAB21" s="2950"/>
      <c r="TAC21" s="2950"/>
      <c r="TAD21" s="2950"/>
      <c r="TAE21" s="2950"/>
      <c r="TAF21" s="2950"/>
      <c r="TAG21" s="2950"/>
      <c r="TAH21" s="2950"/>
      <c r="TAI21" s="2950"/>
      <c r="TAJ21" s="2950"/>
      <c r="TAK21" s="2950"/>
      <c r="TAL21" s="2950"/>
      <c r="TAM21" s="2950"/>
      <c r="TAN21" s="2950"/>
      <c r="TAO21" s="2950"/>
      <c r="TAP21" s="2950"/>
      <c r="TAQ21" s="2950"/>
      <c r="TAR21" s="2950"/>
      <c r="TAS21" s="2950"/>
      <c r="TAT21" s="2950"/>
      <c r="TAU21" s="2950"/>
      <c r="TAV21" s="2950"/>
      <c r="TAW21" s="2950"/>
      <c r="TAX21" s="2950"/>
      <c r="TAY21" s="2950"/>
      <c r="TAZ21" s="2950"/>
      <c r="TBA21" s="2950"/>
      <c r="TBB21" s="2950"/>
      <c r="TBC21" s="2950"/>
      <c r="TBD21" s="2950"/>
      <c r="TBE21" s="2950"/>
      <c r="TBF21" s="2950"/>
      <c r="TBG21" s="2950"/>
      <c r="TBH21" s="2950"/>
      <c r="TBI21" s="2950"/>
      <c r="TBJ21" s="2950"/>
      <c r="TBK21" s="2950"/>
      <c r="TBL21" s="2950"/>
      <c r="TBM21" s="2950"/>
      <c r="TBN21" s="2950"/>
      <c r="TBO21" s="2950"/>
      <c r="TBP21" s="2950"/>
      <c r="TBQ21" s="2950"/>
      <c r="TBR21" s="2950"/>
      <c r="TBS21" s="2950"/>
      <c r="TBT21" s="2950"/>
      <c r="TBU21" s="2950"/>
      <c r="TBV21" s="2950"/>
      <c r="TBW21" s="2950"/>
      <c r="TBX21" s="2950"/>
      <c r="TBY21" s="2950"/>
      <c r="TBZ21" s="2950"/>
      <c r="TCA21" s="2950"/>
      <c r="TCB21" s="2950"/>
      <c r="TCC21" s="2950"/>
      <c r="TCD21" s="2950"/>
      <c r="TCE21" s="2950"/>
      <c r="TCF21" s="2950"/>
      <c r="TCG21" s="2950"/>
      <c r="TCH21" s="2950"/>
      <c r="TCI21" s="2950"/>
      <c r="TCJ21" s="2950"/>
      <c r="TCK21" s="2950"/>
      <c r="TCL21" s="2950"/>
      <c r="TCM21" s="2950"/>
      <c r="TCN21" s="2950"/>
      <c r="TCO21" s="2950"/>
      <c r="TCP21" s="2950"/>
      <c r="TCQ21" s="2950"/>
      <c r="TCR21" s="2950"/>
      <c r="TCS21" s="2950"/>
      <c r="TCT21" s="2950"/>
      <c r="TCU21" s="2950"/>
      <c r="TCV21" s="2950"/>
      <c r="TCW21" s="2950"/>
      <c r="TCX21" s="2950"/>
      <c r="TCY21" s="2950"/>
      <c r="TCZ21" s="2950"/>
      <c r="TDA21" s="2950"/>
      <c r="TDB21" s="2950"/>
      <c r="TDC21" s="2950"/>
      <c r="TDD21" s="2950"/>
      <c r="TDE21" s="2950"/>
      <c r="TDF21" s="2950"/>
      <c r="TDG21" s="2950"/>
      <c r="TDH21" s="2950"/>
      <c r="TDI21" s="2950"/>
      <c r="TDJ21" s="2950"/>
      <c r="TDK21" s="2950"/>
      <c r="TDL21" s="2950"/>
      <c r="TDM21" s="2950"/>
      <c r="TDN21" s="2950"/>
      <c r="TDO21" s="2950"/>
      <c r="TDP21" s="2950"/>
      <c r="TDQ21" s="2950"/>
      <c r="TDR21" s="2950"/>
      <c r="TDS21" s="2950"/>
      <c r="TDT21" s="2950"/>
      <c r="TDU21" s="2950"/>
      <c r="TDV21" s="2950"/>
      <c r="TDW21" s="2950"/>
      <c r="TDX21" s="2950"/>
      <c r="TDY21" s="2950"/>
      <c r="TDZ21" s="2950"/>
      <c r="TEA21" s="2950"/>
      <c r="TEB21" s="2950"/>
      <c r="TEC21" s="2950"/>
      <c r="TED21" s="2950"/>
      <c r="TEE21" s="2950"/>
      <c r="TEF21" s="2950"/>
      <c r="TEG21" s="2950"/>
      <c r="TEH21" s="2950"/>
      <c r="TEI21" s="2950"/>
      <c r="TEJ21" s="2950"/>
      <c r="TEK21" s="2950"/>
      <c r="TEL21" s="2950"/>
      <c r="TEM21" s="2950"/>
      <c r="TEN21" s="2950"/>
      <c r="TEO21" s="2950"/>
      <c r="TEP21" s="2950"/>
      <c r="TEQ21" s="2950"/>
      <c r="TER21" s="2950"/>
      <c r="TES21" s="2950"/>
      <c r="TET21" s="2950"/>
      <c r="TEU21" s="2950"/>
      <c r="TEV21" s="2950"/>
      <c r="TEW21" s="2950"/>
      <c r="TEX21" s="2950"/>
      <c r="TEY21" s="2950"/>
      <c r="TEZ21" s="2950"/>
      <c r="TFA21" s="2950"/>
      <c r="TFB21" s="2950"/>
      <c r="TFC21" s="2950"/>
      <c r="TFD21" s="2950"/>
      <c r="TFE21" s="2950"/>
      <c r="TFF21" s="2950"/>
      <c r="TFG21" s="2950"/>
      <c r="TFH21" s="2950"/>
      <c r="TFI21" s="2950"/>
      <c r="TFJ21" s="2950"/>
      <c r="TFK21" s="2950"/>
      <c r="TFL21" s="2950"/>
      <c r="TFM21" s="2950"/>
      <c r="TFN21" s="2950"/>
      <c r="TFO21" s="2950"/>
      <c r="TFP21" s="2950"/>
      <c r="TFQ21" s="2950"/>
      <c r="TFR21" s="2950"/>
      <c r="TFS21" s="2950"/>
      <c r="TFT21" s="2950"/>
      <c r="TFU21" s="2950"/>
      <c r="TFV21" s="2950"/>
      <c r="TFW21" s="2950"/>
      <c r="TFX21" s="2950"/>
      <c r="TFY21" s="2950"/>
      <c r="TFZ21" s="2950"/>
      <c r="TGA21" s="2950"/>
      <c r="TGB21" s="2950"/>
      <c r="TGC21" s="2950"/>
      <c r="TGD21" s="2950"/>
      <c r="TGE21" s="2950"/>
      <c r="TGF21" s="2950"/>
      <c r="TGG21" s="2950"/>
      <c r="TGH21" s="2950"/>
      <c r="TGI21" s="2950"/>
      <c r="TGJ21" s="2950"/>
      <c r="TGK21" s="2950"/>
      <c r="TGL21" s="2950"/>
      <c r="TGM21" s="2950"/>
      <c r="TGN21" s="2950"/>
      <c r="TGO21" s="2950"/>
      <c r="TGP21" s="2950"/>
      <c r="TGQ21" s="2950"/>
      <c r="TGR21" s="2950"/>
      <c r="TGS21" s="2950"/>
      <c r="TGT21" s="2950"/>
      <c r="TGU21" s="2950"/>
      <c r="TGV21" s="2950"/>
      <c r="TGW21" s="2950"/>
      <c r="TGX21" s="2950"/>
      <c r="TGY21" s="2950"/>
      <c r="TGZ21" s="2950"/>
      <c r="THA21" s="2950"/>
      <c r="THB21" s="2950"/>
      <c r="THC21" s="2950"/>
      <c r="THD21" s="2950"/>
      <c r="THE21" s="2950"/>
      <c r="THF21" s="2950"/>
      <c r="THG21" s="2950"/>
      <c r="THH21" s="2950"/>
      <c r="THI21" s="2950"/>
      <c r="THJ21" s="2950"/>
      <c r="THK21" s="2950"/>
      <c r="THL21" s="2950"/>
      <c r="THM21" s="2950"/>
      <c r="THN21" s="2950"/>
      <c r="THO21" s="2950"/>
      <c r="THP21" s="2950"/>
      <c r="THQ21" s="2950"/>
      <c r="THR21" s="2950"/>
      <c r="THS21" s="2950"/>
      <c r="THT21" s="2950"/>
      <c r="THU21" s="2950"/>
      <c r="THV21" s="2950"/>
      <c r="THW21" s="2950"/>
      <c r="THX21" s="2950"/>
      <c r="THY21" s="2950"/>
      <c r="THZ21" s="2950"/>
      <c r="TIA21" s="2950"/>
      <c r="TIB21" s="2950"/>
      <c r="TIC21" s="2950"/>
      <c r="TID21" s="2950"/>
      <c r="TIE21" s="2950"/>
      <c r="TIF21" s="2950"/>
      <c r="TIG21" s="2950"/>
      <c r="TIH21" s="2950"/>
      <c r="TII21" s="2950"/>
      <c r="TIJ21" s="2950"/>
      <c r="TIK21" s="2950"/>
      <c r="TIL21" s="2950"/>
      <c r="TIM21" s="2950"/>
      <c r="TIN21" s="2950"/>
      <c r="TIO21" s="2950"/>
      <c r="TIP21" s="2950"/>
      <c r="TIQ21" s="2950"/>
      <c r="TIR21" s="2950"/>
      <c r="TIS21" s="2950"/>
      <c r="TIT21" s="2950"/>
      <c r="TIU21" s="2950"/>
      <c r="TIV21" s="2950"/>
      <c r="TIW21" s="2950"/>
      <c r="TIX21" s="2950"/>
      <c r="TIY21" s="2950"/>
      <c r="TIZ21" s="2950"/>
      <c r="TJA21" s="2950"/>
      <c r="TJB21" s="2950"/>
      <c r="TJC21" s="2950"/>
      <c r="TJD21" s="2950"/>
      <c r="TJE21" s="2950"/>
      <c r="TJF21" s="2950"/>
      <c r="TJG21" s="2950"/>
      <c r="TJH21" s="2950"/>
      <c r="TJI21" s="2950"/>
      <c r="TJJ21" s="2950"/>
      <c r="TJK21" s="2950"/>
      <c r="TJL21" s="2950"/>
      <c r="TJM21" s="2950"/>
      <c r="TJN21" s="2950"/>
      <c r="TJO21" s="2950"/>
      <c r="TJP21" s="2950"/>
      <c r="TJQ21" s="2950"/>
      <c r="TJR21" s="2950"/>
      <c r="TJS21" s="2950"/>
      <c r="TJT21" s="2950"/>
      <c r="TJU21" s="2950"/>
      <c r="TJV21" s="2950"/>
      <c r="TJW21" s="2950"/>
      <c r="TJX21" s="2950"/>
      <c r="TJY21" s="2950"/>
      <c r="TJZ21" s="2950"/>
      <c r="TKA21" s="2950"/>
      <c r="TKB21" s="2950"/>
      <c r="TKC21" s="2950"/>
      <c r="TKD21" s="2950"/>
      <c r="TKE21" s="2950"/>
      <c r="TKF21" s="2950"/>
      <c r="TKG21" s="2950"/>
      <c r="TKH21" s="2950"/>
      <c r="TKI21" s="2950"/>
      <c r="TKJ21" s="2950"/>
      <c r="TKK21" s="2950"/>
      <c r="TKL21" s="2950"/>
      <c r="TKM21" s="2950"/>
      <c r="TKN21" s="2950"/>
      <c r="TKO21" s="2950"/>
      <c r="TKP21" s="2950"/>
      <c r="TKQ21" s="2950"/>
      <c r="TKR21" s="2950"/>
      <c r="TKS21" s="2950"/>
      <c r="TKT21" s="2950"/>
      <c r="TKU21" s="2950"/>
      <c r="TKV21" s="2950"/>
      <c r="TKW21" s="2950"/>
      <c r="TKX21" s="2950"/>
      <c r="TKY21" s="2950"/>
      <c r="TKZ21" s="2950"/>
      <c r="TLA21" s="2950"/>
      <c r="TLB21" s="2950"/>
      <c r="TLC21" s="2950"/>
      <c r="TLD21" s="2950"/>
      <c r="TLE21" s="2950"/>
      <c r="TLF21" s="2950"/>
      <c r="TLG21" s="2950"/>
      <c r="TLH21" s="2950"/>
      <c r="TLI21" s="2950"/>
      <c r="TLJ21" s="2950"/>
      <c r="TLK21" s="2950"/>
      <c r="TLL21" s="2950"/>
      <c r="TLM21" s="2950"/>
      <c r="TLN21" s="2950"/>
      <c r="TLO21" s="2950"/>
      <c r="TLP21" s="2950"/>
      <c r="TLQ21" s="2950"/>
      <c r="TLR21" s="2950"/>
      <c r="TLS21" s="2950"/>
      <c r="TLT21" s="2950"/>
      <c r="TLU21" s="2950"/>
      <c r="TLV21" s="2950"/>
      <c r="TLW21" s="2950"/>
      <c r="TLX21" s="2950"/>
      <c r="TLY21" s="2950"/>
      <c r="TLZ21" s="2950"/>
      <c r="TMA21" s="2950"/>
      <c r="TMB21" s="2950"/>
      <c r="TMC21" s="2950"/>
      <c r="TMD21" s="2950"/>
      <c r="TME21" s="2950"/>
      <c r="TMF21" s="2950"/>
      <c r="TMG21" s="2950"/>
      <c r="TMH21" s="2950"/>
      <c r="TMI21" s="2950"/>
      <c r="TMJ21" s="2950"/>
      <c r="TMK21" s="2950"/>
      <c r="TML21" s="2950"/>
      <c r="TMM21" s="2950"/>
      <c r="TMN21" s="2950"/>
      <c r="TMO21" s="2950"/>
      <c r="TMP21" s="2950"/>
      <c r="TMQ21" s="2950"/>
      <c r="TMR21" s="2950"/>
      <c r="TMS21" s="2950"/>
      <c r="TMT21" s="2950"/>
      <c r="TMU21" s="2950"/>
      <c r="TMV21" s="2950"/>
      <c r="TMW21" s="2950"/>
      <c r="TMX21" s="2950"/>
      <c r="TMY21" s="2950"/>
      <c r="TMZ21" s="2950"/>
      <c r="TNA21" s="2950"/>
      <c r="TNB21" s="2950"/>
      <c r="TNC21" s="2950"/>
      <c r="TND21" s="2950"/>
      <c r="TNE21" s="2950"/>
      <c r="TNF21" s="2950"/>
      <c r="TNG21" s="2950"/>
      <c r="TNH21" s="2950"/>
      <c r="TNI21" s="2950"/>
      <c r="TNJ21" s="2950"/>
      <c r="TNK21" s="2950"/>
      <c r="TNL21" s="2950"/>
      <c r="TNM21" s="2950"/>
      <c r="TNN21" s="2950"/>
      <c r="TNO21" s="2950"/>
      <c r="TNP21" s="2950"/>
      <c r="TNQ21" s="2950"/>
      <c r="TNR21" s="2950"/>
      <c r="TNS21" s="2950"/>
      <c r="TNT21" s="2950"/>
      <c r="TNU21" s="2950"/>
      <c r="TNV21" s="2950"/>
      <c r="TNW21" s="2950"/>
      <c r="TNX21" s="2950"/>
      <c r="TNY21" s="2950"/>
      <c r="TNZ21" s="2950"/>
      <c r="TOA21" s="2950"/>
      <c r="TOB21" s="2950"/>
      <c r="TOC21" s="2950"/>
      <c r="TOD21" s="2950"/>
      <c r="TOE21" s="2950"/>
      <c r="TOF21" s="2950"/>
      <c r="TOG21" s="2950"/>
      <c r="TOH21" s="2950"/>
      <c r="TOI21" s="2950"/>
      <c r="TOJ21" s="2950"/>
      <c r="TOK21" s="2950"/>
      <c r="TOL21" s="2950"/>
      <c r="TOM21" s="2950"/>
      <c r="TON21" s="2950"/>
      <c r="TOO21" s="2950"/>
      <c r="TOP21" s="2950"/>
      <c r="TOQ21" s="2950"/>
      <c r="TOR21" s="2950"/>
      <c r="TOS21" s="2950"/>
      <c r="TOT21" s="2950"/>
      <c r="TOU21" s="2950"/>
      <c r="TOV21" s="2950"/>
      <c r="TOW21" s="2950"/>
      <c r="TOX21" s="2950"/>
      <c r="TOY21" s="2950"/>
      <c r="TOZ21" s="2950"/>
      <c r="TPA21" s="2950"/>
      <c r="TPB21" s="2950"/>
      <c r="TPC21" s="2950"/>
      <c r="TPD21" s="2950"/>
      <c r="TPE21" s="2950"/>
      <c r="TPF21" s="2950"/>
      <c r="TPG21" s="2950"/>
      <c r="TPH21" s="2950"/>
      <c r="TPI21" s="2950"/>
      <c r="TPJ21" s="2950"/>
      <c r="TPK21" s="2950"/>
      <c r="TPL21" s="2950"/>
      <c r="TPM21" s="2950"/>
      <c r="TPN21" s="2950"/>
      <c r="TPO21" s="2950"/>
      <c r="TPP21" s="2950"/>
      <c r="TPQ21" s="2950"/>
      <c r="TPR21" s="2950"/>
      <c r="TPS21" s="2950"/>
      <c r="TPT21" s="2950"/>
      <c r="TPU21" s="2950"/>
      <c r="TPV21" s="2950"/>
      <c r="TPW21" s="2950"/>
      <c r="TPX21" s="2950"/>
      <c r="TPY21" s="2950"/>
      <c r="TPZ21" s="2950"/>
      <c r="TQA21" s="2950"/>
      <c r="TQB21" s="2950"/>
      <c r="TQC21" s="2950"/>
      <c r="TQD21" s="2950"/>
      <c r="TQE21" s="2950"/>
      <c r="TQF21" s="2950"/>
      <c r="TQG21" s="2950"/>
      <c r="TQH21" s="2950"/>
      <c r="TQI21" s="2950"/>
      <c r="TQJ21" s="2950"/>
      <c r="TQK21" s="2950"/>
      <c r="TQL21" s="2950"/>
      <c r="TQM21" s="2950"/>
      <c r="TQN21" s="2950"/>
      <c r="TQO21" s="2950"/>
      <c r="TQP21" s="2950"/>
      <c r="TQQ21" s="2950"/>
      <c r="TQR21" s="2950"/>
      <c r="TQS21" s="2950"/>
      <c r="TQT21" s="2950"/>
      <c r="TQU21" s="2950"/>
      <c r="TQV21" s="2950"/>
      <c r="TQW21" s="2950"/>
      <c r="TQX21" s="2950"/>
      <c r="TQY21" s="2950"/>
      <c r="TQZ21" s="2950"/>
      <c r="TRA21" s="2950"/>
      <c r="TRB21" s="2950"/>
      <c r="TRC21" s="2950"/>
      <c r="TRD21" s="2950"/>
      <c r="TRE21" s="2950"/>
      <c r="TRF21" s="2950"/>
      <c r="TRG21" s="2950"/>
      <c r="TRH21" s="2950"/>
      <c r="TRI21" s="2950"/>
      <c r="TRJ21" s="2950"/>
      <c r="TRK21" s="2950"/>
      <c r="TRL21" s="2950"/>
      <c r="TRM21" s="2950"/>
      <c r="TRN21" s="2950"/>
      <c r="TRO21" s="2950"/>
      <c r="TRP21" s="2950"/>
      <c r="TRQ21" s="2950"/>
      <c r="TRR21" s="2950"/>
      <c r="TRS21" s="2950"/>
      <c r="TRT21" s="2950"/>
      <c r="TRU21" s="2950"/>
      <c r="TRV21" s="2950"/>
      <c r="TRW21" s="2950"/>
      <c r="TRX21" s="2950"/>
      <c r="TRY21" s="2950"/>
      <c r="TRZ21" s="2950"/>
      <c r="TSA21" s="2950"/>
      <c r="TSB21" s="2950"/>
      <c r="TSC21" s="2950"/>
      <c r="TSD21" s="2950"/>
      <c r="TSE21" s="2950"/>
      <c r="TSF21" s="2950"/>
      <c r="TSG21" s="2950"/>
      <c r="TSH21" s="2950"/>
      <c r="TSI21" s="2950"/>
      <c r="TSJ21" s="2950"/>
      <c r="TSK21" s="2950"/>
      <c r="TSL21" s="2950"/>
      <c r="TSM21" s="2950"/>
      <c r="TSN21" s="2950"/>
      <c r="TSO21" s="2950"/>
      <c r="TSP21" s="2950"/>
      <c r="TSQ21" s="2950"/>
      <c r="TSR21" s="2950"/>
      <c r="TSS21" s="2950"/>
      <c r="TST21" s="2950"/>
      <c r="TSU21" s="2950"/>
      <c r="TSV21" s="2950"/>
      <c r="TSW21" s="2950"/>
      <c r="TSX21" s="2950"/>
      <c r="TSY21" s="2950"/>
      <c r="TSZ21" s="2950"/>
      <c r="TTA21" s="2950"/>
      <c r="TTB21" s="2950"/>
      <c r="TTC21" s="2950"/>
      <c r="TTD21" s="2950"/>
      <c r="TTE21" s="2950"/>
      <c r="TTF21" s="2950"/>
      <c r="TTG21" s="2950"/>
      <c r="TTH21" s="2950"/>
      <c r="TTI21" s="2950"/>
      <c r="TTJ21" s="2950"/>
      <c r="TTK21" s="2950"/>
      <c r="TTL21" s="2950"/>
      <c r="TTM21" s="2950"/>
      <c r="TTN21" s="2950"/>
      <c r="TTO21" s="2950"/>
      <c r="TTP21" s="2950"/>
      <c r="TTQ21" s="2950"/>
      <c r="TTR21" s="2950"/>
      <c r="TTS21" s="2950"/>
      <c r="TTT21" s="2950"/>
      <c r="TTU21" s="2950"/>
      <c r="TTV21" s="2950"/>
      <c r="TTW21" s="2950"/>
      <c r="TTX21" s="2950"/>
      <c r="TTY21" s="2950"/>
      <c r="TTZ21" s="2950"/>
      <c r="TUA21" s="2950"/>
      <c r="TUB21" s="2950"/>
      <c r="TUC21" s="2950"/>
      <c r="TUD21" s="2950"/>
      <c r="TUE21" s="2950"/>
      <c r="TUF21" s="2950"/>
      <c r="TUG21" s="2950"/>
      <c r="TUH21" s="2950"/>
      <c r="TUI21" s="2950"/>
      <c r="TUJ21" s="2950"/>
      <c r="TUK21" s="2950"/>
      <c r="TUL21" s="2950"/>
      <c r="TUM21" s="2950"/>
      <c r="TUN21" s="2950"/>
      <c r="TUO21" s="2950"/>
      <c r="TUP21" s="2950"/>
      <c r="TUQ21" s="2950"/>
      <c r="TUR21" s="2950"/>
      <c r="TUS21" s="2950"/>
      <c r="TUT21" s="2950"/>
      <c r="TUU21" s="2950"/>
      <c r="TUV21" s="2950"/>
      <c r="TUW21" s="2950"/>
      <c r="TUX21" s="2950"/>
      <c r="TUY21" s="2950"/>
      <c r="TUZ21" s="2950"/>
      <c r="TVA21" s="2950"/>
      <c r="TVB21" s="2950"/>
      <c r="TVC21" s="2950"/>
      <c r="TVD21" s="2950"/>
      <c r="TVE21" s="2950"/>
      <c r="TVF21" s="2950"/>
      <c r="TVG21" s="2950"/>
      <c r="TVH21" s="2950"/>
      <c r="TVI21" s="2950"/>
      <c r="TVJ21" s="2950"/>
      <c r="TVK21" s="2950"/>
      <c r="TVL21" s="2950"/>
      <c r="TVM21" s="2950"/>
      <c r="TVN21" s="2950"/>
      <c r="TVO21" s="2950"/>
      <c r="TVP21" s="2950"/>
      <c r="TVQ21" s="2950"/>
      <c r="TVR21" s="2950"/>
      <c r="TVS21" s="2950"/>
      <c r="TVT21" s="2950"/>
      <c r="TVU21" s="2950"/>
      <c r="TVV21" s="2950"/>
      <c r="TVW21" s="2950"/>
      <c r="TVX21" s="2950"/>
      <c r="TVY21" s="2950"/>
      <c r="TVZ21" s="2950"/>
      <c r="TWA21" s="2950"/>
      <c r="TWB21" s="2950"/>
      <c r="TWC21" s="2950"/>
      <c r="TWD21" s="2950"/>
      <c r="TWE21" s="2950"/>
      <c r="TWF21" s="2950"/>
      <c r="TWG21" s="2950"/>
      <c r="TWH21" s="2950"/>
      <c r="TWI21" s="2950"/>
      <c r="TWJ21" s="2950"/>
      <c r="TWK21" s="2950"/>
      <c r="TWL21" s="2950"/>
      <c r="TWM21" s="2950"/>
      <c r="TWN21" s="2950"/>
      <c r="TWO21" s="2950"/>
      <c r="TWP21" s="2950"/>
      <c r="TWQ21" s="2950"/>
      <c r="TWR21" s="2950"/>
      <c r="TWS21" s="2950"/>
      <c r="TWT21" s="2950"/>
      <c r="TWU21" s="2950"/>
      <c r="TWV21" s="2950"/>
      <c r="TWW21" s="2950"/>
      <c r="TWX21" s="2950"/>
      <c r="TWY21" s="2950"/>
      <c r="TWZ21" s="2950"/>
      <c r="TXA21" s="2950"/>
      <c r="TXB21" s="2950"/>
      <c r="TXC21" s="2950"/>
      <c r="TXD21" s="2950"/>
      <c r="TXE21" s="2950"/>
      <c r="TXF21" s="2950"/>
      <c r="TXG21" s="2950"/>
      <c r="TXH21" s="2950"/>
      <c r="TXI21" s="2950"/>
      <c r="TXJ21" s="2950"/>
      <c r="TXK21" s="2950"/>
      <c r="TXL21" s="2950"/>
      <c r="TXM21" s="2950"/>
      <c r="TXN21" s="2950"/>
      <c r="TXO21" s="2950"/>
      <c r="TXP21" s="2950"/>
      <c r="TXQ21" s="2950"/>
      <c r="TXR21" s="2950"/>
      <c r="TXS21" s="2950"/>
      <c r="TXT21" s="2950"/>
      <c r="TXU21" s="2950"/>
      <c r="TXV21" s="2950"/>
      <c r="TXW21" s="2950"/>
      <c r="TXX21" s="2950"/>
      <c r="TXY21" s="2950"/>
      <c r="TXZ21" s="2950"/>
      <c r="TYA21" s="2950"/>
      <c r="TYB21" s="2950"/>
      <c r="TYC21" s="2950"/>
      <c r="TYD21" s="2950"/>
      <c r="TYE21" s="2950"/>
      <c r="TYF21" s="2950"/>
      <c r="TYG21" s="2950"/>
      <c r="TYH21" s="2950"/>
      <c r="TYI21" s="2950"/>
      <c r="TYJ21" s="2950"/>
      <c r="TYK21" s="2950"/>
      <c r="TYL21" s="2950"/>
      <c r="TYM21" s="2950"/>
      <c r="TYN21" s="2950"/>
      <c r="TYO21" s="2950"/>
      <c r="TYP21" s="2950"/>
      <c r="TYQ21" s="2950"/>
      <c r="TYR21" s="2950"/>
      <c r="TYS21" s="2950"/>
      <c r="TYT21" s="2950"/>
      <c r="TYU21" s="2950"/>
      <c r="TYV21" s="2950"/>
      <c r="TYW21" s="2950"/>
      <c r="TYX21" s="2950"/>
      <c r="TYY21" s="2950"/>
      <c r="TYZ21" s="2950"/>
      <c r="TZA21" s="2950"/>
      <c r="TZB21" s="2950"/>
      <c r="TZC21" s="2950"/>
      <c r="TZD21" s="2950"/>
      <c r="TZE21" s="2950"/>
      <c r="TZF21" s="2950"/>
      <c r="TZG21" s="2950"/>
      <c r="TZH21" s="2950"/>
      <c r="TZI21" s="2950"/>
      <c r="TZJ21" s="2950"/>
      <c r="TZK21" s="2950"/>
      <c r="TZL21" s="2950"/>
      <c r="TZM21" s="2950"/>
      <c r="TZN21" s="2950"/>
      <c r="TZO21" s="2950"/>
      <c r="TZP21" s="2950"/>
      <c r="TZQ21" s="2950"/>
      <c r="TZR21" s="2950"/>
      <c r="TZS21" s="2950"/>
      <c r="TZT21" s="2950"/>
      <c r="TZU21" s="2950"/>
      <c r="TZV21" s="2950"/>
      <c r="TZW21" s="2950"/>
      <c r="TZX21" s="2950"/>
      <c r="TZY21" s="2950"/>
      <c r="TZZ21" s="2950"/>
      <c r="UAA21" s="2950"/>
      <c r="UAB21" s="2950"/>
      <c r="UAC21" s="2950"/>
      <c r="UAD21" s="2950"/>
      <c r="UAE21" s="2950"/>
      <c r="UAF21" s="2950"/>
      <c r="UAG21" s="2950"/>
      <c r="UAH21" s="2950"/>
      <c r="UAI21" s="2950"/>
      <c r="UAJ21" s="2950"/>
      <c r="UAK21" s="2950"/>
      <c r="UAL21" s="2950"/>
      <c r="UAM21" s="2950"/>
      <c r="UAN21" s="2950"/>
      <c r="UAO21" s="2950"/>
      <c r="UAP21" s="2950"/>
      <c r="UAQ21" s="2950"/>
      <c r="UAR21" s="2950"/>
      <c r="UAS21" s="2950"/>
      <c r="UAT21" s="2950"/>
      <c r="UAU21" s="2950"/>
      <c r="UAV21" s="2950"/>
      <c r="UAW21" s="2950"/>
      <c r="UAX21" s="2950"/>
      <c r="UAY21" s="2950"/>
      <c r="UAZ21" s="2950"/>
      <c r="UBA21" s="2950"/>
      <c r="UBB21" s="2950"/>
      <c r="UBC21" s="2950"/>
      <c r="UBD21" s="2950"/>
      <c r="UBE21" s="2950"/>
      <c r="UBF21" s="2950"/>
      <c r="UBG21" s="2950"/>
      <c r="UBH21" s="2950"/>
      <c r="UBI21" s="2950"/>
      <c r="UBJ21" s="2950"/>
      <c r="UBK21" s="2950"/>
      <c r="UBL21" s="2950"/>
      <c r="UBM21" s="2950"/>
      <c r="UBN21" s="2950"/>
      <c r="UBO21" s="2950"/>
      <c r="UBP21" s="2950"/>
      <c r="UBQ21" s="2950"/>
      <c r="UBR21" s="2950"/>
      <c r="UBS21" s="2950"/>
      <c r="UBT21" s="2950"/>
      <c r="UBU21" s="2950"/>
      <c r="UBV21" s="2950"/>
      <c r="UBW21" s="2950"/>
      <c r="UBX21" s="2950"/>
      <c r="UBY21" s="2950"/>
      <c r="UBZ21" s="2950"/>
      <c r="UCA21" s="2950"/>
      <c r="UCB21" s="2950"/>
      <c r="UCC21" s="2950"/>
      <c r="UCD21" s="2950"/>
      <c r="UCE21" s="2950"/>
      <c r="UCF21" s="2950"/>
      <c r="UCG21" s="2950"/>
      <c r="UCH21" s="2950"/>
      <c r="UCI21" s="2950"/>
      <c r="UCJ21" s="2950"/>
      <c r="UCK21" s="2950"/>
      <c r="UCL21" s="2950"/>
      <c r="UCM21" s="2950"/>
      <c r="UCN21" s="2950"/>
      <c r="UCO21" s="2950"/>
      <c r="UCP21" s="2950"/>
      <c r="UCQ21" s="2950"/>
      <c r="UCR21" s="2950"/>
      <c r="UCS21" s="2950"/>
      <c r="UCT21" s="2950"/>
      <c r="UCU21" s="2950"/>
      <c r="UCV21" s="2950"/>
      <c r="UCW21" s="2950"/>
      <c r="UCX21" s="2950"/>
      <c r="UCY21" s="2950"/>
      <c r="UCZ21" s="2950"/>
      <c r="UDA21" s="2950"/>
      <c r="UDB21" s="2950"/>
      <c r="UDC21" s="2950"/>
      <c r="UDD21" s="2950"/>
      <c r="UDE21" s="2950"/>
      <c r="UDF21" s="2950"/>
      <c r="UDG21" s="2950"/>
      <c r="UDH21" s="2950"/>
      <c r="UDI21" s="2950"/>
      <c r="UDJ21" s="2950"/>
      <c r="UDK21" s="2950"/>
      <c r="UDL21" s="2950"/>
      <c r="UDM21" s="2950"/>
      <c r="UDN21" s="2950"/>
      <c r="UDO21" s="2950"/>
      <c r="UDP21" s="2950"/>
      <c r="UDQ21" s="2950"/>
      <c r="UDR21" s="2950"/>
      <c r="UDS21" s="2950"/>
      <c r="UDT21" s="2950"/>
      <c r="UDU21" s="2950"/>
      <c r="UDV21" s="2950"/>
      <c r="UDW21" s="2950"/>
      <c r="UDX21" s="2950"/>
      <c r="UDY21" s="2950"/>
      <c r="UDZ21" s="2950"/>
      <c r="UEA21" s="2950"/>
      <c r="UEB21" s="2950"/>
      <c r="UEC21" s="2950"/>
      <c r="UED21" s="2950"/>
      <c r="UEE21" s="2950"/>
      <c r="UEF21" s="2950"/>
      <c r="UEG21" s="2950"/>
      <c r="UEH21" s="2950"/>
      <c r="UEI21" s="2950"/>
      <c r="UEJ21" s="2950"/>
      <c r="UEK21" s="2950"/>
      <c r="UEL21" s="2950"/>
      <c r="UEM21" s="2950"/>
      <c r="UEN21" s="2950"/>
      <c r="UEO21" s="2950"/>
      <c r="UEP21" s="2950"/>
      <c r="UEQ21" s="2950"/>
      <c r="UER21" s="2950"/>
      <c r="UES21" s="2950"/>
      <c r="UET21" s="2950"/>
      <c r="UEU21" s="2950"/>
      <c r="UEV21" s="2950"/>
      <c r="UEW21" s="2950"/>
      <c r="UEX21" s="2950"/>
      <c r="UEY21" s="2950"/>
      <c r="UEZ21" s="2950"/>
      <c r="UFA21" s="2950"/>
      <c r="UFB21" s="2950"/>
      <c r="UFC21" s="2950"/>
      <c r="UFD21" s="2950"/>
      <c r="UFE21" s="2950"/>
      <c r="UFF21" s="2950"/>
      <c r="UFG21" s="2950"/>
      <c r="UFH21" s="2950"/>
      <c r="UFI21" s="2950"/>
      <c r="UFJ21" s="2950"/>
      <c r="UFK21" s="2950"/>
      <c r="UFL21" s="2950"/>
      <c r="UFM21" s="2950"/>
      <c r="UFN21" s="2950"/>
      <c r="UFO21" s="2950"/>
      <c r="UFP21" s="2950"/>
      <c r="UFQ21" s="2950"/>
      <c r="UFR21" s="2950"/>
      <c r="UFS21" s="2950"/>
      <c r="UFT21" s="2950"/>
      <c r="UFU21" s="2950"/>
      <c r="UFV21" s="2950"/>
      <c r="UFW21" s="2950"/>
      <c r="UFX21" s="2950"/>
      <c r="UFY21" s="2950"/>
      <c r="UFZ21" s="2950"/>
      <c r="UGA21" s="2950"/>
      <c r="UGB21" s="2950"/>
      <c r="UGC21" s="2950"/>
      <c r="UGD21" s="2950"/>
      <c r="UGE21" s="2950"/>
      <c r="UGF21" s="2950"/>
      <c r="UGG21" s="2950"/>
      <c r="UGH21" s="2950"/>
      <c r="UGI21" s="2950"/>
      <c r="UGJ21" s="2950"/>
      <c r="UGK21" s="2950"/>
      <c r="UGL21" s="2950"/>
      <c r="UGM21" s="2950"/>
      <c r="UGN21" s="2950"/>
      <c r="UGO21" s="2950"/>
      <c r="UGP21" s="2950"/>
      <c r="UGQ21" s="2950"/>
      <c r="UGR21" s="2950"/>
      <c r="UGS21" s="2950"/>
      <c r="UGT21" s="2950"/>
      <c r="UGU21" s="2950"/>
      <c r="UGV21" s="2950"/>
      <c r="UGW21" s="2950"/>
      <c r="UGX21" s="2950"/>
      <c r="UGY21" s="2950"/>
      <c r="UGZ21" s="2950"/>
      <c r="UHA21" s="2950"/>
      <c r="UHB21" s="2950"/>
      <c r="UHC21" s="2950"/>
      <c r="UHD21" s="2950"/>
      <c r="UHE21" s="2950"/>
      <c r="UHF21" s="2950"/>
      <c r="UHG21" s="2950"/>
      <c r="UHH21" s="2950"/>
      <c r="UHI21" s="2950"/>
      <c r="UHJ21" s="2950"/>
      <c r="UHK21" s="2950"/>
      <c r="UHL21" s="2950"/>
      <c r="UHM21" s="2950"/>
      <c r="UHN21" s="2950"/>
      <c r="UHO21" s="2950"/>
      <c r="UHP21" s="2950"/>
      <c r="UHQ21" s="2950"/>
      <c r="UHR21" s="2950"/>
      <c r="UHS21" s="2950"/>
      <c r="UHT21" s="2950"/>
      <c r="UHU21" s="2950"/>
      <c r="UHV21" s="2950"/>
      <c r="UHW21" s="2950"/>
      <c r="UHX21" s="2950"/>
      <c r="UHY21" s="2950"/>
      <c r="UHZ21" s="2950"/>
      <c r="UIA21" s="2950"/>
      <c r="UIB21" s="2950"/>
      <c r="UIC21" s="2950"/>
      <c r="UID21" s="2950"/>
      <c r="UIE21" s="2950"/>
      <c r="UIF21" s="2950"/>
      <c r="UIG21" s="2950"/>
      <c r="UIH21" s="2950"/>
      <c r="UII21" s="2950"/>
      <c r="UIJ21" s="2950"/>
      <c r="UIK21" s="2950"/>
      <c r="UIL21" s="2950"/>
      <c r="UIM21" s="2950"/>
      <c r="UIN21" s="2950"/>
      <c r="UIO21" s="2950"/>
      <c r="UIP21" s="2950"/>
      <c r="UIQ21" s="2950"/>
      <c r="UIR21" s="2950"/>
      <c r="UIS21" s="2950"/>
      <c r="UIT21" s="2950"/>
      <c r="UIU21" s="2950"/>
      <c r="UIV21" s="2950"/>
      <c r="UIW21" s="2950"/>
      <c r="UIX21" s="2950"/>
      <c r="UIY21" s="2950"/>
      <c r="UIZ21" s="2950"/>
      <c r="UJA21" s="2950"/>
      <c r="UJB21" s="2950"/>
      <c r="UJC21" s="2950"/>
      <c r="UJD21" s="2950"/>
      <c r="UJE21" s="2950"/>
      <c r="UJF21" s="2950"/>
      <c r="UJG21" s="2950"/>
      <c r="UJH21" s="2950"/>
      <c r="UJI21" s="2950"/>
      <c r="UJJ21" s="2950"/>
      <c r="UJK21" s="2950"/>
      <c r="UJL21" s="2950"/>
      <c r="UJM21" s="2950"/>
      <c r="UJN21" s="2950"/>
      <c r="UJO21" s="2950"/>
      <c r="UJP21" s="2950"/>
      <c r="UJQ21" s="2950"/>
      <c r="UJR21" s="2950"/>
      <c r="UJS21" s="2950"/>
      <c r="UJT21" s="2950"/>
      <c r="UJU21" s="2950"/>
      <c r="UJV21" s="2950"/>
      <c r="UJW21" s="2950"/>
      <c r="UJX21" s="2950"/>
      <c r="UJY21" s="2950"/>
      <c r="UJZ21" s="2950"/>
      <c r="UKA21" s="2950"/>
      <c r="UKB21" s="2950"/>
      <c r="UKC21" s="2950"/>
      <c r="UKD21" s="2950"/>
      <c r="UKE21" s="2950"/>
      <c r="UKF21" s="2950"/>
      <c r="UKG21" s="2950"/>
      <c r="UKH21" s="2950"/>
      <c r="UKI21" s="2950"/>
      <c r="UKJ21" s="2950"/>
      <c r="UKK21" s="2950"/>
      <c r="UKL21" s="2950"/>
      <c r="UKM21" s="2950"/>
      <c r="UKN21" s="2950"/>
      <c r="UKO21" s="2950"/>
      <c r="UKP21" s="2950"/>
      <c r="UKQ21" s="2950"/>
      <c r="UKR21" s="2950"/>
      <c r="UKS21" s="2950"/>
      <c r="UKT21" s="2950"/>
      <c r="UKU21" s="2950"/>
      <c r="UKV21" s="2950"/>
      <c r="UKW21" s="2950"/>
      <c r="UKX21" s="2950"/>
      <c r="UKY21" s="2950"/>
      <c r="UKZ21" s="2950"/>
      <c r="ULA21" s="2950"/>
      <c r="ULB21" s="2950"/>
      <c r="ULC21" s="2950"/>
      <c r="ULD21" s="2950"/>
      <c r="ULE21" s="2950"/>
      <c r="ULF21" s="2950"/>
      <c r="ULG21" s="2950"/>
      <c r="ULH21" s="2950"/>
      <c r="ULI21" s="2950"/>
      <c r="ULJ21" s="2950"/>
      <c r="ULK21" s="2950"/>
      <c r="ULL21" s="2950"/>
      <c r="ULM21" s="2950"/>
      <c r="ULN21" s="2950"/>
      <c r="ULO21" s="2950"/>
      <c r="ULP21" s="2950"/>
      <c r="ULQ21" s="2950"/>
      <c r="ULR21" s="2950"/>
      <c r="ULS21" s="2950"/>
      <c r="ULT21" s="2950"/>
      <c r="ULU21" s="2950"/>
      <c r="ULV21" s="2950"/>
      <c r="ULW21" s="2950"/>
      <c r="ULX21" s="2950"/>
      <c r="ULY21" s="2950"/>
      <c r="ULZ21" s="2950"/>
      <c r="UMA21" s="2950"/>
      <c r="UMB21" s="2950"/>
      <c r="UMC21" s="2950"/>
      <c r="UMD21" s="2950"/>
      <c r="UME21" s="2950"/>
      <c r="UMF21" s="2950"/>
      <c r="UMG21" s="2950"/>
      <c r="UMH21" s="2950"/>
      <c r="UMI21" s="2950"/>
      <c r="UMJ21" s="2950"/>
      <c r="UMK21" s="2950"/>
      <c r="UML21" s="2950"/>
      <c r="UMM21" s="2950"/>
      <c r="UMN21" s="2950"/>
      <c r="UMO21" s="2950"/>
      <c r="UMP21" s="2950"/>
      <c r="UMQ21" s="2950"/>
      <c r="UMR21" s="2950"/>
      <c r="UMS21" s="2950"/>
      <c r="UMT21" s="2950"/>
      <c r="UMU21" s="2950"/>
      <c r="UMV21" s="2950"/>
      <c r="UMW21" s="2950"/>
      <c r="UMX21" s="2950"/>
      <c r="UMY21" s="2950"/>
      <c r="UMZ21" s="2950"/>
      <c r="UNA21" s="2950"/>
      <c r="UNB21" s="2950"/>
      <c r="UNC21" s="2950"/>
      <c r="UND21" s="2950"/>
      <c r="UNE21" s="2950"/>
      <c r="UNF21" s="2950"/>
      <c r="UNG21" s="2950"/>
      <c r="UNH21" s="2950"/>
      <c r="UNI21" s="2950"/>
      <c r="UNJ21" s="2950"/>
      <c r="UNK21" s="2950"/>
      <c r="UNL21" s="2950"/>
      <c r="UNM21" s="2950"/>
      <c r="UNN21" s="2950"/>
      <c r="UNO21" s="2950"/>
      <c r="UNP21" s="2950"/>
      <c r="UNQ21" s="2950"/>
      <c r="UNR21" s="2950"/>
      <c r="UNS21" s="2950"/>
      <c r="UNT21" s="2950"/>
      <c r="UNU21" s="2950"/>
      <c r="UNV21" s="2950"/>
      <c r="UNW21" s="2950"/>
      <c r="UNX21" s="2950"/>
      <c r="UNY21" s="2950"/>
      <c r="UNZ21" s="2950"/>
      <c r="UOA21" s="2950"/>
      <c r="UOB21" s="2950"/>
      <c r="UOC21" s="2950"/>
      <c r="UOD21" s="2950"/>
      <c r="UOE21" s="2950"/>
      <c r="UOF21" s="2950"/>
      <c r="UOG21" s="2950"/>
      <c r="UOH21" s="2950"/>
      <c r="UOI21" s="2950"/>
      <c r="UOJ21" s="2950"/>
      <c r="UOK21" s="2950"/>
      <c r="UOL21" s="2950"/>
      <c r="UOM21" s="2950"/>
      <c r="UON21" s="2950"/>
      <c r="UOO21" s="2950"/>
      <c r="UOP21" s="2950"/>
      <c r="UOQ21" s="2950"/>
      <c r="UOR21" s="2950"/>
      <c r="UOS21" s="2950"/>
      <c r="UOT21" s="2950"/>
      <c r="UOU21" s="2950"/>
      <c r="UOV21" s="2950"/>
      <c r="UOW21" s="2950"/>
      <c r="UOX21" s="2950"/>
      <c r="UOY21" s="2950"/>
      <c r="UOZ21" s="2950"/>
      <c r="UPA21" s="2950"/>
      <c r="UPB21" s="2950"/>
      <c r="UPC21" s="2950"/>
      <c r="UPD21" s="2950"/>
      <c r="UPE21" s="2950"/>
      <c r="UPF21" s="2950"/>
      <c r="UPG21" s="2950"/>
      <c r="UPH21" s="2950"/>
      <c r="UPI21" s="2950"/>
      <c r="UPJ21" s="2950"/>
      <c r="UPK21" s="2950"/>
      <c r="UPL21" s="2950"/>
      <c r="UPM21" s="2950"/>
      <c r="UPN21" s="2950"/>
      <c r="UPO21" s="2950"/>
      <c r="UPP21" s="2950"/>
      <c r="UPQ21" s="2950"/>
      <c r="UPR21" s="2950"/>
      <c r="UPS21" s="2950"/>
      <c r="UPT21" s="2950"/>
      <c r="UPU21" s="2950"/>
      <c r="UPV21" s="2950"/>
      <c r="UPW21" s="2950"/>
      <c r="UPX21" s="2950"/>
      <c r="UPY21" s="2950"/>
      <c r="UPZ21" s="2950"/>
      <c r="UQA21" s="2950"/>
      <c r="UQB21" s="2950"/>
      <c r="UQC21" s="2950"/>
      <c r="UQD21" s="2950"/>
      <c r="UQE21" s="2950"/>
      <c r="UQF21" s="2950"/>
      <c r="UQG21" s="2950"/>
      <c r="UQH21" s="2950"/>
      <c r="UQI21" s="2950"/>
      <c r="UQJ21" s="2950"/>
      <c r="UQK21" s="2950"/>
      <c r="UQL21" s="2950"/>
      <c r="UQM21" s="2950"/>
      <c r="UQN21" s="2950"/>
      <c r="UQO21" s="2950"/>
      <c r="UQP21" s="2950"/>
      <c r="UQQ21" s="2950"/>
      <c r="UQR21" s="2950"/>
      <c r="UQS21" s="2950"/>
      <c r="UQT21" s="2950"/>
      <c r="UQU21" s="2950"/>
      <c r="UQV21" s="2950"/>
      <c r="UQW21" s="2950"/>
      <c r="UQX21" s="2950"/>
      <c r="UQY21" s="2950"/>
      <c r="UQZ21" s="2950"/>
      <c r="URA21" s="2950"/>
      <c r="URB21" s="2950"/>
      <c r="URC21" s="2950"/>
      <c r="URD21" s="2950"/>
      <c r="URE21" s="2950"/>
      <c r="URF21" s="2950"/>
      <c r="URG21" s="2950"/>
      <c r="URH21" s="2950"/>
      <c r="URI21" s="2950"/>
      <c r="URJ21" s="2950"/>
      <c r="URK21" s="2950"/>
      <c r="URL21" s="2950"/>
      <c r="URM21" s="2950"/>
      <c r="URN21" s="2950"/>
      <c r="URO21" s="2950"/>
      <c r="URP21" s="2950"/>
      <c r="URQ21" s="2950"/>
      <c r="URR21" s="2950"/>
      <c r="URS21" s="2950"/>
      <c r="URT21" s="2950"/>
      <c r="URU21" s="2950"/>
      <c r="URV21" s="2950"/>
      <c r="URW21" s="2950"/>
      <c r="URX21" s="2950"/>
      <c r="URY21" s="2950"/>
      <c r="URZ21" s="2950"/>
      <c r="USA21" s="2950"/>
      <c r="USB21" s="2950"/>
      <c r="USC21" s="2950"/>
      <c r="USD21" s="2950"/>
      <c r="USE21" s="2950"/>
      <c r="USF21" s="2950"/>
      <c r="USG21" s="2950"/>
      <c r="USH21" s="2950"/>
      <c r="USI21" s="2950"/>
      <c r="USJ21" s="2950"/>
      <c r="USK21" s="2950"/>
      <c r="USL21" s="2950"/>
      <c r="USM21" s="2950"/>
      <c r="USN21" s="2950"/>
      <c r="USO21" s="2950"/>
      <c r="USP21" s="2950"/>
      <c r="USQ21" s="2950"/>
      <c r="USR21" s="2950"/>
      <c r="USS21" s="2950"/>
      <c r="UST21" s="2950"/>
      <c r="USU21" s="2950"/>
      <c r="USV21" s="2950"/>
      <c r="USW21" s="2950"/>
      <c r="USX21" s="2950"/>
      <c r="USY21" s="2950"/>
      <c r="USZ21" s="2950"/>
      <c r="UTA21" s="2950"/>
      <c r="UTB21" s="2950"/>
      <c r="UTC21" s="2950"/>
      <c r="UTD21" s="2950"/>
      <c r="UTE21" s="2950"/>
      <c r="UTF21" s="2950"/>
      <c r="UTG21" s="2950"/>
      <c r="UTH21" s="2950"/>
      <c r="UTI21" s="2950"/>
      <c r="UTJ21" s="2950"/>
      <c r="UTK21" s="2950"/>
      <c r="UTL21" s="2950"/>
      <c r="UTM21" s="2950"/>
      <c r="UTN21" s="2950"/>
      <c r="UTO21" s="2950"/>
      <c r="UTP21" s="2950"/>
      <c r="UTQ21" s="2950"/>
      <c r="UTR21" s="2950"/>
      <c r="UTS21" s="2950"/>
      <c r="UTT21" s="2950"/>
      <c r="UTU21" s="2950"/>
      <c r="UTV21" s="2950"/>
      <c r="UTW21" s="2950"/>
      <c r="UTX21" s="2950"/>
      <c r="UTY21" s="2950"/>
      <c r="UTZ21" s="2950"/>
      <c r="UUA21" s="2950"/>
      <c r="UUB21" s="2950"/>
      <c r="UUC21" s="2950"/>
      <c r="UUD21" s="2950"/>
      <c r="UUE21" s="2950"/>
      <c r="UUF21" s="2950"/>
      <c r="UUG21" s="2950"/>
      <c r="UUH21" s="2950"/>
      <c r="UUI21" s="2950"/>
      <c r="UUJ21" s="2950"/>
      <c r="UUK21" s="2950"/>
      <c r="UUL21" s="2950"/>
      <c r="UUM21" s="2950"/>
      <c r="UUN21" s="2950"/>
      <c r="UUO21" s="2950"/>
      <c r="UUP21" s="2950"/>
      <c r="UUQ21" s="2950"/>
      <c r="UUR21" s="2950"/>
      <c r="UUS21" s="2950"/>
      <c r="UUT21" s="2950"/>
      <c r="UUU21" s="2950"/>
      <c r="UUV21" s="2950"/>
      <c r="UUW21" s="2950"/>
      <c r="UUX21" s="2950"/>
      <c r="UUY21" s="2950"/>
      <c r="UUZ21" s="2950"/>
      <c r="UVA21" s="2950"/>
      <c r="UVB21" s="2950"/>
      <c r="UVC21" s="2950"/>
      <c r="UVD21" s="2950"/>
      <c r="UVE21" s="2950"/>
      <c r="UVF21" s="2950"/>
      <c r="UVG21" s="2950"/>
      <c r="UVH21" s="2950"/>
      <c r="UVI21" s="2950"/>
      <c r="UVJ21" s="2950"/>
      <c r="UVK21" s="2950"/>
      <c r="UVL21" s="2950"/>
      <c r="UVM21" s="2950"/>
      <c r="UVN21" s="2950"/>
      <c r="UVO21" s="2950"/>
      <c r="UVP21" s="2950"/>
      <c r="UVQ21" s="2950"/>
      <c r="UVR21" s="2950"/>
      <c r="UVS21" s="2950"/>
      <c r="UVT21" s="2950"/>
      <c r="UVU21" s="2950"/>
      <c r="UVV21" s="2950"/>
      <c r="UVW21" s="2950"/>
      <c r="UVX21" s="2950"/>
      <c r="UVY21" s="2950"/>
      <c r="UVZ21" s="2950"/>
      <c r="UWA21" s="2950"/>
      <c r="UWB21" s="2950"/>
      <c r="UWC21" s="2950"/>
      <c r="UWD21" s="2950"/>
      <c r="UWE21" s="2950"/>
      <c r="UWF21" s="2950"/>
      <c r="UWG21" s="2950"/>
      <c r="UWH21" s="2950"/>
      <c r="UWI21" s="2950"/>
      <c r="UWJ21" s="2950"/>
      <c r="UWK21" s="2950"/>
      <c r="UWL21" s="2950"/>
      <c r="UWM21" s="2950"/>
      <c r="UWN21" s="2950"/>
      <c r="UWO21" s="2950"/>
      <c r="UWP21" s="2950"/>
      <c r="UWQ21" s="2950"/>
      <c r="UWR21" s="2950"/>
      <c r="UWS21" s="2950"/>
      <c r="UWT21" s="2950"/>
      <c r="UWU21" s="2950"/>
      <c r="UWV21" s="2950"/>
      <c r="UWW21" s="2950"/>
      <c r="UWX21" s="2950"/>
      <c r="UWY21" s="2950"/>
      <c r="UWZ21" s="2950"/>
      <c r="UXA21" s="2950"/>
      <c r="UXB21" s="2950"/>
      <c r="UXC21" s="2950"/>
      <c r="UXD21" s="2950"/>
      <c r="UXE21" s="2950"/>
      <c r="UXF21" s="2950"/>
      <c r="UXG21" s="2950"/>
      <c r="UXH21" s="2950"/>
      <c r="UXI21" s="2950"/>
      <c r="UXJ21" s="2950"/>
      <c r="UXK21" s="2950"/>
      <c r="UXL21" s="2950"/>
      <c r="UXM21" s="2950"/>
      <c r="UXN21" s="2950"/>
      <c r="UXO21" s="2950"/>
      <c r="UXP21" s="2950"/>
      <c r="UXQ21" s="2950"/>
      <c r="UXR21" s="2950"/>
      <c r="UXS21" s="2950"/>
      <c r="UXT21" s="2950"/>
      <c r="UXU21" s="2950"/>
      <c r="UXV21" s="2950"/>
      <c r="UXW21" s="2950"/>
      <c r="UXX21" s="2950"/>
      <c r="UXY21" s="2950"/>
      <c r="UXZ21" s="2950"/>
      <c r="UYA21" s="2950"/>
      <c r="UYB21" s="2950"/>
      <c r="UYC21" s="2950"/>
      <c r="UYD21" s="2950"/>
      <c r="UYE21" s="2950"/>
      <c r="UYF21" s="2950"/>
      <c r="UYG21" s="2950"/>
      <c r="UYH21" s="2950"/>
      <c r="UYI21" s="2950"/>
      <c r="UYJ21" s="2950"/>
      <c r="UYK21" s="2950"/>
      <c r="UYL21" s="2950"/>
      <c r="UYM21" s="2950"/>
      <c r="UYN21" s="2950"/>
      <c r="UYO21" s="2950"/>
      <c r="UYP21" s="2950"/>
      <c r="UYQ21" s="2950"/>
      <c r="UYR21" s="2950"/>
      <c r="UYS21" s="2950"/>
      <c r="UYT21" s="2950"/>
      <c r="UYU21" s="2950"/>
      <c r="UYV21" s="2950"/>
      <c r="UYW21" s="2950"/>
      <c r="UYX21" s="2950"/>
      <c r="UYY21" s="2950"/>
      <c r="UYZ21" s="2950"/>
      <c r="UZA21" s="2950"/>
      <c r="UZB21" s="2950"/>
      <c r="UZC21" s="2950"/>
      <c r="UZD21" s="2950"/>
      <c r="UZE21" s="2950"/>
      <c r="UZF21" s="2950"/>
      <c r="UZG21" s="2950"/>
      <c r="UZH21" s="2950"/>
      <c r="UZI21" s="2950"/>
      <c r="UZJ21" s="2950"/>
      <c r="UZK21" s="2950"/>
      <c r="UZL21" s="2950"/>
      <c r="UZM21" s="2950"/>
      <c r="UZN21" s="2950"/>
      <c r="UZO21" s="2950"/>
      <c r="UZP21" s="2950"/>
      <c r="UZQ21" s="2950"/>
      <c r="UZR21" s="2950"/>
      <c r="UZS21" s="2950"/>
      <c r="UZT21" s="2950"/>
      <c r="UZU21" s="2950"/>
      <c r="UZV21" s="2950"/>
      <c r="UZW21" s="2950"/>
      <c r="UZX21" s="2950"/>
      <c r="UZY21" s="2950"/>
      <c r="UZZ21" s="2950"/>
      <c r="VAA21" s="2950"/>
      <c r="VAB21" s="2950"/>
      <c r="VAC21" s="2950"/>
      <c r="VAD21" s="2950"/>
      <c r="VAE21" s="2950"/>
      <c r="VAF21" s="2950"/>
      <c r="VAG21" s="2950"/>
      <c r="VAH21" s="2950"/>
      <c r="VAI21" s="2950"/>
      <c r="VAJ21" s="2950"/>
      <c r="VAK21" s="2950"/>
      <c r="VAL21" s="2950"/>
      <c r="VAM21" s="2950"/>
      <c r="VAN21" s="2950"/>
      <c r="VAO21" s="2950"/>
      <c r="VAP21" s="2950"/>
      <c r="VAQ21" s="2950"/>
      <c r="VAR21" s="2950"/>
      <c r="VAS21" s="2950"/>
      <c r="VAT21" s="2950"/>
      <c r="VAU21" s="2950"/>
      <c r="VAV21" s="2950"/>
      <c r="VAW21" s="2950"/>
      <c r="VAX21" s="2950"/>
      <c r="VAY21" s="2950"/>
      <c r="VAZ21" s="2950"/>
      <c r="VBA21" s="2950"/>
      <c r="VBB21" s="2950"/>
      <c r="VBC21" s="2950"/>
      <c r="VBD21" s="2950"/>
      <c r="VBE21" s="2950"/>
      <c r="VBF21" s="2950"/>
      <c r="VBG21" s="2950"/>
      <c r="VBH21" s="2950"/>
      <c r="VBI21" s="2950"/>
      <c r="VBJ21" s="2950"/>
      <c r="VBK21" s="2950"/>
      <c r="VBL21" s="2950"/>
      <c r="VBM21" s="2950"/>
      <c r="VBN21" s="2950"/>
      <c r="VBO21" s="2950"/>
      <c r="VBP21" s="2950"/>
      <c r="VBQ21" s="2950"/>
      <c r="VBR21" s="2950"/>
      <c r="VBS21" s="2950"/>
      <c r="VBT21" s="2950"/>
      <c r="VBU21" s="2950"/>
      <c r="VBV21" s="2950"/>
      <c r="VBW21" s="2950"/>
      <c r="VBX21" s="2950"/>
      <c r="VBY21" s="2950"/>
      <c r="VBZ21" s="2950"/>
      <c r="VCA21" s="2950"/>
      <c r="VCB21" s="2950"/>
      <c r="VCC21" s="2950"/>
      <c r="VCD21" s="2950"/>
      <c r="VCE21" s="2950"/>
      <c r="VCF21" s="2950"/>
      <c r="VCG21" s="2950"/>
      <c r="VCH21" s="2950"/>
      <c r="VCI21" s="2950"/>
      <c r="VCJ21" s="2950"/>
      <c r="VCK21" s="2950"/>
      <c r="VCL21" s="2950"/>
      <c r="VCM21" s="2950"/>
      <c r="VCN21" s="2950"/>
      <c r="VCO21" s="2950"/>
      <c r="VCP21" s="2950"/>
      <c r="VCQ21" s="2950"/>
      <c r="VCR21" s="2950"/>
      <c r="VCS21" s="2950"/>
      <c r="VCT21" s="2950"/>
      <c r="VCU21" s="2950"/>
      <c r="VCV21" s="2950"/>
      <c r="VCW21" s="2950"/>
      <c r="VCX21" s="2950"/>
      <c r="VCY21" s="2950"/>
      <c r="VCZ21" s="2950"/>
      <c r="VDA21" s="2950"/>
      <c r="VDB21" s="2950"/>
      <c r="VDC21" s="2950"/>
      <c r="VDD21" s="2950"/>
      <c r="VDE21" s="2950"/>
      <c r="VDF21" s="2950"/>
      <c r="VDG21" s="2950"/>
      <c r="VDH21" s="2950"/>
      <c r="VDI21" s="2950"/>
      <c r="VDJ21" s="2950"/>
      <c r="VDK21" s="2950"/>
      <c r="VDL21" s="2950"/>
      <c r="VDM21" s="2950"/>
      <c r="VDN21" s="2950"/>
      <c r="VDO21" s="2950"/>
      <c r="VDP21" s="2950"/>
      <c r="VDQ21" s="2950"/>
      <c r="VDR21" s="2950"/>
      <c r="VDS21" s="2950"/>
      <c r="VDT21" s="2950"/>
      <c r="VDU21" s="2950"/>
      <c r="VDV21" s="2950"/>
      <c r="VDW21" s="2950"/>
      <c r="VDX21" s="2950"/>
      <c r="VDY21" s="2950"/>
      <c r="VDZ21" s="2950"/>
      <c r="VEA21" s="2950"/>
      <c r="VEB21" s="2950"/>
      <c r="VEC21" s="2950"/>
      <c r="VED21" s="2950"/>
      <c r="VEE21" s="2950"/>
      <c r="VEF21" s="2950"/>
      <c r="VEG21" s="2950"/>
      <c r="VEH21" s="2950"/>
      <c r="VEI21" s="2950"/>
      <c r="VEJ21" s="2950"/>
      <c r="VEK21" s="2950"/>
      <c r="VEL21" s="2950"/>
      <c r="VEM21" s="2950"/>
      <c r="VEN21" s="2950"/>
      <c r="VEO21" s="2950"/>
      <c r="VEP21" s="2950"/>
      <c r="VEQ21" s="2950"/>
      <c r="VER21" s="2950"/>
      <c r="VES21" s="2950"/>
      <c r="VET21" s="2950"/>
      <c r="VEU21" s="2950"/>
      <c r="VEV21" s="2950"/>
      <c r="VEW21" s="2950"/>
      <c r="VEX21" s="2950"/>
      <c r="VEY21" s="2950"/>
      <c r="VEZ21" s="2950"/>
      <c r="VFA21" s="2950"/>
      <c r="VFB21" s="2950"/>
      <c r="VFC21" s="2950"/>
      <c r="VFD21" s="2950"/>
      <c r="VFE21" s="2950"/>
      <c r="VFF21" s="2950"/>
      <c r="VFG21" s="2950"/>
      <c r="VFH21" s="2950"/>
      <c r="VFI21" s="2950"/>
      <c r="VFJ21" s="2950"/>
      <c r="VFK21" s="2950"/>
      <c r="VFL21" s="2950"/>
      <c r="VFM21" s="2950"/>
      <c r="VFN21" s="2950"/>
      <c r="VFO21" s="2950"/>
      <c r="VFP21" s="2950"/>
      <c r="VFQ21" s="2950"/>
      <c r="VFR21" s="2950"/>
      <c r="VFS21" s="2950"/>
      <c r="VFT21" s="2950"/>
      <c r="VFU21" s="2950"/>
      <c r="VFV21" s="2950"/>
      <c r="VFW21" s="2950"/>
      <c r="VFX21" s="2950"/>
      <c r="VFY21" s="2950"/>
      <c r="VFZ21" s="2950"/>
      <c r="VGA21" s="2950"/>
      <c r="VGB21" s="2950"/>
      <c r="VGC21" s="2950"/>
      <c r="VGD21" s="2950"/>
      <c r="VGE21" s="2950"/>
      <c r="VGF21" s="2950"/>
      <c r="VGG21" s="2950"/>
      <c r="VGH21" s="2950"/>
      <c r="VGI21" s="2950"/>
      <c r="VGJ21" s="2950"/>
      <c r="VGK21" s="2950"/>
      <c r="VGL21" s="2950"/>
      <c r="VGM21" s="2950"/>
      <c r="VGN21" s="2950"/>
      <c r="VGO21" s="2950"/>
      <c r="VGP21" s="2950"/>
      <c r="VGQ21" s="2950"/>
      <c r="VGR21" s="2950"/>
      <c r="VGS21" s="2950"/>
      <c r="VGT21" s="2950"/>
      <c r="VGU21" s="2950"/>
      <c r="VGV21" s="2950"/>
      <c r="VGW21" s="2950"/>
      <c r="VGX21" s="2950"/>
      <c r="VGY21" s="2950"/>
      <c r="VGZ21" s="2950"/>
      <c r="VHA21" s="2950"/>
      <c r="VHB21" s="2950"/>
      <c r="VHC21" s="2950"/>
      <c r="VHD21" s="2950"/>
      <c r="VHE21" s="2950"/>
      <c r="VHF21" s="2950"/>
      <c r="VHG21" s="2950"/>
      <c r="VHH21" s="2950"/>
      <c r="VHI21" s="2950"/>
      <c r="VHJ21" s="2950"/>
      <c r="VHK21" s="2950"/>
      <c r="VHL21" s="2950"/>
      <c r="VHM21" s="2950"/>
      <c r="VHN21" s="2950"/>
      <c r="VHO21" s="2950"/>
      <c r="VHP21" s="2950"/>
      <c r="VHQ21" s="2950"/>
      <c r="VHR21" s="2950"/>
      <c r="VHS21" s="2950"/>
      <c r="VHT21" s="2950"/>
      <c r="VHU21" s="2950"/>
      <c r="VHV21" s="2950"/>
      <c r="VHW21" s="2950"/>
      <c r="VHX21" s="2950"/>
      <c r="VHY21" s="2950"/>
      <c r="VHZ21" s="2950"/>
      <c r="VIA21" s="2950"/>
      <c r="VIB21" s="2950"/>
      <c r="VIC21" s="2950"/>
      <c r="VID21" s="2950"/>
      <c r="VIE21" s="2950"/>
      <c r="VIF21" s="2950"/>
      <c r="VIG21" s="2950"/>
      <c r="VIH21" s="2950"/>
      <c r="VII21" s="2950"/>
      <c r="VIJ21" s="2950"/>
      <c r="VIK21" s="2950"/>
      <c r="VIL21" s="2950"/>
      <c r="VIM21" s="2950"/>
      <c r="VIN21" s="2950"/>
      <c r="VIO21" s="2950"/>
      <c r="VIP21" s="2950"/>
      <c r="VIQ21" s="2950"/>
      <c r="VIR21" s="2950"/>
      <c r="VIS21" s="2950"/>
      <c r="VIT21" s="2950"/>
      <c r="VIU21" s="2950"/>
      <c r="VIV21" s="2950"/>
      <c r="VIW21" s="2950"/>
      <c r="VIX21" s="2950"/>
      <c r="VIY21" s="2950"/>
      <c r="VIZ21" s="2950"/>
      <c r="VJA21" s="2950"/>
      <c r="VJB21" s="2950"/>
      <c r="VJC21" s="2950"/>
      <c r="VJD21" s="2950"/>
      <c r="VJE21" s="2950"/>
      <c r="VJF21" s="2950"/>
      <c r="VJG21" s="2950"/>
      <c r="VJH21" s="2950"/>
      <c r="VJI21" s="2950"/>
      <c r="VJJ21" s="2950"/>
      <c r="VJK21" s="2950"/>
      <c r="VJL21" s="2950"/>
      <c r="VJM21" s="2950"/>
      <c r="VJN21" s="2950"/>
      <c r="VJO21" s="2950"/>
      <c r="VJP21" s="2950"/>
      <c r="VJQ21" s="2950"/>
      <c r="VJR21" s="2950"/>
      <c r="VJS21" s="2950"/>
      <c r="VJT21" s="2950"/>
      <c r="VJU21" s="2950"/>
      <c r="VJV21" s="2950"/>
      <c r="VJW21" s="2950"/>
      <c r="VJX21" s="2950"/>
      <c r="VJY21" s="2950"/>
      <c r="VJZ21" s="2950"/>
      <c r="VKA21" s="2950"/>
      <c r="VKB21" s="2950"/>
      <c r="VKC21" s="2950"/>
      <c r="VKD21" s="2950"/>
      <c r="VKE21" s="2950"/>
      <c r="VKF21" s="2950"/>
      <c r="VKG21" s="2950"/>
      <c r="VKH21" s="2950"/>
      <c r="VKI21" s="2950"/>
      <c r="VKJ21" s="2950"/>
      <c r="VKK21" s="2950"/>
      <c r="VKL21" s="2950"/>
      <c r="VKM21" s="2950"/>
      <c r="VKN21" s="2950"/>
      <c r="VKO21" s="2950"/>
      <c r="VKP21" s="2950"/>
      <c r="VKQ21" s="2950"/>
      <c r="VKR21" s="2950"/>
      <c r="VKS21" s="2950"/>
      <c r="VKT21" s="2950"/>
      <c r="VKU21" s="2950"/>
      <c r="VKV21" s="2950"/>
      <c r="VKW21" s="2950"/>
      <c r="VKX21" s="2950"/>
      <c r="VKY21" s="2950"/>
      <c r="VKZ21" s="2950"/>
      <c r="VLA21" s="2950"/>
      <c r="VLB21" s="2950"/>
      <c r="VLC21" s="2950"/>
      <c r="VLD21" s="2950"/>
      <c r="VLE21" s="2950"/>
      <c r="VLF21" s="2950"/>
      <c r="VLG21" s="2950"/>
      <c r="VLH21" s="2950"/>
      <c r="VLI21" s="2950"/>
      <c r="VLJ21" s="2950"/>
      <c r="VLK21" s="2950"/>
      <c r="VLL21" s="2950"/>
      <c r="VLM21" s="2950"/>
      <c r="VLN21" s="2950"/>
      <c r="VLO21" s="2950"/>
      <c r="VLP21" s="2950"/>
      <c r="VLQ21" s="2950"/>
      <c r="VLR21" s="2950"/>
      <c r="VLS21" s="2950"/>
      <c r="VLT21" s="2950"/>
      <c r="VLU21" s="2950"/>
      <c r="VLV21" s="2950"/>
      <c r="VLW21" s="2950"/>
      <c r="VLX21" s="2950"/>
      <c r="VLY21" s="2950"/>
      <c r="VLZ21" s="2950"/>
      <c r="VMA21" s="2950"/>
      <c r="VMB21" s="2950"/>
      <c r="VMC21" s="2950"/>
      <c r="VMD21" s="2950"/>
      <c r="VME21" s="2950"/>
      <c r="VMF21" s="2950"/>
      <c r="VMG21" s="2950"/>
      <c r="VMH21" s="2950"/>
      <c r="VMI21" s="2950"/>
      <c r="VMJ21" s="2950"/>
      <c r="VMK21" s="2950"/>
      <c r="VML21" s="2950"/>
      <c r="VMM21" s="2950"/>
      <c r="VMN21" s="2950"/>
      <c r="VMO21" s="2950"/>
      <c r="VMP21" s="2950"/>
      <c r="VMQ21" s="2950"/>
      <c r="VMR21" s="2950"/>
      <c r="VMS21" s="2950"/>
      <c r="VMT21" s="2950"/>
      <c r="VMU21" s="2950"/>
      <c r="VMV21" s="2950"/>
      <c r="VMW21" s="2950"/>
      <c r="VMX21" s="2950"/>
      <c r="VMY21" s="2950"/>
      <c r="VMZ21" s="2950"/>
      <c r="VNA21" s="2950"/>
      <c r="VNB21" s="2950"/>
      <c r="VNC21" s="2950"/>
      <c r="VND21" s="2950"/>
      <c r="VNE21" s="2950"/>
      <c r="VNF21" s="2950"/>
      <c r="VNG21" s="2950"/>
      <c r="VNH21" s="2950"/>
      <c r="VNI21" s="2950"/>
      <c r="VNJ21" s="2950"/>
      <c r="VNK21" s="2950"/>
      <c r="VNL21" s="2950"/>
      <c r="VNM21" s="2950"/>
      <c r="VNN21" s="2950"/>
      <c r="VNO21" s="2950"/>
      <c r="VNP21" s="2950"/>
      <c r="VNQ21" s="2950"/>
      <c r="VNR21" s="2950"/>
      <c r="VNS21" s="2950"/>
      <c r="VNT21" s="2950"/>
      <c r="VNU21" s="2950"/>
      <c r="VNV21" s="2950"/>
      <c r="VNW21" s="2950"/>
      <c r="VNX21" s="2950"/>
      <c r="VNY21" s="2950"/>
      <c r="VNZ21" s="2950"/>
      <c r="VOA21" s="2950"/>
      <c r="VOB21" s="2950"/>
      <c r="VOC21" s="2950"/>
      <c r="VOD21" s="2950"/>
      <c r="VOE21" s="2950"/>
      <c r="VOF21" s="2950"/>
      <c r="VOG21" s="2950"/>
      <c r="VOH21" s="2950"/>
      <c r="VOI21" s="2950"/>
      <c r="VOJ21" s="2950"/>
      <c r="VOK21" s="2950"/>
      <c r="VOL21" s="2950"/>
      <c r="VOM21" s="2950"/>
      <c r="VON21" s="2950"/>
      <c r="VOO21" s="2950"/>
      <c r="VOP21" s="2950"/>
      <c r="VOQ21" s="2950"/>
      <c r="VOR21" s="2950"/>
      <c r="VOS21" s="2950"/>
      <c r="VOT21" s="2950"/>
      <c r="VOU21" s="2950"/>
      <c r="VOV21" s="2950"/>
      <c r="VOW21" s="2950"/>
      <c r="VOX21" s="2950"/>
      <c r="VOY21" s="2950"/>
      <c r="VOZ21" s="2950"/>
      <c r="VPA21" s="2950"/>
      <c r="VPB21" s="2950"/>
      <c r="VPC21" s="2950"/>
      <c r="VPD21" s="2950"/>
      <c r="VPE21" s="2950"/>
      <c r="VPF21" s="2950"/>
      <c r="VPG21" s="2950"/>
      <c r="VPH21" s="2950"/>
      <c r="VPI21" s="2950"/>
      <c r="VPJ21" s="2950"/>
      <c r="VPK21" s="2950"/>
      <c r="VPL21" s="2950"/>
      <c r="VPM21" s="2950"/>
      <c r="VPN21" s="2950"/>
      <c r="VPO21" s="2950"/>
      <c r="VPP21" s="2950"/>
      <c r="VPQ21" s="2950"/>
      <c r="VPR21" s="2950"/>
      <c r="VPS21" s="2950"/>
      <c r="VPT21" s="2950"/>
      <c r="VPU21" s="2950"/>
      <c r="VPV21" s="2950"/>
      <c r="VPW21" s="2950"/>
      <c r="VPX21" s="2950"/>
      <c r="VPY21" s="2950"/>
      <c r="VPZ21" s="2950"/>
      <c r="VQA21" s="2950"/>
      <c r="VQB21" s="2950"/>
      <c r="VQC21" s="2950"/>
      <c r="VQD21" s="2950"/>
      <c r="VQE21" s="2950"/>
      <c r="VQF21" s="2950"/>
      <c r="VQG21" s="2950"/>
      <c r="VQH21" s="2950"/>
      <c r="VQI21" s="2950"/>
      <c r="VQJ21" s="2950"/>
      <c r="VQK21" s="2950"/>
      <c r="VQL21" s="2950"/>
      <c r="VQM21" s="2950"/>
      <c r="VQN21" s="2950"/>
      <c r="VQO21" s="2950"/>
      <c r="VQP21" s="2950"/>
      <c r="VQQ21" s="2950"/>
      <c r="VQR21" s="2950"/>
      <c r="VQS21" s="2950"/>
      <c r="VQT21" s="2950"/>
      <c r="VQU21" s="2950"/>
      <c r="VQV21" s="2950"/>
      <c r="VQW21" s="2950"/>
      <c r="VQX21" s="2950"/>
      <c r="VQY21" s="2950"/>
      <c r="VQZ21" s="2950"/>
      <c r="VRA21" s="2950"/>
      <c r="VRB21" s="2950"/>
      <c r="VRC21" s="2950"/>
      <c r="VRD21" s="2950"/>
      <c r="VRE21" s="2950"/>
      <c r="VRF21" s="2950"/>
      <c r="VRG21" s="2950"/>
      <c r="VRH21" s="2950"/>
      <c r="VRI21" s="2950"/>
      <c r="VRJ21" s="2950"/>
      <c r="VRK21" s="2950"/>
      <c r="VRL21" s="2950"/>
      <c r="VRM21" s="2950"/>
      <c r="VRN21" s="2950"/>
      <c r="VRO21" s="2950"/>
      <c r="VRP21" s="2950"/>
      <c r="VRQ21" s="2950"/>
      <c r="VRR21" s="2950"/>
      <c r="VRS21" s="2950"/>
      <c r="VRT21" s="2950"/>
      <c r="VRU21" s="2950"/>
      <c r="VRV21" s="2950"/>
      <c r="VRW21" s="2950"/>
      <c r="VRX21" s="2950"/>
      <c r="VRY21" s="2950"/>
      <c r="VRZ21" s="2950"/>
      <c r="VSA21" s="2950"/>
      <c r="VSB21" s="2950"/>
      <c r="VSC21" s="2950"/>
      <c r="VSD21" s="2950"/>
      <c r="VSE21" s="2950"/>
      <c r="VSF21" s="2950"/>
      <c r="VSG21" s="2950"/>
      <c r="VSH21" s="2950"/>
      <c r="VSI21" s="2950"/>
      <c r="VSJ21" s="2950"/>
      <c r="VSK21" s="2950"/>
      <c r="VSL21" s="2950"/>
      <c r="VSM21" s="2950"/>
      <c r="VSN21" s="2950"/>
      <c r="VSO21" s="2950"/>
      <c r="VSP21" s="2950"/>
      <c r="VSQ21" s="2950"/>
      <c r="VSR21" s="2950"/>
      <c r="VSS21" s="2950"/>
      <c r="VST21" s="2950"/>
      <c r="VSU21" s="2950"/>
      <c r="VSV21" s="2950"/>
      <c r="VSW21" s="2950"/>
      <c r="VSX21" s="2950"/>
      <c r="VSY21" s="2950"/>
      <c r="VSZ21" s="2950"/>
      <c r="VTA21" s="2950"/>
      <c r="VTB21" s="2950"/>
      <c r="VTC21" s="2950"/>
      <c r="VTD21" s="2950"/>
      <c r="VTE21" s="2950"/>
      <c r="VTF21" s="2950"/>
      <c r="VTG21" s="2950"/>
      <c r="VTH21" s="2950"/>
      <c r="VTI21" s="2950"/>
      <c r="VTJ21" s="2950"/>
      <c r="VTK21" s="2950"/>
      <c r="VTL21" s="2950"/>
      <c r="VTM21" s="2950"/>
      <c r="VTN21" s="2950"/>
      <c r="VTO21" s="2950"/>
      <c r="VTP21" s="2950"/>
      <c r="VTQ21" s="2950"/>
      <c r="VTR21" s="2950"/>
      <c r="VTS21" s="2950"/>
      <c r="VTT21" s="2950"/>
      <c r="VTU21" s="2950"/>
      <c r="VTV21" s="2950"/>
      <c r="VTW21" s="2950"/>
      <c r="VTX21" s="2950"/>
      <c r="VTY21" s="2950"/>
      <c r="VTZ21" s="2950"/>
      <c r="VUA21" s="2950"/>
      <c r="VUB21" s="2950"/>
      <c r="VUC21" s="2950"/>
      <c r="VUD21" s="2950"/>
      <c r="VUE21" s="2950"/>
      <c r="VUF21" s="2950"/>
      <c r="VUG21" s="2950"/>
      <c r="VUH21" s="2950"/>
      <c r="VUI21" s="2950"/>
      <c r="VUJ21" s="2950"/>
      <c r="VUK21" s="2950"/>
      <c r="VUL21" s="2950"/>
      <c r="VUM21" s="2950"/>
      <c r="VUN21" s="2950"/>
      <c r="VUO21" s="2950"/>
      <c r="VUP21" s="2950"/>
      <c r="VUQ21" s="2950"/>
      <c r="VUR21" s="2950"/>
      <c r="VUS21" s="2950"/>
      <c r="VUT21" s="2950"/>
      <c r="VUU21" s="2950"/>
      <c r="VUV21" s="2950"/>
      <c r="VUW21" s="2950"/>
      <c r="VUX21" s="2950"/>
      <c r="VUY21" s="2950"/>
      <c r="VUZ21" s="2950"/>
      <c r="VVA21" s="2950"/>
      <c r="VVB21" s="2950"/>
      <c r="VVC21" s="2950"/>
      <c r="VVD21" s="2950"/>
      <c r="VVE21" s="2950"/>
      <c r="VVF21" s="2950"/>
      <c r="VVG21" s="2950"/>
      <c r="VVH21" s="2950"/>
      <c r="VVI21" s="2950"/>
      <c r="VVJ21" s="2950"/>
      <c r="VVK21" s="2950"/>
      <c r="VVL21" s="2950"/>
      <c r="VVM21" s="2950"/>
      <c r="VVN21" s="2950"/>
      <c r="VVO21" s="2950"/>
      <c r="VVP21" s="2950"/>
      <c r="VVQ21" s="2950"/>
      <c r="VVR21" s="2950"/>
      <c r="VVS21" s="2950"/>
      <c r="VVT21" s="2950"/>
      <c r="VVU21" s="2950"/>
      <c r="VVV21" s="2950"/>
      <c r="VVW21" s="2950"/>
      <c r="VVX21" s="2950"/>
      <c r="VVY21" s="2950"/>
      <c r="VVZ21" s="2950"/>
      <c r="VWA21" s="2950"/>
      <c r="VWB21" s="2950"/>
      <c r="VWC21" s="2950"/>
      <c r="VWD21" s="2950"/>
      <c r="VWE21" s="2950"/>
      <c r="VWF21" s="2950"/>
      <c r="VWG21" s="2950"/>
      <c r="VWH21" s="2950"/>
      <c r="VWI21" s="2950"/>
      <c r="VWJ21" s="2950"/>
      <c r="VWK21" s="2950"/>
      <c r="VWL21" s="2950"/>
      <c r="VWM21" s="2950"/>
      <c r="VWN21" s="2950"/>
      <c r="VWO21" s="2950"/>
      <c r="VWP21" s="2950"/>
      <c r="VWQ21" s="2950"/>
      <c r="VWR21" s="2950"/>
      <c r="VWS21" s="2950"/>
      <c r="VWT21" s="2950"/>
      <c r="VWU21" s="2950"/>
      <c r="VWV21" s="2950"/>
      <c r="VWW21" s="2950"/>
      <c r="VWX21" s="2950"/>
      <c r="VWY21" s="2950"/>
      <c r="VWZ21" s="2950"/>
      <c r="VXA21" s="2950"/>
      <c r="VXB21" s="2950"/>
      <c r="VXC21" s="2950"/>
      <c r="VXD21" s="2950"/>
      <c r="VXE21" s="2950"/>
      <c r="VXF21" s="2950"/>
      <c r="VXG21" s="2950"/>
      <c r="VXH21" s="2950"/>
      <c r="VXI21" s="2950"/>
      <c r="VXJ21" s="2950"/>
      <c r="VXK21" s="2950"/>
      <c r="VXL21" s="2950"/>
      <c r="VXM21" s="2950"/>
      <c r="VXN21" s="2950"/>
      <c r="VXO21" s="2950"/>
      <c r="VXP21" s="2950"/>
      <c r="VXQ21" s="2950"/>
      <c r="VXR21" s="2950"/>
      <c r="VXS21" s="2950"/>
      <c r="VXT21" s="2950"/>
      <c r="VXU21" s="2950"/>
      <c r="VXV21" s="2950"/>
      <c r="VXW21" s="2950"/>
      <c r="VXX21" s="2950"/>
      <c r="VXY21" s="2950"/>
      <c r="VXZ21" s="2950"/>
      <c r="VYA21" s="2950"/>
      <c r="VYB21" s="2950"/>
      <c r="VYC21" s="2950"/>
      <c r="VYD21" s="2950"/>
      <c r="VYE21" s="2950"/>
      <c r="VYF21" s="2950"/>
      <c r="VYG21" s="2950"/>
      <c r="VYH21" s="2950"/>
      <c r="VYI21" s="2950"/>
      <c r="VYJ21" s="2950"/>
      <c r="VYK21" s="2950"/>
      <c r="VYL21" s="2950"/>
      <c r="VYM21" s="2950"/>
      <c r="VYN21" s="2950"/>
      <c r="VYO21" s="2950"/>
      <c r="VYP21" s="2950"/>
      <c r="VYQ21" s="2950"/>
      <c r="VYR21" s="2950"/>
      <c r="VYS21" s="2950"/>
      <c r="VYT21" s="2950"/>
      <c r="VYU21" s="2950"/>
      <c r="VYV21" s="2950"/>
      <c r="VYW21" s="2950"/>
      <c r="VYX21" s="2950"/>
      <c r="VYY21" s="2950"/>
      <c r="VYZ21" s="2950"/>
      <c r="VZA21" s="2950"/>
      <c r="VZB21" s="2950"/>
      <c r="VZC21" s="2950"/>
      <c r="VZD21" s="2950"/>
      <c r="VZE21" s="2950"/>
      <c r="VZF21" s="2950"/>
      <c r="VZG21" s="2950"/>
      <c r="VZH21" s="2950"/>
      <c r="VZI21" s="2950"/>
      <c r="VZJ21" s="2950"/>
      <c r="VZK21" s="2950"/>
      <c r="VZL21" s="2950"/>
      <c r="VZM21" s="2950"/>
      <c r="VZN21" s="2950"/>
      <c r="VZO21" s="2950"/>
      <c r="VZP21" s="2950"/>
      <c r="VZQ21" s="2950"/>
      <c r="VZR21" s="2950"/>
      <c r="VZS21" s="2950"/>
      <c r="VZT21" s="2950"/>
      <c r="VZU21" s="2950"/>
      <c r="VZV21" s="2950"/>
      <c r="VZW21" s="2950"/>
      <c r="VZX21" s="2950"/>
      <c r="VZY21" s="2950"/>
      <c r="VZZ21" s="2950"/>
      <c r="WAA21" s="2950"/>
      <c r="WAB21" s="2950"/>
      <c r="WAC21" s="2950"/>
      <c r="WAD21" s="2950"/>
      <c r="WAE21" s="2950"/>
      <c r="WAF21" s="2950"/>
      <c r="WAG21" s="2950"/>
      <c r="WAH21" s="2950"/>
      <c r="WAI21" s="2950"/>
      <c r="WAJ21" s="2950"/>
      <c r="WAK21" s="2950"/>
      <c r="WAL21" s="2950"/>
      <c r="WAM21" s="2950"/>
      <c r="WAN21" s="2950"/>
      <c r="WAO21" s="2950"/>
      <c r="WAP21" s="2950"/>
      <c r="WAQ21" s="2950"/>
      <c r="WAR21" s="2950"/>
      <c r="WAS21" s="2950"/>
      <c r="WAT21" s="2950"/>
      <c r="WAU21" s="2950"/>
      <c r="WAV21" s="2950"/>
      <c r="WAW21" s="2950"/>
      <c r="WAX21" s="2950"/>
      <c r="WAY21" s="2950"/>
      <c r="WAZ21" s="2950"/>
      <c r="WBA21" s="2950"/>
      <c r="WBB21" s="2950"/>
      <c r="WBC21" s="2950"/>
      <c r="WBD21" s="2950"/>
      <c r="WBE21" s="2950"/>
      <c r="WBF21" s="2950"/>
      <c r="WBG21" s="2950"/>
      <c r="WBH21" s="2950"/>
      <c r="WBI21" s="2950"/>
      <c r="WBJ21" s="2950"/>
      <c r="WBK21" s="2950"/>
      <c r="WBL21" s="2950"/>
      <c r="WBM21" s="2950"/>
      <c r="WBN21" s="2950"/>
      <c r="WBO21" s="2950"/>
      <c r="WBP21" s="2950"/>
      <c r="WBQ21" s="2950"/>
      <c r="WBR21" s="2950"/>
      <c r="WBS21" s="2950"/>
      <c r="WBT21" s="2950"/>
      <c r="WBU21" s="2950"/>
      <c r="WBV21" s="2950"/>
      <c r="WBW21" s="2950"/>
      <c r="WBX21" s="2950"/>
      <c r="WBY21" s="2950"/>
      <c r="WBZ21" s="2950"/>
      <c r="WCA21" s="2950"/>
      <c r="WCB21" s="2950"/>
      <c r="WCC21" s="2950"/>
      <c r="WCD21" s="2950"/>
      <c r="WCE21" s="2950"/>
      <c r="WCF21" s="2950"/>
      <c r="WCG21" s="2950"/>
      <c r="WCH21" s="2950"/>
      <c r="WCI21" s="2950"/>
      <c r="WCJ21" s="2950"/>
      <c r="WCK21" s="2950"/>
      <c r="WCL21" s="2950"/>
      <c r="WCM21" s="2950"/>
      <c r="WCN21" s="2950"/>
      <c r="WCO21" s="2950"/>
      <c r="WCP21" s="2950"/>
      <c r="WCQ21" s="2950"/>
      <c r="WCR21" s="2950"/>
      <c r="WCS21" s="2950"/>
      <c r="WCT21" s="2950"/>
      <c r="WCU21" s="2950"/>
      <c r="WCV21" s="2950"/>
      <c r="WCW21" s="2950"/>
      <c r="WCX21" s="2950"/>
      <c r="WCY21" s="2950"/>
      <c r="WCZ21" s="2950"/>
      <c r="WDA21" s="2950"/>
      <c r="WDB21" s="2950"/>
      <c r="WDC21" s="2950"/>
      <c r="WDD21" s="2950"/>
      <c r="WDE21" s="2950"/>
      <c r="WDF21" s="2950"/>
      <c r="WDG21" s="2950"/>
      <c r="WDH21" s="2950"/>
      <c r="WDI21" s="2950"/>
      <c r="WDJ21" s="2950"/>
      <c r="WDK21" s="2950"/>
      <c r="WDL21" s="2950"/>
      <c r="WDM21" s="2950"/>
      <c r="WDN21" s="2950"/>
      <c r="WDO21" s="2950"/>
      <c r="WDP21" s="2950"/>
      <c r="WDQ21" s="2950"/>
      <c r="WDR21" s="2950"/>
      <c r="WDS21" s="2950"/>
      <c r="WDT21" s="2950"/>
      <c r="WDU21" s="2950"/>
      <c r="WDV21" s="2950"/>
      <c r="WDW21" s="2950"/>
      <c r="WDX21" s="2950"/>
      <c r="WDY21" s="2950"/>
      <c r="WDZ21" s="2950"/>
      <c r="WEA21" s="2950"/>
      <c r="WEB21" s="2950"/>
      <c r="WEC21" s="2950"/>
      <c r="WED21" s="2950"/>
      <c r="WEE21" s="2950"/>
      <c r="WEF21" s="2950"/>
      <c r="WEG21" s="2950"/>
      <c r="WEH21" s="2950"/>
      <c r="WEI21" s="2950"/>
      <c r="WEJ21" s="2950"/>
      <c r="WEK21" s="2950"/>
      <c r="WEL21" s="2950"/>
      <c r="WEM21" s="2950"/>
      <c r="WEN21" s="2950"/>
      <c r="WEO21" s="2950"/>
      <c r="WEP21" s="2950"/>
      <c r="WEQ21" s="2950"/>
      <c r="WER21" s="2950"/>
      <c r="WES21" s="2950"/>
      <c r="WET21" s="2950"/>
      <c r="WEU21" s="2950"/>
      <c r="WEV21" s="2950"/>
      <c r="WEW21" s="2950"/>
      <c r="WEX21" s="2950"/>
      <c r="WEY21" s="2950"/>
      <c r="WEZ21" s="2950"/>
      <c r="WFA21" s="2950"/>
      <c r="WFB21" s="2950"/>
      <c r="WFC21" s="2950"/>
      <c r="WFD21" s="2950"/>
      <c r="WFE21" s="2950"/>
      <c r="WFF21" s="2950"/>
      <c r="WFG21" s="2950"/>
      <c r="WFH21" s="2950"/>
      <c r="WFI21" s="2950"/>
      <c r="WFJ21" s="2950"/>
      <c r="WFK21" s="2950"/>
      <c r="WFL21" s="2950"/>
      <c r="WFM21" s="2950"/>
      <c r="WFN21" s="2950"/>
      <c r="WFO21" s="2950"/>
      <c r="WFP21" s="2950"/>
      <c r="WFQ21" s="2950"/>
      <c r="WFR21" s="2950"/>
      <c r="WFS21" s="2950"/>
      <c r="WFT21" s="2950"/>
      <c r="WFU21" s="2950"/>
      <c r="WFV21" s="2950"/>
      <c r="WFW21" s="2950"/>
      <c r="WFX21" s="2950"/>
      <c r="WFY21" s="2950"/>
      <c r="WFZ21" s="2950"/>
      <c r="WGA21" s="2950"/>
      <c r="WGB21" s="2950"/>
      <c r="WGC21" s="2950"/>
      <c r="WGD21" s="2950"/>
      <c r="WGE21" s="2950"/>
      <c r="WGF21" s="2950"/>
      <c r="WGG21" s="2950"/>
      <c r="WGH21" s="2950"/>
      <c r="WGI21" s="2950"/>
      <c r="WGJ21" s="2950"/>
      <c r="WGK21" s="2950"/>
      <c r="WGL21" s="2950"/>
      <c r="WGM21" s="2950"/>
      <c r="WGN21" s="2950"/>
      <c r="WGO21" s="2950"/>
      <c r="WGP21" s="2950"/>
      <c r="WGQ21" s="2950"/>
      <c r="WGR21" s="2950"/>
      <c r="WGS21" s="2950"/>
      <c r="WGT21" s="2950"/>
      <c r="WGU21" s="2950"/>
      <c r="WGV21" s="2950"/>
      <c r="WGW21" s="2950"/>
      <c r="WGX21" s="2950"/>
      <c r="WGY21" s="2950"/>
      <c r="WGZ21" s="2950"/>
      <c r="WHA21" s="2950"/>
      <c r="WHB21" s="2950"/>
      <c r="WHC21" s="2950"/>
      <c r="WHD21" s="2950"/>
      <c r="WHE21" s="2950"/>
      <c r="WHF21" s="2950"/>
      <c r="WHG21" s="2950"/>
      <c r="WHH21" s="2950"/>
      <c r="WHI21" s="2950"/>
      <c r="WHJ21" s="2950"/>
      <c r="WHK21" s="2950"/>
      <c r="WHL21" s="2950"/>
      <c r="WHM21" s="2950"/>
      <c r="WHN21" s="2950"/>
      <c r="WHO21" s="2950"/>
      <c r="WHP21" s="2950"/>
      <c r="WHQ21" s="2950"/>
      <c r="WHR21" s="2950"/>
      <c r="WHS21" s="2950"/>
      <c r="WHT21" s="2950"/>
      <c r="WHU21" s="2950"/>
      <c r="WHV21" s="2950"/>
      <c r="WHW21" s="2950"/>
      <c r="WHX21" s="2950"/>
      <c r="WHY21" s="2950"/>
      <c r="WHZ21" s="2950"/>
      <c r="WIA21" s="2950"/>
      <c r="WIB21" s="2950"/>
      <c r="WIC21" s="2950"/>
      <c r="WID21" s="2950"/>
      <c r="WIE21" s="2950"/>
      <c r="WIF21" s="2950"/>
      <c r="WIG21" s="2950"/>
      <c r="WIH21" s="2950"/>
      <c r="WII21" s="2950"/>
      <c r="WIJ21" s="2950"/>
      <c r="WIK21" s="2950"/>
      <c r="WIL21" s="2950"/>
      <c r="WIM21" s="2950"/>
      <c r="WIN21" s="2950"/>
      <c r="WIO21" s="2950"/>
      <c r="WIP21" s="2950"/>
      <c r="WIQ21" s="2950"/>
      <c r="WIR21" s="2950"/>
      <c r="WIS21" s="2950"/>
      <c r="WIT21" s="2950"/>
      <c r="WIU21" s="2950"/>
      <c r="WIV21" s="2950"/>
      <c r="WIW21" s="2950"/>
      <c r="WIX21" s="2950"/>
      <c r="WIY21" s="2950"/>
      <c r="WIZ21" s="2950"/>
      <c r="WJA21" s="2950"/>
      <c r="WJB21" s="2950"/>
      <c r="WJC21" s="2950"/>
      <c r="WJD21" s="2950"/>
      <c r="WJE21" s="2950"/>
      <c r="WJF21" s="2950"/>
      <c r="WJG21" s="2950"/>
      <c r="WJH21" s="2950"/>
      <c r="WJI21" s="2950"/>
      <c r="WJJ21" s="2950"/>
      <c r="WJK21" s="2950"/>
      <c r="WJL21" s="2950"/>
      <c r="WJM21" s="2950"/>
      <c r="WJN21" s="2950"/>
      <c r="WJO21" s="2950"/>
      <c r="WJP21" s="2950"/>
      <c r="WJQ21" s="2950"/>
      <c r="WJR21" s="2950"/>
      <c r="WJS21" s="2950"/>
      <c r="WJT21" s="2950"/>
      <c r="WJU21" s="2950"/>
      <c r="WJV21" s="2950"/>
      <c r="WJW21" s="2950"/>
      <c r="WJX21" s="2950"/>
      <c r="WJY21" s="2950"/>
      <c r="WJZ21" s="2950"/>
      <c r="WKA21" s="2950"/>
      <c r="WKB21" s="2950"/>
      <c r="WKC21" s="2950"/>
      <c r="WKD21" s="2950"/>
      <c r="WKE21" s="2950"/>
      <c r="WKF21" s="2950"/>
      <c r="WKG21" s="2950"/>
      <c r="WKH21" s="2950"/>
      <c r="WKI21" s="2950"/>
      <c r="WKJ21" s="2950"/>
      <c r="WKK21" s="2950"/>
      <c r="WKL21" s="2950"/>
      <c r="WKM21" s="2950"/>
      <c r="WKN21" s="2950"/>
      <c r="WKO21" s="2950"/>
      <c r="WKP21" s="2950"/>
      <c r="WKQ21" s="2950"/>
      <c r="WKR21" s="2950"/>
      <c r="WKS21" s="2950"/>
      <c r="WKT21" s="2950"/>
      <c r="WKU21" s="2950"/>
      <c r="WKV21" s="2950"/>
      <c r="WKW21" s="2950"/>
      <c r="WKX21" s="2950"/>
      <c r="WKY21" s="2950"/>
      <c r="WKZ21" s="2950"/>
      <c r="WLA21" s="2950"/>
      <c r="WLB21" s="2950"/>
      <c r="WLC21" s="2950"/>
      <c r="WLD21" s="2950"/>
      <c r="WLE21" s="2950"/>
      <c r="WLF21" s="2950"/>
      <c r="WLG21" s="2950"/>
      <c r="WLH21" s="2950"/>
      <c r="WLI21" s="2950"/>
      <c r="WLJ21" s="2950"/>
      <c r="WLK21" s="2950"/>
      <c r="WLL21" s="2950"/>
      <c r="WLM21" s="2950"/>
      <c r="WLN21" s="2950"/>
      <c r="WLO21" s="2950"/>
      <c r="WLP21" s="2950"/>
      <c r="WLQ21" s="2950"/>
      <c r="WLR21" s="2950"/>
      <c r="WLS21" s="2950"/>
      <c r="WLT21" s="2950"/>
      <c r="WLU21" s="2950"/>
      <c r="WLV21" s="2950"/>
      <c r="WLW21" s="2950"/>
      <c r="WLX21" s="2950"/>
      <c r="WLY21" s="2950"/>
      <c r="WLZ21" s="2950"/>
      <c r="WMA21" s="2950"/>
      <c r="WMB21" s="2950"/>
      <c r="WMC21" s="2950"/>
      <c r="WMD21" s="2950"/>
      <c r="WME21" s="2950"/>
      <c r="WMF21" s="2950"/>
      <c r="WMG21" s="2950"/>
      <c r="WMH21" s="2950"/>
      <c r="WMI21" s="2950"/>
      <c r="WMJ21" s="2950"/>
      <c r="WMK21" s="2950"/>
      <c r="WML21" s="2950"/>
      <c r="WMM21" s="2950"/>
      <c r="WMN21" s="2950"/>
      <c r="WMO21" s="2950"/>
      <c r="WMP21" s="2950"/>
      <c r="WMQ21" s="2950"/>
      <c r="WMR21" s="2950"/>
      <c r="WMS21" s="2950"/>
      <c r="WMT21" s="2950"/>
      <c r="WMU21" s="2950"/>
      <c r="WMV21" s="2950"/>
      <c r="WMW21" s="2950"/>
      <c r="WMX21" s="2950"/>
      <c r="WMY21" s="2950"/>
      <c r="WMZ21" s="2950"/>
      <c r="WNA21" s="2950"/>
      <c r="WNB21" s="2950"/>
      <c r="WNC21" s="2950"/>
      <c r="WND21" s="2950"/>
      <c r="WNE21" s="2950"/>
      <c r="WNF21" s="2950"/>
      <c r="WNG21" s="2950"/>
      <c r="WNH21" s="2950"/>
      <c r="WNI21" s="2950"/>
      <c r="WNJ21" s="2950"/>
      <c r="WNK21" s="2950"/>
      <c r="WNL21" s="2950"/>
      <c r="WNM21" s="2950"/>
      <c r="WNN21" s="2950"/>
      <c r="WNO21" s="2950"/>
      <c r="WNP21" s="2950"/>
      <c r="WNQ21" s="2950"/>
      <c r="WNR21" s="2950"/>
      <c r="WNS21" s="2950"/>
      <c r="WNT21" s="2950"/>
      <c r="WNU21" s="2950"/>
      <c r="WNV21" s="2950"/>
      <c r="WNW21" s="2950"/>
      <c r="WNX21" s="2950"/>
      <c r="WNY21" s="2950"/>
      <c r="WNZ21" s="2950"/>
      <c r="WOA21" s="2950"/>
      <c r="WOB21" s="2950"/>
      <c r="WOC21" s="2950"/>
      <c r="WOD21" s="2950"/>
      <c r="WOE21" s="2950"/>
      <c r="WOF21" s="2950"/>
      <c r="WOG21" s="2950"/>
      <c r="WOH21" s="2950"/>
      <c r="WOI21" s="2950"/>
      <c r="WOJ21" s="2950"/>
      <c r="WOK21" s="2950"/>
      <c r="WOL21" s="2950"/>
      <c r="WOM21" s="2950"/>
      <c r="WON21" s="2950"/>
      <c r="WOO21" s="2950"/>
      <c r="WOP21" s="2950"/>
      <c r="WOQ21" s="2950"/>
      <c r="WOR21" s="2950"/>
      <c r="WOS21" s="2950"/>
      <c r="WOT21" s="2950"/>
      <c r="WOU21" s="2950"/>
      <c r="WOV21" s="2950"/>
      <c r="WOW21" s="2950"/>
      <c r="WOX21" s="2950"/>
      <c r="WOY21" s="2950"/>
      <c r="WOZ21" s="2950"/>
      <c r="WPA21" s="2950"/>
      <c r="WPB21" s="2950"/>
      <c r="WPC21" s="2950"/>
      <c r="WPD21" s="2950"/>
      <c r="WPE21" s="2950"/>
      <c r="WPF21" s="2950"/>
      <c r="WPG21" s="2950"/>
      <c r="WPH21" s="2950"/>
      <c r="WPI21" s="2950"/>
      <c r="WPJ21" s="2950"/>
      <c r="WPK21" s="2950"/>
      <c r="WPL21" s="2950"/>
      <c r="WPM21" s="2950"/>
      <c r="WPN21" s="2950"/>
      <c r="WPO21" s="2950"/>
      <c r="WPP21" s="2950"/>
      <c r="WPQ21" s="2950"/>
      <c r="WPR21" s="2950"/>
      <c r="WPS21" s="2950"/>
      <c r="WPT21" s="2950"/>
      <c r="WPU21" s="2950"/>
      <c r="WPV21" s="2950"/>
      <c r="WPW21" s="2950"/>
      <c r="WPX21" s="2950"/>
      <c r="WPY21" s="2950"/>
      <c r="WPZ21" s="2950"/>
      <c r="WQA21" s="2950"/>
      <c r="WQB21" s="2950"/>
      <c r="WQC21" s="2950"/>
      <c r="WQD21" s="2950"/>
      <c r="WQE21" s="2950"/>
      <c r="WQF21" s="2950"/>
      <c r="WQG21" s="2950"/>
      <c r="WQH21" s="2950"/>
      <c r="WQI21" s="2950"/>
      <c r="WQJ21" s="2950"/>
      <c r="WQK21" s="2950"/>
      <c r="WQL21" s="2950"/>
      <c r="WQM21" s="2950"/>
      <c r="WQN21" s="2950"/>
      <c r="WQO21" s="2950"/>
      <c r="WQP21" s="2950"/>
      <c r="WQQ21" s="2950"/>
      <c r="WQR21" s="2950"/>
      <c r="WQS21" s="2950"/>
      <c r="WQT21" s="2950"/>
      <c r="WQU21" s="2950"/>
      <c r="WQV21" s="2950"/>
      <c r="WQW21" s="2950"/>
      <c r="WQX21" s="2950"/>
      <c r="WQY21" s="2950"/>
      <c r="WQZ21" s="2950"/>
      <c r="WRA21" s="2950"/>
      <c r="WRB21" s="2950"/>
      <c r="WRC21" s="2950"/>
      <c r="WRD21" s="2950"/>
      <c r="WRE21" s="2950"/>
      <c r="WRF21" s="2950"/>
      <c r="WRG21" s="2950"/>
      <c r="WRH21" s="2950"/>
      <c r="WRI21" s="2950"/>
      <c r="WRJ21" s="2950"/>
      <c r="WRK21" s="2950"/>
      <c r="WRL21" s="2950"/>
      <c r="WRM21" s="2950"/>
      <c r="WRN21" s="2950"/>
      <c r="WRO21" s="2950"/>
      <c r="WRP21" s="2950"/>
      <c r="WRQ21" s="2950"/>
      <c r="WRR21" s="2950"/>
      <c r="WRS21" s="2950"/>
      <c r="WRT21" s="2950"/>
      <c r="WRU21" s="2950"/>
      <c r="WRV21" s="2950"/>
      <c r="WRW21" s="2950"/>
      <c r="WRX21" s="2950"/>
      <c r="WRY21" s="2950"/>
      <c r="WRZ21" s="2950"/>
      <c r="WSA21" s="2950"/>
      <c r="WSB21" s="2950"/>
      <c r="WSC21" s="2950"/>
      <c r="WSD21" s="2950"/>
      <c r="WSE21" s="2950"/>
      <c r="WSF21" s="2950"/>
      <c r="WSG21" s="2950"/>
      <c r="WSH21" s="2950"/>
      <c r="WSI21" s="2950"/>
      <c r="WSJ21" s="2950"/>
      <c r="WSK21" s="2950"/>
      <c r="WSL21" s="2950"/>
      <c r="WSM21" s="2950"/>
      <c r="WSN21" s="2950"/>
      <c r="WSO21" s="2950"/>
      <c r="WSP21" s="2950"/>
      <c r="WSQ21" s="2950"/>
      <c r="WSR21" s="2950"/>
      <c r="WSS21" s="2950"/>
      <c r="WST21" s="2950"/>
      <c r="WSU21" s="2950"/>
      <c r="WSV21" s="2950"/>
      <c r="WSW21" s="2950"/>
      <c r="WSX21" s="2950"/>
      <c r="WSY21" s="2950"/>
      <c r="WSZ21" s="2950"/>
      <c r="WTA21" s="2950"/>
      <c r="WTB21" s="2950"/>
      <c r="WTC21" s="2950"/>
      <c r="WTD21" s="2950"/>
      <c r="WTE21" s="2950"/>
      <c r="WTF21" s="2950"/>
      <c r="WTG21" s="2950"/>
      <c r="WTH21" s="2950"/>
      <c r="WTI21" s="2950"/>
      <c r="WTJ21" s="2950"/>
      <c r="WTK21" s="2950"/>
      <c r="WTL21" s="2950"/>
      <c r="WTM21" s="2950"/>
      <c r="WTN21" s="2950"/>
      <c r="WTO21" s="2950"/>
      <c r="WTP21" s="2950"/>
      <c r="WTQ21" s="2950"/>
      <c r="WTR21" s="2950"/>
      <c r="WTS21" s="2950"/>
      <c r="WTT21" s="2950"/>
      <c r="WTU21" s="2950"/>
      <c r="WTV21" s="2950"/>
      <c r="WTW21" s="2950"/>
      <c r="WTX21" s="2950"/>
      <c r="WTY21" s="2950"/>
      <c r="WTZ21" s="2950"/>
      <c r="WUA21" s="2950"/>
      <c r="WUB21" s="2950"/>
      <c r="WUC21" s="2950"/>
      <c r="WUD21" s="2950"/>
      <c r="WUE21" s="2950"/>
      <c r="WUF21" s="2950"/>
      <c r="WUG21" s="2950"/>
      <c r="WUH21" s="2950"/>
      <c r="WUI21" s="2950"/>
      <c r="WUJ21" s="2950"/>
      <c r="WUK21" s="2950"/>
      <c r="WUL21" s="2950"/>
      <c r="WUM21" s="2950"/>
      <c r="WUN21" s="2950"/>
      <c r="WUO21" s="2950"/>
      <c r="WUP21" s="2950"/>
      <c r="WUQ21" s="2950"/>
      <c r="WUR21" s="2950"/>
      <c r="WUS21" s="2950"/>
      <c r="WUT21" s="2950"/>
      <c r="WUU21" s="2950"/>
      <c r="WUV21" s="2950"/>
      <c r="WUW21" s="2950"/>
      <c r="WUX21" s="2950"/>
      <c r="WUY21" s="2950"/>
      <c r="WUZ21" s="2950"/>
      <c r="WVA21" s="2950"/>
      <c r="WVB21" s="2950"/>
      <c r="WVC21" s="2950"/>
      <c r="WVD21" s="2950"/>
      <c r="WVE21" s="2950"/>
      <c r="WVF21" s="2950"/>
      <c r="WVG21" s="2950"/>
      <c r="WVH21" s="2950"/>
      <c r="WVI21" s="2950"/>
      <c r="WVJ21" s="2950"/>
      <c r="WVK21" s="2950"/>
      <c r="WVL21" s="2950"/>
      <c r="WVM21" s="2950"/>
      <c r="WVN21" s="2950"/>
      <c r="WVO21" s="2950"/>
      <c r="WVP21" s="2950"/>
      <c r="WVQ21" s="2950"/>
      <c r="WVR21" s="2950"/>
      <c r="WVS21" s="2950"/>
      <c r="WVT21" s="2950"/>
      <c r="WVU21" s="2950"/>
      <c r="WVV21" s="2950"/>
      <c r="WVW21" s="2950"/>
      <c r="WVX21" s="2950"/>
      <c r="WVY21" s="2950"/>
      <c r="WVZ21" s="2950"/>
      <c r="WWA21" s="2950"/>
      <c r="WWB21" s="2950"/>
      <c r="WWC21" s="2950"/>
      <c r="WWD21" s="2950"/>
      <c r="WWE21" s="2950"/>
      <c r="WWF21" s="2950"/>
      <c r="WWG21" s="2950"/>
      <c r="WWH21" s="2950"/>
      <c r="WWI21" s="2950"/>
      <c r="WWJ21" s="2950"/>
      <c r="WWK21" s="2950"/>
      <c r="WWL21" s="2950"/>
      <c r="WWM21" s="2950"/>
      <c r="WWN21" s="2950"/>
      <c r="WWO21" s="2950"/>
      <c r="WWP21" s="2950"/>
      <c r="WWQ21" s="2950"/>
      <c r="WWR21" s="2950"/>
      <c r="WWS21" s="2950"/>
      <c r="WWT21" s="2950"/>
      <c r="WWU21" s="2950"/>
      <c r="WWV21" s="2950"/>
      <c r="WWW21" s="2950"/>
      <c r="WWX21" s="2950"/>
      <c r="WWY21" s="2950"/>
      <c r="WWZ21" s="2950"/>
      <c r="WXA21" s="2950"/>
      <c r="WXB21" s="2950"/>
      <c r="WXC21" s="2950"/>
      <c r="WXD21" s="2950"/>
      <c r="WXE21" s="2950"/>
      <c r="WXF21" s="2950"/>
      <c r="WXG21" s="2950"/>
      <c r="WXH21" s="2950"/>
      <c r="WXI21" s="2950"/>
      <c r="WXJ21" s="2950"/>
      <c r="WXK21" s="2950"/>
      <c r="WXL21" s="2950"/>
      <c r="WXM21" s="2950"/>
      <c r="WXN21" s="2950"/>
      <c r="WXO21" s="2950"/>
      <c r="WXP21" s="2950"/>
      <c r="WXQ21" s="2950"/>
      <c r="WXR21" s="2950"/>
      <c r="WXS21" s="2950"/>
      <c r="WXT21" s="2950"/>
      <c r="WXU21" s="2950"/>
      <c r="WXV21" s="2950"/>
      <c r="WXW21" s="2950"/>
      <c r="WXX21" s="2950"/>
      <c r="WXY21" s="2950"/>
      <c r="WXZ21" s="2950"/>
      <c r="WYA21" s="2950"/>
      <c r="WYB21" s="2950"/>
      <c r="WYC21" s="2950"/>
      <c r="WYD21" s="2950"/>
      <c r="WYE21" s="2950"/>
      <c r="WYF21" s="2950"/>
      <c r="WYG21" s="2950"/>
      <c r="WYH21" s="2950"/>
      <c r="WYI21" s="2950"/>
      <c r="WYJ21" s="2950"/>
      <c r="WYK21" s="2950"/>
      <c r="WYL21" s="2950"/>
      <c r="WYM21" s="2950"/>
      <c r="WYN21" s="2950"/>
      <c r="WYO21" s="2950"/>
      <c r="WYP21" s="2950"/>
      <c r="WYQ21" s="2950"/>
      <c r="WYR21" s="2950"/>
      <c r="WYS21" s="2950"/>
      <c r="WYT21" s="2950"/>
      <c r="WYU21" s="2950"/>
      <c r="WYV21" s="2950"/>
      <c r="WYW21" s="2950"/>
      <c r="WYX21" s="2950"/>
      <c r="WYY21" s="2950"/>
      <c r="WYZ21" s="2950"/>
      <c r="WZA21" s="2950"/>
      <c r="WZB21" s="2950"/>
      <c r="WZC21" s="2950"/>
      <c r="WZD21" s="2950"/>
      <c r="WZE21" s="2950"/>
      <c r="WZF21" s="2950"/>
      <c r="WZG21" s="2950"/>
      <c r="WZH21" s="2950"/>
      <c r="WZI21" s="2950"/>
      <c r="WZJ21" s="2950"/>
      <c r="WZK21" s="2950"/>
      <c r="WZL21" s="2950"/>
      <c r="WZM21" s="2950"/>
      <c r="WZN21" s="2950"/>
      <c r="WZO21" s="2950"/>
      <c r="WZP21" s="2950"/>
      <c r="WZQ21" s="2950"/>
      <c r="WZR21" s="2950"/>
      <c r="WZS21" s="2950"/>
      <c r="WZT21" s="2950"/>
      <c r="WZU21" s="2950"/>
      <c r="WZV21" s="2950"/>
      <c r="WZW21" s="2950"/>
      <c r="WZX21" s="2950"/>
      <c r="WZY21" s="2950"/>
      <c r="WZZ21" s="2950"/>
      <c r="XAA21" s="2950"/>
      <c r="XAB21" s="2950"/>
      <c r="XAC21" s="2950"/>
      <c r="XAD21" s="2950"/>
      <c r="XAE21" s="2950"/>
      <c r="XAF21" s="2950"/>
      <c r="XAG21" s="2950"/>
      <c r="XAH21" s="2950"/>
      <c r="XAI21" s="2950"/>
      <c r="XAJ21" s="2950"/>
      <c r="XAK21" s="2950"/>
      <c r="XAL21" s="2950"/>
      <c r="XAM21" s="2950"/>
      <c r="XAN21" s="2950"/>
      <c r="XAO21" s="2950"/>
      <c r="XAP21" s="2950"/>
      <c r="XAQ21" s="2950"/>
      <c r="XAR21" s="2950"/>
      <c r="XAS21" s="2950"/>
      <c r="XAT21" s="2950"/>
      <c r="XAU21" s="2950"/>
      <c r="XAV21" s="2950"/>
      <c r="XAW21" s="2950"/>
      <c r="XAX21" s="2950"/>
      <c r="XAY21" s="2950"/>
      <c r="XAZ21" s="2950"/>
      <c r="XBA21" s="2950"/>
      <c r="XBB21" s="2950"/>
      <c r="XBC21" s="2950"/>
      <c r="XBD21" s="2950"/>
      <c r="XBE21" s="2950"/>
      <c r="XBF21" s="2950"/>
      <c r="XBG21" s="2950"/>
      <c r="XBH21" s="2950"/>
      <c r="XBI21" s="2950"/>
      <c r="XBJ21" s="2950"/>
      <c r="XBK21" s="2950"/>
      <c r="XBL21" s="2950"/>
      <c r="XBM21" s="2950"/>
      <c r="XBN21" s="2950"/>
      <c r="XBO21" s="2950"/>
      <c r="XBP21" s="2950"/>
      <c r="XBQ21" s="2950"/>
      <c r="XBR21" s="2950"/>
      <c r="XBS21" s="2950"/>
      <c r="XBT21" s="2950"/>
      <c r="XBU21" s="2950"/>
      <c r="XBV21" s="2950"/>
      <c r="XBW21" s="2950"/>
      <c r="XBX21" s="2950"/>
      <c r="XBY21" s="2950"/>
      <c r="XBZ21" s="2950"/>
      <c r="XCA21" s="2950"/>
      <c r="XCB21" s="2950"/>
      <c r="XCC21" s="2950"/>
      <c r="XCD21" s="2950"/>
      <c r="XCE21" s="2950"/>
      <c r="XCF21" s="2950"/>
      <c r="XCG21" s="2950"/>
      <c r="XCH21" s="2950"/>
      <c r="XCI21" s="2950"/>
      <c r="XCJ21" s="2950"/>
      <c r="XCK21" s="2950"/>
      <c r="XCL21" s="2950"/>
      <c r="XCM21" s="2950"/>
      <c r="XCN21" s="2950"/>
      <c r="XCO21" s="2950"/>
      <c r="XCP21" s="2950"/>
      <c r="XCQ21" s="2950"/>
      <c r="XCR21" s="2950"/>
      <c r="XCS21" s="2950"/>
      <c r="XCT21" s="2950"/>
      <c r="XCU21" s="2950"/>
      <c r="XCV21" s="2950"/>
      <c r="XCW21" s="2950"/>
      <c r="XCX21" s="2950"/>
      <c r="XCY21" s="2950"/>
      <c r="XCZ21" s="2950"/>
      <c r="XDA21" s="2950"/>
      <c r="XDB21" s="2950"/>
      <c r="XDC21" s="2950"/>
      <c r="XDD21" s="2950"/>
      <c r="XDE21" s="2950"/>
      <c r="XDF21" s="2950"/>
      <c r="XDG21" s="2950"/>
      <c r="XDH21" s="2950"/>
      <c r="XDI21" s="2950"/>
      <c r="XDJ21" s="2950"/>
      <c r="XDK21" s="2950"/>
      <c r="XDL21" s="2950"/>
      <c r="XDM21" s="2950"/>
      <c r="XDN21" s="2950"/>
      <c r="XDO21" s="2950"/>
      <c r="XDP21" s="2950"/>
      <c r="XDQ21" s="2950"/>
      <c r="XDR21" s="2950"/>
      <c r="XDS21" s="2950"/>
      <c r="XDT21" s="2950"/>
      <c r="XDU21" s="2950"/>
      <c r="XDV21" s="2950"/>
      <c r="XDW21" s="2950"/>
      <c r="XDX21" s="2950"/>
      <c r="XDY21" s="2950"/>
      <c r="XDZ21" s="2950"/>
      <c r="XEA21" s="2950"/>
      <c r="XEB21" s="2950"/>
      <c r="XEC21" s="2950"/>
      <c r="XED21" s="2950"/>
      <c r="XEE21" s="2950"/>
      <c r="XEF21" s="2950"/>
      <c r="XEG21" s="2950"/>
      <c r="XEH21" s="2950"/>
      <c r="XEI21" s="2950"/>
      <c r="XEJ21" s="2950"/>
      <c r="XEK21" s="2950"/>
      <c r="XEL21" s="2950"/>
      <c r="XEM21" s="2950"/>
      <c r="XEN21" s="2950"/>
      <c r="XEO21" s="2950"/>
      <c r="XEP21" s="2950"/>
      <c r="XEQ21" s="2950"/>
      <c r="XER21" s="2950"/>
      <c r="XES21" s="2950"/>
      <c r="XET21" s="2950"/>
      <c r="XEU21" s="2950"/>
    </row>
    <row r="22" spans="1:16375" s="2949" customFormat="1" ht="15.75">
      <c r="B22" s="3420" t="s">
        <v>3268</v>
      </c>
      <c r="C22" s="2968" t="s">
        <v>3269</v>
      </c>
      <c r="D22" s="2959" t="s">
        <v>3247</v>
      </c>
      <c r="E22" s="2968" t="s">
        <v>3270</v>
      </c>
      <c r="F22" s="2969">
        <v>42745</v>
      </c>
      <c r="G22" s="2969">
        <v>46396</v>
      </c>
      <c r="H22" s="2970">
        <v>207.33</v>
      </c>
      <c r="I22" s="2971">
        <f>300*(1+10%)*H22</f>
        <v>68418.900000000009</v>
      </c>
      <c r="J22" s="2960">
        <f>I22*12</f>
        <v>821026.8</v>
      </c>
      <c r="K22" s="2950"/>
      <c r="L22" s="2958">
        <f t="shared" ref="L22:L27" si="2">ROUND(I22/30/H22,1)</f>
        <v>11</v>
      </c>
      <c r="M22" s="2950" t="s">
        <v>3290</v>
      </c>
      <c r="N22" s="2978">
        <f>10%/3</f>
        <v>3.3333333333333333E-2</v>
      </c>
      <c r="O22" s="2978">
        <f>ROUND(N22*H22/$N$28,5)</f>
        <v>5.1000000000000004E-4</v>
      </c>
      <c r="P22" s="2950"/>
      <c r="Q22" s="2978"/>
      <c r="R22" s="2950"/>
      <c r="S22" s="2950"/>
      <c r="T22" s="2950"/>
      <c r="U22" s="2950"/>
      <c r="V22" s="2950"/>
      <c r="W22" s="2950"/>
      <c r="X22" s="2950"/>
      <c r="Y22" s="2950"/>
      <c r="Z22" s="2950"/>
      <c r="AA22" s="2950"/>
      <c r="AB22" s="2950"/>
      <c r="AC22" s="2950"/>
      <c r="AD22" s="2950"/>
      <c r="AE22" s="2950"/>
      <c r="AF22" s="2950"/>
      <c r="AG22" s="2950"/>
      <c r="AH22" s="2950"/>
      <c r="AI22" s="2950"/>
      <c r="AJ22" s="2950"/>
      <c r="AK22" s="2950"/>
      <c r="AL22" s="2950"/>
      <c r="AM22" s="2950"/>
      <c r="AN22" s="2950"/>
      <c r="AO22" s="2950"/>
      <c r="AP22" s="2950"/>
      <c r="AQ22" s="2950"/>
      <c r="AR22" s="2950"/>
      <c r="AS22" s="2950"/>
      <c r="AT22" s="2950"/>
      <c r="AU22" s="2950"/>
      <c r="AV22" s="2950"/>
      <c r="AW22" s="2950"/>
      <c r="AX22" s="2950"/>
      <c r="AY22" s="2950"/>
      <c r="AZ22" s="2950"/>
      <c r="BA22" s="2950"/>
      <c r="BB22" s="2950"/>
      <c r="BC22" s="2950"/>
      <c r="BD22" s="2950"/>
      <c r="BE22" s="2950"/>
      <c r="BF22" s="2950"/>
      <c r="BG22" s="2950"/>
      <c r="BH22" s="2950"/>
      <c r="BI22" s="2950"/>
      <c r="BJ22" s="2950"/>
      <c r="BK22" s="2950"/>
      <c r="BL22" s="2950"/>
      <c r="BM22" s="2950"/>
      <c r="BN22" s="2950"/>
      <c r="BO22" s="2950"/>
      <c r="BP22" s="2950"/>
      <c r="BQ22" s="2950"/>
      <c r="BR22" s="2950"/>
      <c r="BS22" s="2950"/>
      <c r="BT22" s="2950"/>
      <c r="BU22" s="2950"/>
      <c r="BV22" s="2950"/>
      <c r="BW22" s="2950"/>
      <c r="BX22" s="2950"/>
      <c r="BY22" s="2950"/>
      <c r="BZ22" s="2950"/>
      <c r="CA22" s="2950"/>
      <c r="CB22" s="2950"/>
      <c r="CC22" s="2950"/>
      <c r="CD22" s="2950"/>
      <c r="CE22" s="2950"/>
      <c r="CF22" s="2950"/>
      <c r="CG22" s="2950"/>
      <c r="CH22" s="2950"/>
      <c r="CI22" s="2950"/>
      <c r="CJ22" s="2950"/>
      <c r="CK22" s="2950"/>
      <c r="CL22" s="2950"/>
      <c r="CM22" s="2950"/>
      <c r="CN22" s="2950"/>
      <c r="CO22" s="2950"/>
      <c r="CP22" s="2950"/>
      <c r="CQ22" s="2950"/>
      <c r="CR22" s="2950"/>
      <c r="CS22" s="2950"/>
      <c r="CT22" s="2950"/>
      <c r="CU22" s="2950"/>
      <c r="CV22" s="2950"/>
      <c r="CW22" s="2950"/>
      <c r="CX22" s="2950"/>
      <c r="CY22" s="2950"/>
      <c r="CZ22" s="2950"/>
      <c r="DA22" s="2950"/>
      <c r="DB22" s="2950"/>
      <c r="DC22" s="2950"/>
      <c r="DD22" s="2950"/>
      <c r="DE22" s="2950"/>
      <c r="DF22" s="2950"/>
      <c r="DG22" s="2950"/>
      <c r="DH22" s="2950"/>
      <c r="DI22" s="2950"/>
      <c r="DJ22" s="2950"/>
      <c r="DK22" s="2950"/>
      <c r="DL22" s="2950"/>
      <c r="DM22" s="2950"/>
      <c r="DN22" s="2950"/>
      <c r="DO22" s="2950"/>
      <c r="DP22" s="2950"/>
      <c r="DQ22" s="2950"/>
      <c r="DR22" s="2950"/>
      <c r="DS22" s="2950"/>
      <c r="DT22" s="2950"/>
      <c r="DU22" s="2950"/>
      <c r="DV22" s="2950"/>
      <c r="DW22" s="2950"/>
      <c r="DX22" s="2950"/>
      <c r="DY22" s="2950"/>
      <c r="DZ22" s="2950"/>
      <c r="EA22" s="2950"/>
      <c r="EB22" s="2950"/>
      <c r="EC22" s="2950"/>
      <c r="ED22" s="2950"/>
      <c r="EE22" s="2950"/>
      <c r="EF22" s="2950"/>
      <c r="EG22" s="2950"/>
      <c r="EH22" s="2950"/>
      <c r="EI22" s="2950"/>
      <c r="EJ22" s="2950"/>
      <c r="EK22" s="2950"/>
      <c r="EL22" s="2950"/>
      <c r="EM22" s="2950"/>
      <c r="EN22" s="2950"/>
      <c r="EO22" s="2950"/>
      <c r="EP22" s="2950"/>
      <c r="EQ22" s="2950"/>
      <c r="ER22" s="2950"/>
      <c r="ES22" s="2950"/>
      <c r="ET22" s="2950"/>
      <c r="EU22" s="2950"/>
      <c r="EV22" s="2950"/>
      <c r="EW22" s="2950"/>
      <c r="EX22" s="2950"/>
      <c r="EY22" s="2950"/>
      <c r="EZ22" s="2950"/>
      <c r="FA22" s="2950"/>
      <c r="FB22" s="2950"/>
      <c r="FC22" s="2950"/>
      <c r="FD22" s="2950"/>
      <c r="FE22" s="2950"/>
      <c r="FF22" s="2950"/>
      <c r="FG22" s="2950"/>
      <c r="FH22" s="2950"/>
      <c r="FI22" s="2950"/>
      <c r="FJ22" s="2950"/>
      <c r="FK22" s="2950"/>
      <c r="FL22" s="2950"/>
      <c r="FM22" s="2950"/>
      <c r="FN22" s="2950"/>
      <c r="FO22" s="2950"/>
      <c r="FP22" s="2950"/>
      <c r="FQ22" s="2950"/>
      <c r="FR22" s="2950"/>
      <c r="FS22" s="2950"/>
      <c r="FT22" s="2950"/>
      <c r="FU22" s="2950"/>
      <c r="FV22" s="2950"/>
      <c r="FW22" s="2950"/>
      <c r="FX22" s="2950"/>
      <c r="FY22" s="2950"/>
      <c r="FZ22" s="2950"/>
      <c r="GA22" s="2950"/>
      <c r="GB22" s="2950"/>
      <c r="GC22" s="2950"/>
      <c r="GD22" s="2950"/>
      <c r="GE22" s="2950"/>
      <c r="GF22" s="2950"/>
      <c r="GG22" s="2950"/>
      <c r="GH22" s="2950"/>
      <c r="GI22" s="2950"/>
      <c r="GJ22" s="2950"/>
      <c r="GK22" s="2950"/>
      <c r="GL22" s="2950"/>
      <c r="GM22" s="2950"/>
      <c r="GN22" s="2950"/>
      <c r="GO22" s="2950"/>
      <c r="GP22" s="2950"/>
      <c r="GQ22" s="2950"/>
      <c r="GR22" s="2950"/>
      <c r="GS22" s="2950"/>
      <c r="GT22" s="2950"/>
      <c r="GU22" s="2950"/>
      <c r="GV22" s="2950"/>
      <c r="GW22" s="2950"/>
      <c r="GX22" s="2950"/>
      <c r="GY22" s="2950"/>
      <c r="GZ22" s="2950"/>
      <c r="HA22" s="2950"/>
      <c r="HB22" s="2950"/>
      <c r="HC22" s="2950"/>
      <c r="HD22" s="2950"/>
      <c r="HE22" s="2950"/>
      <c r="HF22" s="2950"/>
      <c r="HG22" s="2950"/>
      <c r="HH22" s="2950"/>
      <c r="HI22" s="2950"/>
      <c r="HJ22" s="2950"/>
      <c r="HK22" s="2950"/>
      <c r="HL22" s="2950"/>
      <c r="HM22" s="2950"/>
      <c r="HN22" s="2950"/>
      <c r="HO22" s="2950"/>
      <c r="HP22" s="2950"/>
      <c r="HQ22" s="2950"/>
      <c r="HR22" s="2950"/>
      <c r="HS22" s="2950"/>
      <c r="HT22" s="2950"/>
      <c r="HU22" s="2950"/>
      <c r="HV22" s="2950"/>
      <c r="HW22" s="2950"/>
      <c r="HX22" s="2950"/>
      <c r="HY22" s="2950"/>
      <c r="HZ22" s="2950"/>
      <c r="IA22" s="2950"/>
      <c r="IB22" s="2950"/>
      <c r="IC22" s="2950"/>
      <c r="ID22" s="2950"/>
      <c r="IE22" s="2950"/>
      <c r="IF22" s="2950"/>
      <c r="IG22" s="2950"/>
      <c r="IH22" s="2950"/>
      <c r="II22" s="2950"/>
      <c r="IJ22" s="2950"/>
      <c r="IK22" s="2950"/>
      <c r="IL22" s="2950"/>
      <c r="IM22" s="2950"/>
      <c r="IN22" s="2950"/>
      <c r="IO22" s="2950"/>
      <c r="IP22" s="2950"/>
      <c r="IQ22" s="2950"/>
      <c r="IR22" s="2950"/>
      <c r="IS22" s="2950"/>
      <c r="IT22" s="2950"/>
      <c r="IU22" s="2950"/>
      <c r="IV22" s="2950"/>
      <c r="IW22" s="2950"/>
      <c r="IX22" s="2950"/>
      <c r="IY22" s="2950"/>
      <c r="IZ22" s="2950"/>
      <c r="JA22" s="2950"/>
      <c r="JB22" s="2950"/>
      <c r="JC22" s="2950"/>
      <c r="JD22" s="2950"/>
      <c r="JE22" s="2950"/>
      <c r="JF22" s="2950"/>
      <c r="JG22" s="2950"/>
      <c r="JH22" s="2950"/>
      <c r="JI22" s="2950"/>
      <c r="JJ22" s="2950"/>
      <c r="JK22" s="2950"/>
      <c r="JL22" s="2950"/>
      <c r="JM22" s="2950"/>
      <c r="JN22" s="2950"/>
      <c r="JO22" s="2950"/>
      <c r="JP22" s="2950"/>
      <c r="JQ22" s="2950"/>
      <c r="JR22" s="2950"/>
      <c r="JS22" s="2950"/>
      <c r="JT22" s="2950"/>
      <c r="JU22" s="2950"/>
      <c r="JV22" s="2950"/>
      <c r="JW22" s="2950"/>
      <c r="JX22" s="2950"/>
      <c r="JY22" s="2950"/>
      <c r="JZ22" s="2950"/>
      <c r="KA22" s="2950"/>
      <c r="KB22" s="2950"/>
      <c r="KC22" s="2950"/>
      <c r="KD22" s="2950"/>
      <c r="KE22" s="2950"/>
      <c r="KF22" s="2950"/>
      <c r="KG22" s="2950"/>
      <c r="KH22" s="2950"/>
      <c r="KI22" s="2950"/>
      <c r="KJ22" s="2950"/>
      <c r="KK22" s="2950"/>
      <c r="KL22" s="2950"/>
      <c r="KM22" s="2950"/>
      <c r="KN22" s="2950"/>
      <c r="KO22" s="2950"/>
      <c r="KP22" s="2950"/>
      <c r="KQ22" s="2950"/>
      <c r="KR22" s="2950"/>
      <c r="KS22" s="2950"/>
      <c r="KT22" s="2950"/>
      <c r="KU22" s="2950"/>
      <c r="KV22" s="2950"/>
      <c r="KW22" s="2950"/>
      <c r="KX22" s="2950"/>
      <c r="KY22" s="2950"/>
      <c r="KZ22" s="2950"/>
      <c r="LA22" s="2950"/>
      <c r="LB22" s="2950"/>
      <c r="LC22" s="2950"/>
      <c r="LD22" s="2950"/>
      <c r="LE22" s="2950"/>
      <c r="LF22" s="2950"/>
      <c r="LG22" s="2950"/>
      <c r="LH22" s="2950"/>
      <c r="LI22" s="2950"/>
      <c r="LJ22" s="2950"/>
      <c r="LK22" s="2950"/>
      <c r="LL22" s="2950"/>
      <c r="LM22" s="2950"/>
      <c r="LN22" s="2950"/>
      <c r="LO22" s="2950"/>
      <c r="LP22" s="2950"/>
      <c r="LQ22" s="2950"/>
      <c r="LR22" s="2950"/>
      <c r="LS22" s="2950"/>
      <c r="LT22" s="2950"/>
      <c r="LU22" s="2950"/>
      <c r="LV22" s="2950"/>
      <c r="LW22" s="2950"/>
      <c r="LX22" s="2950"/>
      <c r="LY22" s="2950"/>
      <c r="LZ22" s="2950"/>
      <c r="MA22" s="2950"/>
      <c r="MB22" s="2950"/>
      <c r="MC22" s="2950"/>
      <c r="MD22" s="2950"/>
      <c r="ME22" s="2950"/>
      <c r="MF22" s="2950"/>
      <c r="MG22" s="2950"/>
      <c r="MH22" s="2950"/>
      <c r="MI22" s="2950"/>
      <c r="MJ22" s="2950"/>
      <c r="MK22" s="2950"/>
      <c r="ML22" s="2950"/>
      <c r="MM22" s="2950"/>
      <c r="MN22" s="2950"/>
      <c r="MO22" s="2950"/>
      <c r="MP22" s="2950"/>
      <c r="MQ22" s="2950"/>
      <c r="MR22" s="2950"/>
      <c r="MS22" s="2950"/>
      <c r="MT22" s="2950"/>
      <c r="MU22" s="2950"/>
      <c r="MV22" s="2950"/>
      <c r="MW22" s="2950"/>
      <c r="MX22" s="2950"/>
      <c r="MY22" s="2950"/>
      <c r="MZ22" s="2950"/>
      <c r="NA22" s="2950"/>
      <c r="NB22" s="2950"/>
      <c r="NC22" s="2950"/>
      <c r="ND22" s="2950"/>
      <c r="NE22" s="2950"/>
      <c r="NF22" s="2950"/>
      <c r="NG22" s="2950"/>
      <c r="NH22" s="2950"/>
      <c r="NI22" s="2950"/>
      <c r="NJ22" s="2950"/>
      <c r="NK22" s="2950"/>
      <c r="NL22" s="2950"/>
      <c r="NM22" s="2950"/>
      <c r="NN22" s="2950"/>
      <c r="NO22" s="2950"/>
      <c r="NP22" s="2950"/>
      <c r="NQ22" s="2950"/>
      <c r="NR22" s="2950"/>
      <c r="NS22" s="2950"/>
      <c r="NT22" s="2950"/>
      <c r="NU22" s="2950"/>
      <c r="NV22" s="2950"/>
      <c r="NW22" s="2950"/>
      <c r="NX22" s="2950"/>
      <c r="NY22" s="2950"/>
      <c r="NZ22" s="2950"/>
      <c r="OA22" s="2950"/>
      <c r="OB22" s="2950"/>
      <c r="OC22" s="2950"/>
      <c r="OD22" s="2950"/>
      <c r="OE22" s="2950"/>
      <c r="OF22" s="2950"/>
      <c r="OG22" s="2950"/>
      <c r="OH22" s="2950"/>
      <c r="OI22" s="2950"/>
      <c r="OJ22" s="2950"/>
      <c r="OK22" s="2950"/>
      <c r="OL22" s="2950"/>
      <c r="OM22" s="2950"/>
      <c r="ON22" s="2950"/>
      <c r="OO22" s="2950"/>
      <c r="OP22" s="2950"/>
      <c r="OQ22" s="2950"/>
      <c r="OR22" s="2950"/>
      <c r="OS22" s="2950"/>
      <c r="OT22" s="2950"/>
      <c r="OU22" s="2950"/>
      <c r="OV22" s="2950"/>
      <c r="OW22" s="2950"/>
      <c r="OX22" s="2950"/>
      <c r="OY22" s="2950"/>
      <c r="OZ22" s="2950"/>
      <c r="PA22" s="2950"/>
      <c r="PB22" s="2950"/>
      <c r="PC22" s="2950"/>
      <c r="PD22" s="2950"/>
      <c r="PE22" s="2950"/>
      <c r="PF22" s="2950"/>
      <c r="PG22" s="2950"/>
      <c r="PH22" s="2950"/>
      <c r="PI22" s="2950"/>
      <c r="PJ22" s="2950"/>
      <c r="PK22" s="2950"/>
      <c r="PL22" s="2950"/>
      <c r="PM22" s="2950"/>
      <c r="PN22" s="2950"/>
      <c r="PO22" s="2950"/>
      <c r="PP22" s="2950"/>
      <c r="PQ22" s="2950"/>
      <c r="PR22" s="2950"/>
      <c r="PS22" s="2950"/>
      <c r="PT22" s="2950"/>
      <c r="PU22" s="2950"/>
      <c r="PV22" s="2950"/>
      <c r="PW22" s="2950"/>
      <c r="PX22" s="2950"/>
      <c r="PY22" s="2950"/>
      <c r="PZ22" s="2950"/>
      <c r="QA22" s="2950"/>
      <c r="QB22" s="2950"/>
      <c r="QC22" s="2950"/>
      <c r="QD22" s="2950"/>
      <c r="QE22" s="2950"/>
      <c r="QF22" s="2950"/>
      <c r="QG22" s="2950"/>
      <c r="QH22" s="2950"/>
      <c r="QI22" s="2950"/>
      <c r="QJ22" s="2950"/>
      <c r="QK22" s="2950"/>
      <c r="QL22" s="2950"/>
      <c r="QM22" s="2950"/>
      <c r="QN22" s="2950"/>
      <c r="QO22" s="2950"/>
      <c r="QP22" s="2950"/>
      <c r="QQ22" s="2950"/>
      <c r="QR22" s="2950"/>
      <c r="QS22" s="2950"/>
      <c r="QT22" s="2950"/>
      <c r="QU22" s="2950"/>
      <c r="QV22" s="2950"/>
      <c r="QW22" s="2950"/>
      <c r="QX22" s="2950"/>
      <c r="QY22" s="2950"/>
      <c r="QZ22" s="2950"/>
      <c r="RA22" s="2950"/>
      <c r="RB22" s="2950"/>
      <c r="RC22" s="2950"/>
      <c r="RD22" s="2950"/>
      <c r="RE22" s="2950"/>
      <c r="RF22" s="2950"/>
      <c r="RG22" s="2950"/>
      <c r="RH22" s="2950"/>
      <c r="RI22" s="2950"/>
      <c r="RJ22" s="2950"/>
      <c r="RK22" s="2950"/>
      <c r="RL22" s="2950"/>
      <c r="RM22" s="2950"/>
      <c r="RN22" s="2950"/>
      <c r="RO22" s="2950"/>
      <c r="RP22" s="2950"/>
      <c r="RQ22" s="2950"/>
      <c r="RR22" s="2950"/>
      <c r="RS22" s="2950"/>
      <c r="RT22" s="2950"/>
      <c r="RU22" s="2950"/>
      <c r="RV22" s="2950"/>
      <c r="RW22" s="2950"/>
      <c r="RX22" s="2950"/>
      <c r="RY22" s="2950"/>
      <c r="RZ22" s="2950"/>
      <c r="SA22" s="2950"/>
      <c r="SB22" s="2950"/>
      <c r="SC22" s="2950"/>
      <c r="SD22" s="2950"/>
      <c r="SE22" s="2950"/>
      <c r="SF22" s="2950"/>
      <c r="SG22" s="2950"/>
      <c r="SH22" s="2950"/>
      <c r="SI22" s="2950"/>
      <c r="SJ22" s="2950"/>
      <c r="SK22" s="2950"/>
      <c r="SL22" s="2950"/>
      <c r="SM22" s="2950"/>
      <c r="SN22" s="2950"/>
      <c r="SO22" s="2950"/>
      <c r="SP22" s="2950"/>
      <c r="SQ22" s="2950"/>
      <c r="SR22" s="2950"/>
      <c r="SS22" s="2950"/>
      <c r="ST22" s="2950"/>
      <c r="SU22" s="2950"/>
      <c r="SV22" s="2950"/>
      <c r="SW22" s="2950"/>
      <c r="SX22" s="2950"/>
      <c r="SY22" s="2950"/>
      <c r="SZ22" s="2950"/>
      <c r="TA22" s="2950"/>
      <c r="TB22" s="2950"/>
      <c r="TC22" s="2950"/>
      <c r="TD22" s="2950"/>
      <c r="TE22" s="2950"/>
      <c r="TF22" s="2950"/>
      <c r="TG22" s="2950"/>
      <c r="TH22" s="2950"/>
      <c r="TI22" s="2950"/>
      <c r="TJ22" s="2950"/>
      <c r="TK22" s="2950"/>
      <c r="TL22" s="2950"/>
      <c r="TM22" s="2950"/>
      <c r="TN22" s="2950"/>
      <c r="TO22" s="2950"/>
      <c r="TP22" s="2950"/>
      <c r="TQ22" s="2950"/>
      <c r="TR22" s="2950"/>
      <c r="TS22" s="2950"/>
      <c r="TT22" s="2950"/>
      <c r="TU22" s="2950"/>
      <c r="TV22" s="2950"/>
      <c r="TW22" s="2950"/>
      <c r="TX22" s="2950"/>
      <c r="TY22" s="2950"/>
      <c r="TZ22" s="2950"/>
      <c r="UA22" s="2950"/>
      <c r="UB22" s="2950"/>
      <c r="UC22" s="2950"/>
      <c r="UD22" s="2950"/>
      <c r="UE22" s="2950"/>
      <c r="UF22" s="2950"/>
      <c r="UG22" s="2950"/>
      <c r="UH22" s="2950"/>
      <c r="UI22" s="2950"/>
      <c r="UJ22" s="2950"/>
      <c r="UK22" s="2950"/>
      <c r="UL22" s="2950"/>
      <c r="UM22" s="2950"/>
      <c r="UN22" s="2950"/>
      <c r="UO22" s="2950"/>
      <c r="UP22" s="2950"/>
      <c r="UQ22" s="2950"/>
      <c r="UR22" s="2950"/>
      <c r="US22" s="2950"/>
      <c r="UT22" s="2950"/>
      <c r="UU22" s="2950"/>
      <c r="UV22" s="2950"/>
      <c r="UW22" s="2950"/>
      <c r="UX22" s="2950"/>
      <c r="UY22" s="2950"/>
      <c r="UZ22" s="2950"/>
      <c r="VA22" s="2950"/>
      <c r="VB22" s="2950"/>
      <c r="VC22" s="2950"/>
      <c r="VD22" s="2950"/>
      <c r="VE22" s="2950"/>
      <c r="VF22" s="2950"/>
      <c r="VG22" s="2950"/>
      <c r="VH22" s="2950"/>
      <c r="VI22" s="2950"/>
      <c r="VJ22" s="2950"/>
      <c r="VK22" s="2950"/>
      <c r="VL22" s="2950"/>
      <c r="VM22" s="2950"/>
      <c r="VN22" s="2950"/>
      <c r="VO22" s="2950"/>
      <c r="VP22" s="2950"/>
      <c r="VQ22" s="2950"/>
      <c r="VR22" s="2950"/>
      <c r="VS22" s="2950"/>
      <c r="VT22" s="2950"/>
      <c r="VU22" s="2950"/>
      <c r="VV22" s="2950"/>
      <c r="VW22" s="2950"/>
      <c r="VX22" s="2950"/>
      <c r="VY22" s="2950"/>
      <c r="VZ22" s="2950"/>
      <c r="WA22" s="2950"/>
      <c r="WB22" s="2950"/>
      <c r="WC22" s="2950"/>
      <c r="WD22" s="2950"/>
      <c r="WE22" s="2950"/>
      <c r="WF22" s="2950"/>
      <c r="WG22" s="2950"/>
      <c r="WH22" s="2950"/>
      <c r="WI22" s="2950"/>
      <c r="WJ22" s="2950"/>
      <c r="WK22" s="2950"/>
      <c r="WL22" s="2950"/>
      <c r="WM22" s="2950"/>
      <c r="WN22" s="2950"/>
      <c r="WO22" s="2950"/>
      <c r="WP22" s="2950"/>
      <c r="WQ22" s="2950"/>
      <c r="WR22" s="2950"/>
      <c r="WS22" s="2950"/>
      <c r="WT22" s="2950"/>
      <c r="WU22" s="2950"/>
      <c r="WV22" s="2950"/>
      <c r="WW22" s="2950"/>
      <c r="WX22" s="2950"/>
      <c r="WY22" s="2950"/>
      <c r="WZ22" s="2950"/>
      <c r="XA22" s="2950"/>
      <c r="XB22" s="2950"/>
      <c r="XC22" s="2950"/>
      <c r="XD22" s="2950"/>
      <c r="XE22" s="2950"/>
      <c r="XF22" s="2950"/>
      <c r="XG22" s="2950"/>
      <c r="XH22" s="2950"/>
      <c r="XI22" s="2950"/>
      <c r="XJ22" s="2950"/>
      <c r="XK22" s="2950"/>
      <c r="XL22" s="2950"/>
      <c r="XM22" s="2950"/>
      <c r="XN22" s="2950"/>
      <c r="XO22" s="2950"/>
      <c r="XP22" s="2950"/>
      <c r="XQ22" s="2950"/>
      <c r="XR22" s="2950"/>
      <c r="XS22" s="2950"/>
      <c r="XT22" s="2950"/>
      <c r="XU22" s="2950"/>
      <c r="XV22" s="2950"/>
      <c r="XW22" s="2950"/>
      <c r="XX22" s="2950"/>
      <c r="XY22" s="2950"/>
      <c r="XZ22" s="2950"/>
      <c r="YA22" s="2950"/>
      <c r="YB22" s="2950"/>
      <c r="YC22" s="2950"/>
      <c r="YD22" s="2950"/>
      <c r="YE22" s="2950"/>
      <c r="YF22" s="2950"/>
      <c r="YG22" s="2950"/>
      <c r="YH22" s="2950"/>
      <c r="YI22" s="2950"/>
      <c r="YJ22" s="2950"/>
      <c r="YK22" s="2950"/>
      <c r="YL22" s="2950"/>
      <c r="YM22" s="2950"/>
      <c r="YN22" s="2950"/>
      <c r="YO22" s="2950"/>
      <c r="YP22" s="2950"/>
      <c r="YQ22" s="2950"/>
      <c r="YR22" s="2950"/>
      <c r="YS22" s="2950"/>
      <c r="YT22" s="2950"/>
      <c r="YU22" s="2950"/>
      <c r="YV22" s="2950"/>
      <c r="YW22" s="2950"/>
      <c r="YX22" s="2950"/>
      <c r="YY22" s="2950"/>
      <c r="YZ22" s="2950"/>
      <c r="ZA22" s="2950"/>
      <c r="ZB22" s="2950"/>
      <c r="ZC22" s="2950"/>
      <c r="ZD22" s="2950"/>
      <c r="ZE22" s="2950"/>
      <c r="ZF22" s="2950"/>
      <c r="ZG22" s="2950"/>
      <c r="ZH22" s="2950"/>
      <c r="ZI22" s="2950"/>
      <c r="ZJ22" s="2950"/>
      <c r="ZK22" s="2950"/>
      <c r="ZL22" s="2950"/>
      <c r="ZM22" s="2950"/>
      <c r="ZN22" s="2950"/>
      <c r="ZO22" s="2950"/>
      <c r="ZP22" s="2950"/>
      <c r="ZQ22" s="2950"/>
      <c r="ZR22" s="2950"/>
      <c r="ZS22" s="2950"/>
      <c r="ZT22" s="2950"/>
      <c r="ZU22" s="2950"/>
      <c r="ZV22" s="2950"/>
      <c r="ZW22" s="2950"/>
      <c r="ZX22" s="2950"/>
      <c r="ZY22" s="2950"/>
      <c r="ZZ22" s="2950"/>
      <c r="AAA22" s="2950"/>
      <c r="AAB22" s="2950"/>
      <c r="AAC22" s="2950"/>
      <c r="AAD22" s="2950"/>
      <c r="AAE22" s="2950"/>
      <c r="AAF22" s="2950"/>
      <c r="AAG22" s="2950"/>
      <c r="AAH22" s="2950"/>
      <c r="AAI22" s="2950"/>
      <c r="AAJ22" s="2950"/>
      <c r="AAK22" s="2950"/>
      <c r="AAL22" s="2950"/>
      <c r="AAM22" s="2950"/>
      <c r="AAN22" s="2950"/>
      <c r="AAO22" s="2950"/>
      <c r="AAP22" s="2950"/>
      <c r="AAQ22" s="2950"/>
      <c r="AAR22" s="2950"/>
      <c r="AAS22" s="2950"/>
      <c r="AAT22" s="2950"/>
      <c r="AAU22" s="2950"/>
      <c r="AAV22" s="2950"/>
      <c r="AAW22" s="2950"/>
      <c r="AAX22" s="2950"/>
      <c r="AAY22" s="2950"/>
      <c r="AAZ22" s="2950"/>
      <c r="ABA22" s="2950"/>
      <c r="ABB22" s="2950"/>
      <c r="ABC22" s="2950"/>
      <c r="ABD22" s="2950"/>
      <c r="ABE22" s="2950"/>
      <c r="ABF22" s="2950"/>
      <c r="ABG22" s="2950"/>
      <c r="ABH22" s="2950"/>
      <c r="ABI22" s="2950"/>
      <c r="ABJ22" s="2950"/>
      <c r="ABK22" s="2950"/>
      <c r="ABL22" s="2950"/>
      <c r="ABM22" s="2950"/>
      <c r="ABN22" s="2950"/>
      <c r="ABO22" s="2950"/>
      <c r="ABP22" s="2950"/>
      <c r="ABQ22" s="2950"/>
      <c r="ABR22" s="2950"/>
      <c r="ABS22" s="2950"/>
      <c r="ABT22" s="2950"/>
      <c r="ABU22" s="2950"/>
      <c r="ABV22" s="2950"/>
      <c r="ABW22" s="2950"/>
      <c r="ABX22" s="2950"/>
      <c r="ABY22" s="2950"/>
      <c r="ABZ22" s="2950"/>
      <c r="ACA22" s="2950"/>
      <c r="ACB22" s="2950"/>
      <c r="ACC22" s="2950"/>
      <c r="ACD22" s="2950"/>
      <c r="ACE22" s="2950"/>
      <c r="ACF22" s="2950"/>
      <c r="ACG22" s="2950"/>
      <c r="ACH22" s="2950"/>
      <c r="ACI22" s="2950"/>
      <c r="ACJ22" s="2950"/>
      <c r="ACK22" s="2950"/>
      <c r="ACL22" s="2950"/>
      <c r="ACM22" s="2950"/>
      <c r="ACN22" s="2950"/>
      <c r="ACO22" s="2950"/>
      <c r="ACP22" s="2950"/>
      <c r="ACQ22" s="2950"/>
      <c r="ACR22" s="2950"/>
      <c r="ACS22" s="2950"/>
      <c r="ACT22" s="2950"/>
      <c r="ACU22" s="2950"/>
      <c r="ACV22" s="2950"/>
      <c r="ACW22" s="2950"/>
      <c r="ACX22" s="2950"/>
      <c r="ACY22" s="2950"/>
      <c r="ACZ22" s="2950"/>
      <c r="ADA22" s="2950"/>
      <c r="ADB22" s="2950"/>
      <c r="ADC22" s="2950"/>
      <c r="ADD22" s="2950"/>
      <c r="ADE22" s="2950"/>
      <c r="ADF22" s="2950"/>
      <c r="ADG22" s="2950"/>
      <c r="ADH22" s="2950"/>
      <c r="ADI22" s="2950"/>
      <c r="ADJ22" s="2950"/>
      <c r="ADK22" s="2950"/>
      <c r="ADL22" s="2950"/>
      <c r="ADM22" s="2950"/>
      <c r="ADN22" s="2950"/>
      <c r="ADO22" s="2950"/>
      <c r="ADP22" s="2950"/>
      <c r="ADQ22" s="2950"/>
      <c r="ADR22" s="2950"/>
      <c r="ADS22" s="2950"/>
      <c r="ADT22" s="2950"/>
      <c r="ADU22" s="2950"/>
      <c r="ADV22" s="2950"/>
      <c r="ADW22" s="2950"/>
      <c r="ADX22" s="2950"/>
      <c r="ADY22" s="2950"/>
      <c r="ADZ22" s="2950"/>
      <c r="AEA22" s="2950"/>
      <c r="AEB22" s="2950"/>
      <c r="AEC22" s="2950"/>
      <c r="AED22" s="2950"/>
      <c r="AEE22" s="2950"/>
      <c r="AEF22" s="2950"/>
      <c r="AEG22" s="2950"/>
      <c r="AEH22" s="2950"/>
      <c r="AEI22" s="2950"/>
      <c r="AEJ22" s="2950"/>
      <c r="AEK22" s="2950"/>
      <c r="AEL22" s="2950"/>
      <c r="AEM22" s="2950"/>
      <c r="AEN22" s="2950"/>
      <c r="AEO22" s="2950"/>
      <c r="AEP22" s="2950"/>
      <c r="AEQ22" s="2950"/>
      <c r="AER22" s="2950"/>
      <c r="AES22" s="2950"/>
      <c r="AET22" s="2950"/>
      <c r="AEU22" s="2950"/>
      <c r="AEV22" s="2950"/>
      <c r="AEW22" s="2950"/>
      <c r="AEX22" s="2950"/>
      <c r="AEY22" s="2950"/>
      <c r="AEZ22" s="2950"/>
      <c r="AFA22" s="2950"/>
      <c r="AFB22" s="2950"/>
      <c r="AFC22" s="2950"/>
      <c r="AFD22" s="2950"/>
      <c r="AFE22" s="2950"/>
      <c r="AFF22" s="2950"/>
      <c r="AFG22" s="2950"/>
      <c r="AFH22" s="2950"/>
      <c r="AFI22" s="2950"/>
      <c r="AFJ22" s="2950"/>
      <c r="AFK22" s="2950"/>
      <c r="AFL22" s="2950"/>
      <c r="AFM22" s="2950"/>
      <c r="AFN22" s="2950"/>
      <c r="AFO22" s="2950"/>
      <c r="AFP22" s="2950"/>
      <c r="AFQ22" s="2950"/>
      <c r="AFR22" s="2950"/>
      <c r="AFS22" s="2950"/>
      <c r="AFT22" s="2950"/>
      <c r="AFU22" s="2950"/>
      <c r="AFV22" s="2950"/>
      <c r="AFW22" s="2950"/>
      <c r="AFX22" s="2950"/>
      <c r="AFY22" s="2950"/>
      <c r="AFZ22" s="2950"/>
      <c r="AGA22" s="2950"/>
      <c r="AGB22" s="2950"/>
      <c r="AGC22" s="2950"/>
      <c r="AGD22" s="2950"/>
      <c r="AGE22" s="2950"/>
      <c r="AGF22" s="2950"/>
      <c r="AGG22" s="2950"/>
      <c r="AGH22" s="2950"/>
      <c r="AGI22" s="2950"/>
      <c r="AGJ22" s="2950"/>
      <c r="AGK22" s="2950"/>
      <c r="AGL22" s="2950"/>
      <c r="AGM22" s="2950"/>
      <c r="AGN22" s="2950"/>
      <c r="AGO22" s="2950"/>
      <c r="AGP22" s="2950"/>
      <c r="AGQ22" s="2950"/>
      <c r="AGR22" s="2950"/>
      <c r="AGS22" s="2950"/>
      <c r="AGT22" s="2950"/>
      <c r="AGU22" s="2950"/>
      <c r="AGV22" s="2950"/>
      <c r="AGW22" s="2950"/>
      <c r="AGX22" s="2950"/>
      <c r="AGY22" s="2950"/>
      <c r="AGZ22" s="2950"/>
      <c r="AHA22" s="2950"/>
      <c r="AHB22" s="2950"/>
      <c r="AHC22" s="2950"/>
      <c r="AHD22" s="2950"/>
      <c r="AHE22" s="2950"/>
      <c r="AHF22" s="2950"/>
      <c r="AHG22" s="2950"/>
      <c r="AHH22" s="2950"/>
      <c r="AHI22" s="2950"/>
      <c r="AHJ22" s="2950"/>
      <c r="AHK22" s="2950"/>
      <c r="AHL22" s="2950"/>
      <c r="AHM22" s="2950"/>
      <c r="AHN22" s="2950"/>
      <c r="AHO22" s="2950"/>
      <c r="AHP22" s="2950"/>
      <c r="AHQ22" s="2950"/>
      <c r="AHR22" s="2950"/>
      <c r="AHS22" s="2950"/>
      <c r="AHT22" s="2950"/>
      <c r="AHU22" s="2950"/>
      <c r="AHV22" s="2950"/>
      <c r="AHW22" s="2950"/>
      <c r="AHX22" s="2950"/>
      <c r="AHY22" s="2950"/>
      <c r="AHZ22" s="2950"/>
      <c r="AIA22" s="2950"/>
      <c r="AIB22" s="2950"/>
      <c r="AIC22" s="2950"/>
      <c r="AID22" s="2950"/>
      <c r="AIE22" s="2950"/>
      <c r="AIF22" s="2950"/>
      <c r="AIG22" s="2950"/>
      <c r="AIH22" s="2950"/>
      <c r="AII22" s="2950"/>
      <c r="AIJ22" s="2950"/>
      <c r="AIK22" s="2950"/>
      <c r="AIL22" s="2950"/>
      <c r="AIM22" s="2950"/>
      <c r="AIN22" s="2950"/>
      <c r="AIO22" s="2950"/>
      <c r="AIP22" s="2950"/>
      <c r="AIQ22" s="2950"/>
      <c r="AIR22" s="2950"/>
      <c r="AIS22" s="2950"/>
      <c r="AIT22" s="2950"/>
      <c r="AIU22" s="2950"/>
      <c r="AIV22" s="2950"/>
      <c r="AIW22" s="2950"/>
      <c r="AIX22" s="2950"/>
      <c r="AIY22" s="2950"/>
      <c r="AIZ22" s="2950"/>
      <c r="AJA22" s="2950"/>
      <c r="AJB22" s="2950"/>
      <c r="AJC22" s="2950"/>
      <c r="AJD22" s="2950"/>
      <c r="AJE22" s="2950"/>
      <c r="AJF22" s="2950"/>
      <c r="AJG22" s="2950"/>
      <c r="AJH22" s="2950"/>
      <c r="AJI22" s="2950"/>
      <c r="AJJ22" s="2950"/>
      <c r="AJK22" s="2950"/>
      <c r="AJL22" s="2950"/>
      <c r="AJM22" s="2950"/>
      <c r="AJN22" s="2950"/>
      <c r="AJO22" s="2950"/>
      <c r="AJP22" s="2950"/>
      <c r="AJQ22" s="2950"/>
      <c r="AJR22" s="2950"/>
      <c r="AJS22" s="2950"/>
      <c r="AJT22" s="2950"/>
      <c r="AJU22" s="2950"/>
      <c r="AJV22" s="2950"/>
      <c r="AJW22" s="2950"/>
      <c r="AJX22" s="2950"/>
      <c r="AJY22" s="2950"/>
      <c r="AJZ22" s="2950"/>
      <c r="AKA22" s="2950"/>
      <c r="AKB22" s="2950"/>
      <c r="AKC22" s="2950"/>
      <c r="AKD22" s="2950"/>
      <c r="AKE22" s="2950"/>
      <c r="AKF22" s="2950"/>
      <c r="AKG22" s="2950"/>
      <c r="AKH22" s="2950"/>
      <c r="AKI22" s="2950"/>
      <c r="AKJ22" s="2950"/>
      <c r="AKK22" s="2950"/>
      <c r="AKL22" s="2950"/>
      <c r="AKM22" s="2950"/>
      <c r="AKN22" s="2950"/>
      <c r="AKO22" s="2950"/>
      <c r="AKP22" s="2950"/>
      <c r="AKQ22" s="2950"/>
      <c r="AKR22" s="2950"/>
      <c r="AKS22" s="2950"/>
      <c r="AKT22" s="2950"/>
      <c r="AKU22" s="2950"/>
      <c r="AKV22" s="2950"/>
      <c r="AKW22" s="2950"/>
      <c r="AKX22" s="2950"/>
      <c r="AKY22" s="2950"/>
      <c r="AKZ22" s="2950"/>
      <c r="ALA22" s="2950"/>
      <c r="ALB22" s="2950"/>
      <c r="ALC22" s="2950"/>
      <c r="ALD22" s="2950"/>
      <c r="ALE22" s="2950"/>
      <c r="ALF22" s="2950"/>
      <c r="ALG22" s="2950"/>
      <c r="ALH22" s="2950"/>
      <c r="ALI22" s="2950"/>
      <c r="ALJ22" s="2950"/>
      <c r="ALK22" s="2950"/>
      <c r="ALL22" s="2950"/>
      <c r="ALM22" s="2950"/>
      <c r="ALN22" s="2950"/>
      <c r="ALO22" s="2950"/>
      <c r="ALP22" s="2950"/>
      <c r="ALQ22" s="2950"/>
      <c r="ALR22" s="2950"/>
      <c r="ALS22" s="2950"/>
      <c r="ALT22" s="2950"/>
      <c r="ALU22" s="2950"/>
      <c r="ALV22" s="2950"/>
      <c r="ALW22" s="2950"/>
      <c r="ALX22" s="2950"/>
      <c r="ALY22" s="2950"/>
      <c r="ALZ22" s="2950"/>
      <c r="AMA22" s="2950"/>
      <c r="AMB22" s="2950"/>
      <c r="AMC22" s="2950"/>
      <c r="AMD22" s="2950"/>
      <c r="AME22" s="2950"/>
      <c r="AMF22" s="2950"/>
      <c r="AMG22" s="2950"/>
      <c r="AMH22" s="2950"/>
      <c r="AMI22" s="2950"/>
      <c r="AMJ22" s="2950"/>
      <c r="AMK22" s="2950"/>
      <c r="AML22" s="2950"/>
      <c r="AMM22" s="2950"/>
      <c r="AMN22" s="2950"/>
      <c r="AMO22" s="2950"/>
      <c r="AMP22" s="2950"/>
      <c r="AMQ22" s="2950"/>
      <c r="AMR22" s="2950"/>
      <c r="AMS22" s="2950"/>
      <c r="AMT22" s="2950"/>
      <c r="AMU22" s="2950"/>
      <c r="AMV22" s="2950"/>
      <c r="AMW22" s="2950"/>
      <c r="AMX22" s="2950"/>
      <c r="AMY22" s="2950"/>
      <c r="AMZ22" s="2950"/>
      <c r="ANA22" s="2950"/>
      <c r="ANB22" s="2950"/>
      <c r="ANC22" s="2950"/>
      <c r="AND22" s="2950"/>
      <c r="ANE22" s="2950"/>
      <c r="ANF22" s="2950"/>
      <c r="ANG22" s="2950"/>
      <c r="ANH22" s="2950"/>
      <c r="ANI22" s="2950"/>
      <c r="ANJ22" s="2950"/>
      <c r="ANK22" s="2950"/>
      <c r="ANL22" s="2950"/>
      <c r="ANM22" s="2950"/>
      <c r="ANN22" s="2950"/>
      <c r="ANO22" s="2950"/>
      <c r="ANP22" s="2950"/>
      <c r="ANQ22" s="2950"/>
      <c r="ANR22" s="2950"/>
      <c r="ANS22" s="2950"/>
      <c r="ANT22" s="2950"/>
      <c r="ANU22" s="2950"/>
      <c r="ANV22" s="2950"/>
      <c r="ANW22" s="2950"/>
      <c r="ANX22" s="2950"/>
      <c r="ANY22" s="2950"/>
      <c r="ANZ22" s="2950"/>
      <c r="AOA22" s="2950"/>
      <c r="AOB22" s="2950"/>
      <c r="AOC22" s="2950"/>
      <c r="AOD22" s="2950"/>
      <c r="AOE22" s="2950"/>
      <c r="AOF22" s="2950"/>
      <c r="AOG22" s="2950"/>
      <c r="AOH22" s="2950"/>
      <c r="AOI22" s="2950"/>
      <c r="AOJ22" s="2950"/>
      <c r="AOK22" s="2950"/>
      <c r="AOL22" s="2950"/>
      <c r="AOM22" s="2950"/>
      <c r="AON22" s="2950"/>
      <c r="AOO22" s="2950"/>
      <c r="AOP22" s="2950"/>
      <c r="AOQ22" s="2950"/>
      <c r="AOR22" s="2950"/>
      <c r="AOS22" s="2950"/>
      <c r="AOT22" s="2950"/>
      <c r="AOU22" s="2950"/>
      <c r="AOV22" s="2950"/>
      <c r="AOW22" s="2950"/>
      <c r="AOX22" s="2950"/>
      <c r="AOY22" s="2950"/>
      <c r="AOZ22" s="2950"/>
      <c r="APA22" s="2950"/>
      <c r="APB22" s="2950"/>
      <c r="APC22" s="2950"/>
      <c r="APD22" s="2950"/>
      <c r="APE22" s="2950"/>
      <c r="APF22" s="2950"/>
      <c r="APG22" s="2950"/>
      <c r="APH22" s="2950"/>
      <c r="API22" s="2950"/>
      <c r="APJ22" s="2950"/>
      <c r="APK22" s="2950"/>
      <c r="APL22" s="2950"/>
      <c r="APM22" s="2950"/>
      <c r="APN22" s="2950"/>
      <c r="APO22" s="2950"/>
      <c r="APP22" s="2950"/>
      <c r="APQ22" s="2950"/>
      <c r="APR22" s="2950"/>
      <c r="APS22" s="2950"/>
      <c r="APT22" s="2950"/>
      <c r="APU22" s="2950"/>
      <c r="APV22" s="2950"/>
      <c r="APW22" s="2950"/>
      <c r="APX22" s="2950"/>
      <c r="APY22" s="2950"/>
      <c r="APZ22" s="2950"/>
      <c r="AQA22" s="2950"/>
      <c r="AQB22" s="2950"/>
      <c r="AQC22" s="2950"/>
      <c r="AQD22" s="2950"/>
      <c r="AQE22" s="2950"/>
      <c r="AQF22" s="2950"/>
      <c r="AQG22" s="2950"/>
      <c r="AQH22" s="2950"/>
      <c r="AQI22" s="2950"/>
      <c r="AQJ22" s="2950"/>
      <c r="AQK22" s="2950"/>
      <c r="AQL22" s="2950"/>
      <c r="AQM22" s="2950"/>
      <c r="AQN22" s="2950"/>
      <c r="AQO22" s="2950"/>
      <c r="AQP22" s="2950"/>
      <c r="AQQ22" s="2950"/>
      <c r="AQR22" s="2950"/>
      <c r="AQS22" s="2950"/>
      <c r="AQT22" s="2950"/>
      <c r="AQU22" s="2950"/>
      <c r="AQV22" s="2950"/>
      <c r="AQW22" s="2950"/>
      <c r="AQX22" s="2950"/>
      <c r="AQY22" s="2950"/>
      <c r="AQZ22" s="2950"/>
      <c r="ARA22" s="2950"/>
      <c r="ARB22" s="2950"/>
      <c r="ARC22" s="2950"/>
      <c r="ARD22" s="2950"/>
      <c r="ARE22" s="2950"/>
      <c r="ARF22" s="2950"/>
      <c r="ARG22" s="2950"/>
      <c r="ARH22" s="2950"/>
      <c r="ARI22" s="2950"/>
      <c r="ARJ22" s="2950"/>
      <c r="ARK22" s="2950"/>
      <c r="ARL22" s="2950"/>
      <c r="ARM22" s="2950"/>
      <c r="ARN22" s="2950"/>
      <c r="ARO22" s="2950"/>
      <c r="ARP22" s="2950"/>
      <c r="ARQ22" s="2950"/>
      <c r="ARR22" s="2950"/>
      <c r="ARS22" s="2950"/>
      <c r="ART22" s="2950"/>
      <c r="ARU22" s="2950"/>
      <c r="ARV22" s="2950"/>
      <c r="ARW22" s="2950"/>
      <c r="ARX22" s="2950"/>
      <c r="ARY22" s="2950"/>
      <c r="ARZ22" s="2950"/>
      <c r="ASA22" s="2950"/>
      <c r="ASB22" s="2950"/>
      <c r="ASC22" s="2950"/>
      <c r="ASD22" s="2950"/>
      <c r="ASE22" s="2950"/>
      <c r="ASF22" s="2950"/>
      <c r="ASG22" s="2950"/>
      <c r="ASH22" s="2950"/>
      <c r="ASI22" s="2950"/>
      <c r="ASJ22" s="2950"/>
      <c r="ASK22" s="2950"/>
      <c r="ASL22" s="2950"/>
      <c r="ASM22" s="2950"/>
      <c r="ASN22" s="2950"/>
      <c r="ASO22" s="2950"/>
      <c r="ASP22" s="2950"/>
      <c r="ASQ22" s="2950"/>
      <c r="ASR22" s="2950"/>
      <c r="ASS22" s="2950"/>
      <c r="AST22" s="2950"/>
      <c r="ASU22" s="2950"/>
      <c r="ASV22" s="2950"/>
      <c r="ASW22" s="2950"/>
      <c r="ASX22" s="2950"/>
      <c r="ASY22" s="2950"/>
      <c r="ASZ22" s="2950"/>
      <c r="ATA22" s="2950"/>
      <c r="ATB22" s="2950"/>
      <c r="ATC22" s="2950"/>
      <c r="ATD22" s="2950"/>
      <c r="ATE22" s="2950"/>
      <c r="ATF22" s="2950"/>
      <c r="ATG22" s="2950"/>
      <c r="ATH22" s="2950"/>
      <c r="ATI22" s="2950"/>
      <c r="ATJ22" s="2950"/>
      <c r="ATK22" s="2950"/>
      <c r="ATL22" s="2950"/>
      <c r="ATM22" s="2950"/>
      <c r="ATN22" s="2950"/>
      <c r="ATO22" s="2950"/>
      <c r="ATP22" s="2950"/>
      <c r="ATQ22" s="2950"/>
      <c r="ATR22" s="2950"/>
      <c r="ATS22" s="2950"/>
      <c r="ATT22" s="2950"/>
      <c r="ATU22" s="2950"/>
      <c r="ATV22" s="2950"/>
      <c r="ATW22" s="2950"/>
      <c r="ATX22" s="2950"/>
      <c r="ATY22" s="2950"/>
      <c r="ATZ22" s="2950"/>
      <c r="AUA22" s="2950"/>
      <c r="AUB22" s="2950"/>
      <c r="AUC22" s="2950"/>
      <c r="AUD22" s="2950"/>
      <c r="AUE22" s="2950"/>
      <c r="AUF22" s="2950"/>
      <c r="AUG22" s="2950"/>
      <c r="AUH22" s="2950"/>
      <c r="AUI22" s="2950"/>
      <c r="AUJ22" s="2950"/>
      <c r="AUK22" s="2950"/>
      <c r="AUL22" s="2950"/>
      <c r="AUM22" s="2950"/>
      <c r="AUN22" s="2950"/>
      <c r="AUO22" s="2950"/>
      <c r="AUP22" s="2950"/>
      <c r="AUQ22" s="2950"/>
      <c r="AUR22" s="2950"/>
      <c r="AUS22" s="2950"/>
      <c r="AUT22" s="2950"/>
      <c r="AUU22" s="2950"/>
      <c r="AUV22" s="2950"/>
      <c r="AUW22" s="2950"/>
      <c r="AUX22" s="2950"/>
      <c r="AUY22" s="2950"/>
      <c r="AUZ22" s="2950"/>
      <c r="AVA22" s="2950"/>
      <c r="AVB22" s="2950"/>
      <c r="AVC22" s="2950"/>
      <c r="AVD22" s="2950"/>
      <c r="AVE22" s="2950"/>
      <c r="AVF22" s="2950"/>
      <c r="AVG22" s="2950"/>
      <c r="AVH22" s="2950"/>
      <c r="AVI22" s="2950"/>
      <c r="AVJ22" s="2950"/>
      <c r="AVK22" s="2950"/>
      <c r="AVL22" s="2950"/>
      <c r="AVM22" s="2950"/>
      <c r="AVN22" s="2950"/>
      <c r="AVO22" s="2950"/>
      <c r="AVP22" s="2950"/>
      <c r="AVQ22" s="2950"/>
      <c r="AVR22" s="2950"/>
      <c r="AVS22" s="2950"/>
      <c r="AVT22" s="2950"/>
      <c r="AVU22" s="2950"/>
      <c r="AVV22" s="2950"/>
      <c r="AVW22" s="2950"/>
      <c r="AVX22" s="2950"/>
      <c r="AVY22" s="2950"/>
      <c r="AVZ22" s="2950"/>
      <c r="AWA22" s="2950"/>
      <c r="AWB22" s="2950"/>
      <c r="AWC22" s="2950"/>
      <c r="AWD22" s="2950"/>
      <c r="AWE22" s="2950"/>
      <c r="AWF22" s="2950"/>
      <c r="AWG22" s="2950"/>
      <c r="AWH22" s="2950"/>
      <c r="AWI22" s="2950"/>
      <c r="AWJ22" s="2950"/>
      <c r="AWK22" s="2950"/>
      <c r="AWL22" s="2950"/>
      <c r="AWM22" s="2950"/>
      <c r="AWN22" s="2950"/>
      <c r="AWO22" s="2950"/>
      <c r="AWP22" s="2950"/>
      <c r="AWQ22" s="2950"/>
      <c r="AWR22" s="2950"/>
      <c r="AWS22" s="2950"/>
      <c r="AWT22" s="2950"/>
      <c r="AWU22" s="2950"/>
      <c r="AWV22" s="2950"/>
      <c r="AWW22" s="2950"/>
      <c r="AWX22" s="2950"/>
      <c r="AWY22" s="2950"/>
      <c r="AWZ22" s="2950"/>
      <c r="AXA22" s="2950"/>
      <c r="AXB22" s="2950"/>
      <c r="AXC22" s="2950"/>
      <c r="AXD22" s="2950"/>
      <c r="AXE22" s="2950"/>
      <c r="AXF22" s="2950"/>
      <c r="AXG22" s="2950"/>
      <c r="AXH22" s="2950"/>
      <c r="AXI22" s="2950"/>
      <c r="AXJ22" s="2950"/>
      <c r="AXK22" s="2950"/>
      <c r="AXL22" s="2950"/>
      <c r="AXM22" s="2950"/>
      <c r="AXN22" s="2950"/>
      <c r="AXO22" s="2950"/>
      <c r="AXP22" s="2950"/>
      <c r="AXQ22" s="2950"/>
      <c r="AXR22" s="2950"/>
      <c r="AXS22" s="2950"/>
      <c r="AXT22" s="2950"/>
      <c r="AXU22" s="2950"/>
      <c r="AXV22" s="2950"/>
      <c r="AXW22" s="2950"/>
      <c r="AXX22" s="2950"/>
      <c r="AXY22" s="2950"/>
      <c r="AXZ22" s="2950"/>
      <c r="AYA22" s="2950"/>
      <c r="AYB22" s="2950"/>
      <c r="AYC22" s="2950"/>
      <c r="AYD22" s="2950"/>
      <c r="AYE22" s="2950"/>
      <c r="AYF22" s="2950"/>
      <c r="AYG22" s="2950"/>
      <c r="AYH22" s="2950"/>
      <c r="AYI22" s="2950"/>
      <c r="AYJ22" s="2950"/>
      <c r="AYK22" s="2950"/>
      <c r="AYL22" s="2950"/>
      <c r="AYM22" s="2950"/>
      <c r="AYN22" s="2950"/>
      <c r="AYO22" s="2950"/>
      <c r="AYP22" s="2950"/>
      <c r="AYQ22" s="2950"/>
      <c r="AYR22" s="2950"/>
      <c r="AYS22" s="2950"/>
      <c r="AYT22" s="2950"/>
      <c r="AYU22" s="2950"/>
      <c r="AYV22" s="2950"/>
      <c r="AYW22" s="2950"/>
      <c r="AYX22" s="2950"/>
      <c r="AYY22" s="2950"/>
      <c r="AYZ22" s="2950"/>
      <c r="AZA22" s="2950"/>
      <c r="AZB22" s="2950"/>
      <c r="AZC22" s="2950"/>
      <c r="AZD22" s="2950"/>
      <c r="AZE22" s="2950"/>
      <c r="AZF22" s="2950"/>
      <c r="AZG22" s="2950"/>
      <c r="AZH22" s="2950"/>
      <c r="AZI22" s="2950"/>
      <c r="AZJ22" s="2950"/>
      <c r="AZK22" s="2950"/>
      <c r="AZL22" s="2950"/>
      <c r="AZM22" s="2950"/>
      <c r="AZN22" s="2950"/>
      <c r="AZO22" s="2950"/>
      <c r="AZP22" s="2950"/>
      <c r="AZQ22" s="2950"/>
      <c r="AZR22" s="2950"/>
      <c r="AZS22" s="2950"/>
      <c r="AZT22" s="2950"/>
      <c r="AZU22" s="2950"/>
      <c r="AZV22" s="2950"/>
      <c r="AZW22" s="2950"/>
      <c r="AZX22" s="2950"/>
      <c r="AZY22" s="2950"/>
      <c r="AZZ22" s="2950"/>
      <c r="BAA22" s="2950"/>
      <c r="BAB22" s="2950"/>
      <c r="BAC22" s="2950"/>
      <c r="BAD22" s="2950"/>
      <c r="BAE22" s="2950"/>
      <c r="BAF22" s="2950"/>
      <c r="BAG22" s="2950"/>
      <c r="BAH22" s="2950"/>
      <c r="BAI22" s="2950"/>
      <c r="BAJ22" s="2950"/>
      <c r="BAK22" s="2950"/>
      <c r="BAL22" s="2950"/>
      <c r="BAM22" s="2950"/>
      <c r="BAN22" s="2950"/>
      <c r="BAO22" s="2950"/>
      <c r="BAP22" s="2950"/>
      <c r="BAQ22" s="2950"/>
      <c r="BAR22" s="2950"/>
      <c r="BAS22" s="2950"/>
      <c r="BAT22" s="2950"/>
      <c r="BAU22" s="2950"/>
      <c r="BAV22" s="2950"/>
      <c r="BAW22" s="2950"/>
      <c r="BAX22" s="2950"/>
      <c r="BAY22" s="2950"/>
      <c r="BAZ22" s="2950"/>
      <c r="BBA22" s="2950"/>
      <c r="BBB22" s="2950"/>
      <c r="BBC22" s="2950"/>
      <c r="BBD22" s="2950"/>
      <c r="BBE22" s="2950"/>
      <c r="BBF22" s="2950"/>
      <c r="BBG22" s="2950"/>
      <c r="BBH22" s="2950"/>
      <c r="BBI22" s="2950"/>
      <c r="BBJ22" s="2950"/>
      <c r="BBK22" s="2950"/>
      <c r="BBL22" s="2950"/>
      <c r="BBM22" s="2950"/>
      <c r="BBN22" s="2950"/>
      <c r="BBO22" s="2950"/>
      <c r="BBP22" s="2950"/>
      <c r="BBQ22" s="2950"/>
      <c r="BBR22" s="2950"/>
      <c r="BBS22" s="2950"/>
      <c r="BBT22" s="2950"/>
      <c r="BBU22" s="2950"/>
      <c r="BBV22" s="2950"/>
      <c r="BBW22" s="2950"/>
      <c r="BBX22" s="2950"/>
      <c r="BBY22" s="2950"/>
      <c r="BBZ22" s="2950"/>
      <c r="BCA22" s="2950"/>
      <c r="BCB22" s="2950"/>
      <c r="BCC22" s="2950"/>
      <c r="BCD22" s="2950"/>
      <c r="BCE22" s="2950"/>
      <c r="BCF22" s="2950"/>
      <c r="BCG22" s="2950"/>
      <c r="BCH22" s="2950"/>
      <c r="BCI22" s="2950"/>
      <c r="BCJ22" s="2950"/>
      <c r="BCK22" s="2950"/>
      <c r="BCL22" s="2950"/>
      <c r="BCM22" s="2950"/>
      <c r="BCN22" s="2950"/>
      <c r="BCO22" s="2950"/>
      <c r="BCP22" s="2950"/>
      <c r="BCQ22" s="2950"/>
      <c r="BCR22" s="2950"/>
      <c r="BCS22" s="2950"/>
      <c r="BCT22" s="2950"/>
      <c r="BCU22" s="2950"/>
      <c r="BCV22" s="2950"/>
      <c r="BCW22" s="2950"/>
      <c r="BCX22" s="2950"/>
      <c r="BCY22" s="2950"/>
      <c r="BCZ22" s="2950"/>
      <c r="BDA22" s="2950"/>
      <c r="BDB22" s="2950"/>
      <c r="BDC22" s="2950"/>
      <c r="BDD22" s="2950"/>
      <c r="BDE22" s="2950"/>
      <c r="BDF22" s="2950"/>
      <c r="BDG22" s="2950"/>
      <c r="BDH22" s="2950"/>
      <c r="BDI22" s="2950"/>
      <c r="BDJ22" s="2950"/>
      <c r="BDK22" s="2950"/>
      <c r="BDL22" s="2950"/>
      <c r="BDM22" s="2950"/>
      <c r="BDN22" s="2950"/>
      <c r="BDO22" s="2950"/>
      <c r="BDP22" s="2950"/>
      <c r="BDQ22" s="2950"/>
      <c r="BDR22" s="2950"/>
      <c r="BDS22" s="2950"/>
      <c r="BDT22" s="2950"/>
      <c r="BDU22" s="2950"/>
      <c r="BDV22" s="2950"/>
      <c r="BDW22" s="2950"/>
      <c r="BDX22" s="2950"/>
      <c r="BDY22" s="2950"/>
      <c r="BDZ22" s="2950"/>
      <c r="BEA22" s="2950"/>
      <c r="BEB22" s="2950"/>
      <c r="BEC22" s="2950"/>
      <c r="BED22" s="2950"/>
      <c r="BEE22" s="2950"/>
      <c r="BEF22" s="2950"/>
      <c r="BEG22" s="2950"/>
      <c r="BEH22" s="2950"/>
      <c r="BEI22" s="2950"/>
      <c r="BEJ22" s="2950"/>
      <c r="BEK22" s="2950"/>
      <c r="BEL22" s="2950"/>
      <c r="BEM22" s="2950"/>
      <c r="BEN22" s="2950"/>
      <c r="BEO22" s="2950"/>
      <c r="BEP22" s="2950"/>
      <c r="BEQ22" s="2950"/>
      <c r="BER22" s="2950"/>
      <c r="BES22" s="2950"/>
      <c r="BET22" s="2950"/>
      <c r="BEU22" s="2950"/>
      <c r="BEV22" s="2950"/>
      <c r="BEW22" s="2950"/>
      <c r="BEX22" s="2950"/>
      <c r="BEY22" s="2950"/>
      <c r="BEZ22" s="2950"/>
      <c r="BFA22" s="2950"/>
      <c r="BFB22" s="2950"/>
      <c r="BFC22" s="2950"/>
      <c r="BFD22" s="2950"/>
      <c r="BFE22" s="2950"/>
      <c r="BFF22" s="2950"/>
      <c r="BFG22" s="2950"/>
      <c r="BFH22" s="2950"/>
      <c r="BFI22" s="2950"/>
      <c r="BFJ22" s="2950"/>
      <c r="BFK22" s="2950"/>
      <c r="BFL22" s="2950"/>
      <c r="BFM22" s="2950"/>
      <c r="BFN22" s="2950"/>
      <c r="BFO22" s="2950"/>
      <c r="BFP22" s="2950"/>
      <c r="BFQ22" s="2950"/>
      <c r="BFR22" s="2950"/>
      <c r="BFS22" s="2950"/>
      <c r="BFT22" s="2950"/>
      <c r="BFU22" s="2950"/>
      <c r="BFV22" s="2950"/>
      <c r="BFW22" s="2950"/>
      <c r="BFX22" s="2950"/>
      <c r="BFY22" s="2950"/>
      <c r="BFZ22" s="2950"/>
      <c r="BGA22" s="2950"/>
      <c r="BGB22" s="2950"/>
      <c r="BGC22" s="2950"/>
      <c r="BGD22" s="2950"/>
      <c r="BGE22" s="2950"/>
      <c r="BGF22" s="2950"/>
      <c r="BGG22" s="2950"/>
      <c r="BGH22" s="2950"/>
      <c r="BGI22" s="2950"/>
      <c r="BGJ22" s="2950"/>
      <c r="BGK22" s="2950"/>
      <c r="BGL22" s="2950"/>
      <c r="BGM22" s="2950"/>
      <c r="BGN22" s="2950"/>
      <c r="BGO22" s="2950"/>
      <c r="BGP22" s="2950"/>
      <c r="BGQ22" s="2950"/>
      <c r="BGR22" s="2950"/>
      <c r="BGS22" s="2950"/>
      <c r="BGT22" s="2950"/>
      <c r="BGU22" s="2950"/>
      <c r="BGV22" s="2950"/>
      <c r="BGW22" s="2950"/>
      <c r="BGX22" s="2950"/>
      <c r="BGY22" s="2950"/>
      <c r="BGZ22" s="2950"/>
      <c r="BHA22" s="2950"/>
      <c r="BHB22" s="2950"/>
      <c r="BHC22" s="2950"/>
      <c r="BHD22" s="2950"/>
      <c r="BHE22" s="2950"/>
      <c r="BHF22" s="2950"/>
      <c r="BHG22" s="2950"/>
      <c r="BHH22" s="2950"/>
      <c r="BHI22" s="2950"/>
      <c r="BHJ22" s="2950"/>
      <c r="BHK22" s="2950"/>
      <c r="BHL22" s="2950"/>
      <c r="BHM22" s="2950"/>
      <c r="BHN22" s="2950"/>
      <c r="BHO22" s="2950"/>
      <c r="BHP22" s="2950"/>
      <c r="BHQ22" s="2950"/>
      <c r="BHR22" s="2950"/>
      <c r="BHS22" s="2950"/>
      <c r="BHT22" s="2950"/>
      <c r="BHU22" s="2950"/>
      <c r="BHV22" s="2950"/>
      <c r="BHW22" s="2950"/>
      <c r="BHX22" s="2950"/>
      <c r="BHY22" s="2950"/>
      <c r="BHZ22" s="2950"/>
      <c r="BIA22" s="2950"/>
      <c r="BIB22" s="2950"/>
      <c r="BIC22" s="2950"/>
      <c r="BID22" s="2950"/>
      <c r="BIE22" s="2950"/>
      <c r="BIF22" s="2950"/>
      <c r="BIG22" s="2950"/>
      <c r="BIH22" s="2950"/>
      <c r="BII22" s="2950"/>
      <c r="BIJ22" s="2950"/>
      <c r="BIK22" s="2950"/>
      <c r="BIL22" s="2950"/>
      <c r="BIM22" s="2950"/>
      <c r="BIN22" s="2950"/>
      <c r="BIO22" s="2950"/>
      <c r="BIP22" s="2950"/>
      <c r="BIQ22" s="2950"/>
      <c r="BIR22" s="2950"/>
      <c r="BIS22" s="2950"/>
      <c r="BIT22" s="2950"/>
      <c r="BIU22" s="2950"/>
      <c r="BIV22" s="2950"/>
      <c r="BIW22" s="2950"/>
      <c r="BIX22" s="2950"/>
      <c r="BIY22" s="2950"/>
      <c r="BIZ22" s="2950"/>
      <c r="BJA22" s="2950"/>
      <c r="BJB22" s="2950"/>
      <c r="BJC22" s="2950"/>
      <c r="BJD22" s="2950"/>
      <c r="BJE22" s="2950"/>
      <c r="BJF22" s="2950"/>
      <c r="BJG22" s="2950"/>
      <c r="BJH22" s="2950"/>
      <c r="BJI22" s="2950"/>
      <c r="BJJ22" s="2950"/>
      <c r="BJK22" s="2950"/>
      <c r="BJL22" s="2950"/>
      <c r="BJM22" s="2950"/>
      <c r="BJN22" s="2950"/>
      <c r="BJO22" s="2950"/>
      <c r="BJP22" s="2950"/>
      <c r="BJQ22" s="2950"/>
      <c r="BJR22" s="2950"/>
      <c r="BJS22" s="2950"/>
      <c r="BJT22" s="2950"/>
      <c r="BJU22" s="2950"/>
      <c r="BJV22" s="2950"/>
      <c r="BJW22" s="2950"/>
      <c r="BJX22" s="2950"/>
      <c r="BJY22" s="2950"/>
      <c r="BJZ22" s="2950"/>
      <c r="BKA22" s="2950"/>
      <c r="BKB22" s="2950"/>
      <c r="BKC22" s="2950"/>
      <c r="BKD22" s="2950"/>
      <c r="BKE22" s="2950"/>
      <c r="BKF22" s="2950"/>
      <c r="BKG22" s="2950"/>
      <c r="BKH22" s="2950"/>
      <c r="BKI22" s="2950"/>
      <c r="BKJ22" s="2950"/>
      <c r="BKK22" s="2950"/>
      <c r="BKL22" s="2950"/>
      <c r="BKM22" s="2950"/>
      <c r="BKN22" s="2950"/>
      <c r="BKO22" s="2950"/>
      <c r="BKP22" s="2950"/>
      <c r="BKQ22" s="2950"/>
      <c r="BKR22" s="2950"/>
      <c r="BKS22" s="2950"/>
      <c r="BKT22" s="2950"/>
      <c r="BKU22" s="2950"/>
      <c r="BKV22" s="2950"/>
      <c r="BKW22" s="2950"/>
      <c r="BKX22" s="2950"/>
      <c r="BKY22" s="2950"/>
      <c r="BKZ22" s="2950"/>
      <c r="BLA22" s="2950"/>
      <c r="BLB22" s="2950"/>
      <c r="BLC22" s="2950"/>
      <c r="BLD22" s="2950"/>
      <c r="BLE22" s="2950"/>
      <c r="BLF22" s="2950"/>
      <c r="BLG22" s="2950"/>
      <c r="BLH22" s="2950"/>
      <c r="BLI22" s="2950"/>
      <c r="BLJ22" s="2950"/>
      <c r="BLK22" s="2950"/>
      <c r="BLL22" s="2950"/>
      <c r="BLM22" s="2950"/>
      <c r="BLN22" s="2950"/>
      <c r="BLO22" s="2950"/>
      <c r="BLP22" s="2950"/>
      <c r="BLQ22" s="2950"/>
      <c r="BLR22" s="2950"/>
      <c r="BLS22" s="2950"/>
      <c r="BLT22" s="2950"/>
      <c r="BLU22" s="2950"/>
      <c r="BLV22" s="2950"/>
      <c r="BLW22" s="2950"/>
      <c r="BLX22" s="2950"/>
      <c r="BLY22" s="2950"/>
      <c r="BLZ22" s="2950"/>
      <c r="BMA22" s="2950"/>
      <c r="BMB22" s="2950"/>
      <c r="BMC22" s="2950"/>
      <c r="BMD22" s="2950"/>
      <c r="BME22" s="2950"/>
      <c r="BMF22" s="2950"/>
      <c r="BMG22" s="2950"/>
      <c r="BMH22" s="2950"/>
      <c r="BMI22" s="2950"/>
      <c r="BMJ22" s="2950"/>
      <c r="BMK22" s="2950"/>
      <c r="BML22" s="2950"/>
      <c r="BMM22" s="2950"/>
      <c r="BMN22" s="2950"/>
      <c r="BMO22" s="2950"/>
      <c r="BMP22" s="2950"/>
      <c r="BMQ22" s="2950"/>
      <c r="BMR22" s="2950"/>
      <c r="BMS22" s="2950"/>
      <c r="BMT22" s="2950"/>
      <c r="BMU22" s="2950"/>
      <c r="BMV22" s="2950"/>
      <c r="BMW22" s="2950"/>
      <c r="BMX22" s="2950"/>
      <c r="BMY22" s="2950"/>
      <c r="BMZ22" s="2950"/>
      <c r="BNA22" s="2950"/>
      <c r="BNB22" s="2950"/>
      <c r="BNC22" s="2950"/>
      <c r="BND22" s="2950"/>
      <c r="BNE22" s="2950"/>
      <c r="BNF22" s="2950"/>
      <c r="BNG22" s="2950"/>
      <c r="BNH22" s="2950"/>
      <c r="BNI22" s="2950"/>
      <c r="BNJ22" s="2950"/>
      <c r="BNK22" s="2950"/>
      <c r="BNL22" s="2950"/>
      <c r="BNM22" s="2950"/>
      <c r="BNN22" s="2950"/>
      <c r="BNO22" s="2950"/>
      <c r="BNP22" s="2950"/>
      <c r="BNQ22" s="2950"/>
      <c r="BNR22" s="2950"/>
      <c r="BNS22" s="2950"/>
      <c r="BNT22" s="2950"/>
      <c r="BNU22" s="2950"/>
      <c r="BNV22" s="2950"/>
      <c r="BNW22" s="2950"/>
      <c r="BNX22" s="2950"/>
      <c r="BNY22" s="2950"/>
      <c r="BNZ22" s="2950"/>
      <c r="BOA22" s="2950"/>
      <c r="BOB22" s="2950"/>
      <c r="BOC22" s="2950"/>
      <c r="BOD22" s="2950"/>
      <c r="BOE22" s="2950"/>
      <c r="BOF22" s="2950"/>
      <c r="BOG22" s="2950"/>
      <c r="BOH22" s="2950"/>
      <c r="BOI22" s="2950"/>
      <c r="BOJ22" s="2950"/>
      <c r="BOK22" s="2950"/>
      <c r="BOL22" s="2950"/>
      <c r="BOM22" s="2950"/>
      <c r="BON22" s="2950"/>
      <c r="BOO22" s="2950"/>
      <c r="BOP22" s="2950"/>
      <c r="BOQ22" s="2950"/>
      <c r="BOR22" s="2950"/>
      <c r="BOS22" s="2950"/>
      <c r="BOT22" s="2950"/>
      <c r="BOU22" s="2950"/>
      <c r="BOV22" s="2950"/>
      <c r="BOW22" s="2950"/>
      <c r="BOX22" s="2950"/>
      <c r="BOY22" s="2950"/>
      <c r="BOZ22" s="2950"/>
      <c r="BPA22" s="2950"/>
      <c r="BPB22" s="2950"/>
      <c r="BPC22" s="2950"/>
      <c r="BPD22" s="2950"/>
      <c r="BPE22" s="2950"/>
      <c r="BPF22" s="2950"/>
      <c r="BPG22" s="2950"/>
      <c r="BPH22" s="2950"/>
      <c r="BPI22" s="2950"/>
      <c r="BPJ22" s="2950"/>
      <c r="BPK22" s="2950"/>
      <c r="BPL22" s="2950"/>
      <c r="BPM22" s="2950"/>
      <c r="BPN22" s="2950"/>
      <c r="BPO22" s="2950"/>
      <c r="BPP22" s="2950"/>
      <c r="BPQ22" s="2950"/>
      <c r="BPR22" s="2950"/>
      <c r="BPS22" s="2950"/>
      <c r="BPT22" s="2950"/>
      <c r="BPU22" s="2950"/>
      <c r="BPV22" s="2950"/>
      <c r="BPW22" s="2950"/>
      <c r="BPX22" s="2950"/>
      <c r="BPY22" s="2950"/>
      <c r="BPZ22" s="2950"/>
      <c r="BQA22" s="2950"/>
      <c r="BQB22" s="2950"/>
      <c r="BQC22" s="2950"/>
      <c r="BQD22" s="2950"/>
      <c r="BQE22" s="2950"/>
      <c r="BQF22" s="2950"/>
      <c r="BQG22" s="2950"/>
      <c r="BQH22" s="2950"/>
      <c r="BQI22" s="2950"/>
      <c r="BQJ22" s="2950"/>
      <c r="BQK22" s="2950"/>
      <c r="BQL22" s="2950"/>
      <c r="BQM22" s="2950"/>
      <c r="BQN22" s="2950"/>
      <c r="BQO22" s="2950"/>
      <c r="BQP22" s="2950"/>
      <c r="BQQ22" s="2950"/>
      <c r="BQR22" s="2950"/>
      <c r="BQS22" s="2950"/>
      <c r="BQT22" s="2950"/>
      <c r="BQU22" s="2950"/>
      <c r="BQV22" s="2950"/>
      <c r="BQW22" s="2950"/>
      <c r="BQX22" s="2950"/>
      <c r="BQY22" s="2950"/>
      <c r="BQZ22" s="2950"/>
      <c r="BRA22" s="2950"/>
      <c r="BRB22" s="2950"/>
      <c r="BRC22" s="2950"/>
      <c r="BRD22" s="2950"/>
      <c r="BRE22" s="2950"/>
      <c r="BRF22" s="2950"/>
      <c r="BRG22" s="2950"/>
      <c r="BRH22" s="2950"/>
      <c r="BRI22" s="2950"/>
      <c r="BRJ22" s="2950"/>
      <c r="BRK22" s="2950"/>
      <c r="BRL22" s="2950"/>
      <c r="BRM22" s="2950"/>
      <c r="BRN22" s="2950"/>
      <c r="BRO22" s="2950"/>
      <c r="BRP22" s="2950"/>
      <c r="BRQ22" s="2950"/>
      <c r="BRR22" s="2950"/>
      <c r="BRS22" s="2950"/>
      <c r="BRT22" s="2950"/>
      <c r="BRU22" s="2950"/>
      <c r="BRV22" s="2950"/>
      <c r="BRW22" s="2950"/>
      <c r="BRX22" s="2950"/>
      <c r="BRY22" s="2950"/>
      <c r="BRZ22" s="2950"/>
      <c r="BSA22" s="2950"/>
      <c r="BSB22" s="2950"/>
      <c r="BSC22" s="2950"/>
      <c r="BSD22" s="2950"/>
      <c r="BSE22" s="2950"/>
      <c r="BSF22" s="2950"/>
      <c r="BSG22" s="2950"/>
      <c r="BSH22" s="2950"/>
      <c r="BSI22" s="2950"/>
      <c r="BSJ22" s="2950"/>
      <c r="BSK22" s="2950"/>
      <c r="BSL22" s="2950"/>
      <c r="BSM22" s="2950"/>
      <c r="BSN22" s="2950"/>
      <c r="BSO22" s="2950"/>
      <c r="BSP22" s="2950"/>
      <c r="BSQ22" s="2950"/>
      <c r="BSR22" s="2950"/>
      <c r="BSS22" s="2950"/>
      <c r="BST22" s="2950"/>
      <c r="BSU22" s="2950"/>
      <c r="BSV22" s="2950"/>
      <c r="BSW22" s="2950"/>
      <c r="BSX22" s="2950"/>
      <c r="BSY22" s="2950"/>
      <c r="BSZ22" s="2950"/>
      <c r="BTA22" s="2950"/>
      <c r="BTB22" s="2950"/>
      <c r="BTC22" s="2950"/>
      <c r="BTD22" s="2950"/>
      <c r="BTE22" s="2950"/>
      <c r="BTF22" s="2950"/>
      <c r="BTG22" s="2950"/>
      <c r="BTH22" s="2950"/>
      <c r="BTI22" s="2950"/>
      <c r="BTJ22" s="2950"/>
      <c r="BTK22" s="2950"/>
      <c r="BTL22" s="2950"/>
      <c r="BTM22" s="2950"/>
      <c r="BTN22" s="2950"/>
      <c r="BTO22" s="2950"/>
      <c r="BTP22" s="2950"/>
      <c r="BTQ22" s="2950"/>
      <c r="BTR22" s="2950"/>
      <c r="BTS22" s="2950"/>
      <c r="BTT22" s="2950"/>
      <c r="BTU22" s="2950"/>
      <c r="BTV22" s="2950"/>
      <c r="BTW22" s="2950"/>
      <c r="BTX22" s="2950"/>
      <c r="BTY22" s="2950"/>
      <c r="BTZ22" s="2950"/>
      <c r="BUA22" s="2950"/>
      <c r="BUB22" s="2950"/>
      <c r="BUC22" s="2950"/>
      <c r="BUD22" s="2950"/>
      <c r="BUE22" s="2950"/>
      <c r="BUF22" s="2950"/>
      <c r="BUG22" s="2950"/>
      <c r="BUH22" s="2950"/>
      <c r="BUI22" s="2950"/>
      <c r="BUJ22" s="2950"/>
      <c r="BUK22" s="2950"/>
      <c r="BUL22" s="2950"/>
      <c r="BUM22" s="2950"/>
      <c r="BUN22" s="2950"/>
      <c r="BUO22" s="2950"/>
      <c r="BUP22" s="2950"/>
      <c r="BUQ22" s="2950"/>
      <c r="BUR22" s="2950"/>
      <c r="BUS22" s="2950"/>
      <c r="BUT22" s="2950"/>
      <c r="BUU22" s="2950"/>
      <c r="BUV22" s="2950"/>
      <c r="BUW22" s="2950"/>
      <c r="BUX22" s="2950"/>
      <c r="BUY22" s="2950"/>
      <c r="BUZ22" s="2950"/>
      <c r="BVA22" s="2950"/>
      <c r="BVB22" s="2950"/>
      <c r="BVC22" s="2950"/>
      <c r="BVD22" s="2950"/>
      <c r="BVE22" s="2950"/>
      <c r="BVF22" s="2950"/>
      <c r="BVG22" s="2950"/>
      <c r="BVH22" s="2950"/>
      <c r="BVI22" s="2950"/>
      <c r="BVJ22" s="2950"/>
      <c r="BVK22" s="2950"/>
      <c r="BVL22" s="2950"/>
      <c r="BVM22" s="2950"/>
      <c r="BVN22" s="2950"/>
      <c r="BVO22" s="2950"/>
      <c r="BVP22" s="2950"/>
      <c r="BVQ22" s="2950"/>
      <c r="BVR22" s="2950"/>
      <c r="BVS22" s="2950"/>
      <c r="BVT22" s="2950"/>
      <c r="BVU22" s="2950"/>
      <c r="BVV22" s="2950"/>
      <c r="BVW22" s="2950"/>
      <c r="BVX22" s="2950"/>
      <c r="BVY22" s="2950"/>
      <c r="BVZ22" s="2950"/>
      <c r="BWA22" s="2950"/>
      <c r="BWB22" s="2950"/>
      <c r="BWC22" s="2950"/>
      <c r="BWD22" s="2950"/>
      <c r="BWE22" s="2950"/>
      <c r="BWF22" s="2950"/>
      <c r="BWG22" s="2950"/>
      <c r="BWH22" s="2950"/>
      <c r="BWI22" s="2950"/>
      <c r="BWJ22" s="2950"/>
      <c r="BWK22" s="2950"/>
      <c r="BWL22" s="2950"/>
      <c r="BWM22" s="2950"/>
      <c r="BWN22" s="2950"/>
      <c r="BWO22" s="2950"/>
      <c r="BWP22" s="2950"/>
      <c r="BWQ22" s="2950"/>
      <c r="BWR22" s="2950"/>
      <c r="BWS22" s="2950"/>
      <c r="BWT22" s="2950"/>
      <c r="BWU22" s="2950"/>
      <c r="BWV22" s="2950"/>
      <c r="BWW22" s="2950"/>
      <c r="BWX22" s="2950"/>
      <c r="BWY22" s="2950"/>
      <c r="BWZ22" s="2950"/>
      <c r="BXA22" s="2950"/>
      <c r="BXB22" s="2950"/>
      <c r="BXC22" s="2950"/>
      <c r="BXD22" s="2950"/>
      <c r="BXE22" s="2950"/>
      <c r="BXF22" s="2950"/>
      <c r="BXG22" s="2950"/>
      <c r="BXH22" s="2950"/>
      <c r="BXI22" s="2950"/>
      <c r="BXJ22" s="2950"/>
      <c r="BXK22" s="2950"/>
      <c r="BXL22" s="2950"/>
      <c r="BXM22" s="2950"/>
      <c r="BXN22" s="2950"/>
      <c r="BXO22" s="2950"/>
      <c r="BXP22" s="2950"/>
      <c r="BXQ22" s="2950"/>
      <c r="BXR22" s="2950"/>
      <c r="BXS22" s="2950"/>
      <c r="BXT22" s="2950"/>
      <c r="BXU22" s="2950"/>
      <c r="BXV22" s="2950"/>
      <c r="BXW22" s="2950"/>
      <c r="BXX22" s="2950"/>
      <c r="BXY22" s="2950"/>
      <c r="BXZ22" s="2950"/>
      <c r="BYA22" s="2950"/>
      <c r="BYB22" s="2950"/>
      <c r="BYC22" s="2950"/>
      <c r="BYD22" s="2950"/>
      <c r="BYE22" s="2950"/>
      <c r="BYF22" s="2950"/>
      <c r="BYG22" s="2950"/>
      <c r="BYH22" s="2950"/>
      <c r="BYI22" s="2950"/>
      <c r="BYJ22" s="2950"/>
      <c r="BYK22" s="2950"/>
      <c r="BYL22" s="2950"/>
      <c r="BYM22" s="2950"/>
      <c r="BYN22" s="2950"/>
      <c r="BYO22" s="2950"/>
      <c r="BYP22" s="2950"/>
      <c r="BYQ22" s="2950"/>
      <c r="BYR22" s="2950"/>
      <c r="BYS22" s="2950"/>
      <c r="BYT22" s="2950"/>
      <c r="BYU22" s="2950"/>
      <c r="BYV22" s="2950"/>
      <c r="BYW22" s="2950"/>
      <c r="BYX22" s="2950"/>
      <c r="BYY22" s="2950"/>
      <c r="BYZ22" s="2950"/>
      <c r="BZA22" s="2950"/>
      <c r="BZB22" s="2950"/>
      <c r="BZC22" s="2950"/>
      <c r="BZD22" s="2950"/>
      <c r="BZE22" s="2950"/>
      <c r="BZF22" s="2950"/>
      <c r="BZG22" s="2950"/>
      <c r="BZH22" s="2950"/>
      <c r="BZI22" s="2950"/>
      <c r="BZJ22" s="2950"/>
      <c r="BZK22" s="2950"/>
      <c r="BZL22" s="2950"/>
      <c r="BZM22" s="2950"/>
      <c r="BZN22" s="2950"/>
      <c r="BZO22" s="2950"/>
      <c r="BZP22" s="2950"/>
      <c r="BZQ22" s="2950"/>
      <c r="BZR22" s="2950"/>
      <c r="BZS22" s="2950"/>
      <c r="BZT22" s="2950"/>
      <c r="BZU22" s="2950"/>
      <c r="BZV22" s="2950"/>
      <c r="BZW22" s="2950"/>
      <c r="BZX22" s="2950"/>
      <c r="BZY22" s="2950"/>
      <c r="BZZ22" s="2950"/>
      <c r="CAA22" s="2950"/>
      <c r="CAB22" s="2950"/>
      <c r="CAC22" s="2950"/>
      <c r="CAD22" s="2950"/>
      <c r="CAE22" s="2950"/>
      <c r="CAF22" s="2950"/>
      <c r="CAG22" s="2950"/>
      <c r="CAH22" s="2950"/>
      <c r="CAI22" s="2950"/>
      <c r="CAJ22" s="2950"/>
      <c r="CAK22" s="2950"/>
      <c r="CAL22" s="2950"/>
      <c r="CAM22" s="2950"/>
      <c r="CAN22" s="2950"/>
      <c r="CAO22" s="2950"/>
      <c r="CAP22" s="2950"/>
      <c r="CAQ22" s="2950"/>
      <c r="CAR22" s="2950"/>
      <c r="CAS22" s="2950"/>
      <c r="CAT22" s="2950"/>
      <c r="CAU22" s="2950"/>
      <c r="CAV22" s="2950"/>
      <c r="CAW22" s="2950"/>
      <c r="CAX22" s="2950"/>
      <c r="CAY22" s="2950"/>
      <c r="CAZ22" s="2950"/>
      <c r="CBA22" s="2950"/>
      <c r="CBB22" s="2950"/>
      <c r="CBC22" s="2950"/>
      <c r="CBD22" s="2950"/>
      <c r="CBE22" s="2950"/>
      <c r="CBF22" s="2950"/>
      <c r="CBG22" s="2950"/>
      <c r="CBH22" s="2950"/>
      <c r="CBI22" s="2950"/>
      <c r="CBJ22" s="2950"/>
      <c r="CBK22" s="2950"/>
      <c r="CBL22" s="2950"/>
      <c r="CBM22" s="2950"/>
      <c r="CBN22" s="2950"/>
      <c r="CBO22" s="2950"/>
      <c r="CBP22" s="2950"/>
      <c r="CBQ22" s="2950"/>
      <c r="CBR22" s="2950"/>
      <c r="CBS22" s="2950"/>
      <c r="CBT22" s="2950"/>
      <c r="CBU22" s="2950"/>
      <c r="CBV22" s="2950"/>
      <c r="CBW22" s="2950"/>
      <c r="CBX22" s="2950"/>
      <c r="CBY22" s="2950"/>
      <c r="CBZ22" s="2950"/>
      <c r="CCA22" s="2950"/>
      <c r="CCB22" s="2950"/>
      <c r="CCC22" s="2950"/>
      <c r="CCD22" s="2950"/>
      <c r="CCE22" s="2950"/>
      <c r="CCF22" s="2950"/>
      <c r="CCG22" s="2950"/>
      <c r="CCH22" s="2950"/>
      <c r="CCI22" s="2950"/>
      <c r="CCJ22" s="2950"/>
      <c r="CCK22" s="2950"/>
      <c r="CCL22" s="2950"/>
      <c r="CCM22" s="2950"/>
      <c r="CCN22" s="2950"/>
      <c r="CCO22" s="2950"/>
      <c r="CCP22" s="2950"/>
      <c r="CCQ22" s="2950"/>
      <c r="CCR22" s="2950"/>
      <c r="CCS22" s="2950"/>
      <c r="CCT22" s="2950"/>
      <c r="CCU22" s="2950"/>
      <c r="CCV22" s="2950"/>
      <c r="CCW22" s="2950"/>
      <c r="CCX22" s="2950"/>
      <c r="CCY22" s="2950"/>
      <c r="CCZ22" s="2950"/>
      <c r="CDA22" s="2950"/>
      <c r="CDB22" s="2950"/>
      <c r="CDC22" s="2950"/>
      <c r="CDD22" s="2950"/>
      <c r="CDE22" s="2950"/>
      <c r="CDF22" s="2950"/>
      <c r="CDG22" s="2950"/>
      <c r="CDH22" s="2950"/>
      <c r="CDI22" s="2950"/>
      <c r="CDJ22" s="2950"/>
      <c r="CDK22" s="2950"/>
      <c r="CDL22" s="2950"/>
      <c r="CDM22" s="2950"/>
      <c r="CDN22" s="2950"/>
      <c r="CDO22" s="2950"/>
      <c r="CDP22" s="2950"/>
      <c r="CDQ22" s="2950"/>
      <c r="CDR22" s="2950"/>
      <c r="CDS22" s="2950"/>
      <c r="CDT22" s="2950"/>
      <c r="CDU22" s="2950"/>
      <c r="CDV22" s="2950"/>
      <c r="CDW22" s="2950"/>
      <c r="CDX22" s="2950"/>
      <c r="CDY22" s="2950"/>
      <c r="CDZ22" s="2950"/>
      <c r="CEA22" s="2950"/>
      <c r="CEB22" s="2950"/>
      <c r="CEC22" s="2950"/>
      <c r="CED22" s="2950"/>
      <c r="CEE22" s="2950"/>
      <c r="CEF22" s="2950"/>
      <c r="CEG22" s="2950"/>
      <c r="CEH22" s="2950"/>
      <c r="CEI22" s="2950"/>
      <c r="CEJ22" s="2950"/>
      <c r="CEK22" s="2950"/>
      <c r="CEL22" s="2950"/>
      <c r="CEM22" s="2950"/>
      <c r="CEN22" s="2950"/>
      <c r="CEO22" s="2950"/>
      <c r="CEP22" s="2950"/>
      <c r="CEQ22" s="2950"/>
      <c r="CER22" s="2950"/>
      <c r="CES22" s="2950"/>
      <c r="CET22" s="2950"/>
      <c r="CEU22" s="2950"/>
      <c r="CEV22" s="2950"/>
      <c r="CEW22" s="2950"/>
      <c r="CEX22" s="2950"/>
      <c r="CEY22" s="2950"/>
      <c r="CEZ22" s="2950"/>
      <c r="CFA22" s="2950"/>
      <c r="CFB22" s="2950"/>
      <c r="CFC22" s="2950"/>
      <c r="CFD22" s="2950"/>
      <c r="CFE22" s="2950"/>
      <c r="CFF22" s="2950"/>
      <c r="CFG22" s="2950"/>
      <c r="CFH22" s="2950"/>
      <c r="CFI22" s="2950"/>
      <c r="CFJ22" s="2950"/>
      <c r="CFK22" s="2950"/>
      <c r="CFL22" s="2950"/>
      <c r="CFM22" s="2950"/>
      <c r="CFN22" s="2950"/>
      <c r="CFO22" s="2950"/>
      <c r="CFP22" s="2950"/>
      <c r="CFQ22" s="2950"/>
      <c r="CFR22" s="2950"/>
      <c r="CFS22" s="2950"/>
      <c r="CFT22" s="2950"/>
      <c r="CFU22" s="2950"/>
      <c r="CFV22" s="2950"/>
      <c r="CFW22" s="2950"/>
      <c r="CFX22" s="2950"/>
      <c r="CFY22" s="2950"/>
      <c r="CFZ22" s="2950"/>
      <c r="CGA22" s="2950"/>
      <c r="CGB22" s="2950"/>
      <c r="CGC22" s="2950"/>
      <c r="CGD22" s="2950"/>
      <c r="CGE22" s="2950"/>
      <c r="CGF22" s="2950"/>
      <c r="CGG22" s="2950"/>
      <c r="CGH22" s="2950"/>
      <c r="CGI22" s="2950"/>
      <c r="CGJ22" s="2950"/>
      <c r="CGK22" s="2950"/>
      <c r="CGL22" s="2950"/>
      <c r="CGM22" s="2950"/>
      <c r="CGN22" s="2950"/>
      <c r="CGO22" s="2950"/>
      <c r="CGP22" s="2950"/>
      <c r="CGQ22" s="2950"/>
      <c r="CGR22" s="2950"/>
      <c r="CGS22" s="2950"/>
      <c r="CGT22" s="2950"/>
      <c r="CGU22" s="2950"/>
      <c r="CGV22" s="2950"/>
      <c r="CGW22" s="2950"/>
      <c r="CGX22" s="2950"/>
      <c r="CGY22" s="2950"/>
      <c r="CGZ22" s="2950"/>
      <c r="CHA22" s="2950"/>
      <c r="CHB22" s="2950"/>
      <c r="CHC22" s="2950"/>
      <c r="CHD22" s="2950"/>
      <c r="CHE22" s="2950"/>
      <c r="CHF22" s="2950"/>
      <c r="CHG22" s="2950"/>
      <c r="CHH22" s="2950"/>
      <c r="CHI22" s="2950"/>
      <c r="CHJ22" s="2950"/>
      <c r="CHK22" s="2950"/>
      <c r="CHL22" s="2950"/>
      <c r="CHM22" s="2950"/>
      <c r="CHN22" s="2950"/>
      <c r="CHO22" s="2950"/>
      <c r="CHP22" s="2950"/>
      <c r="CHQ22" s="2950"/>
      <c r="CHR22" s="2950"/>
      <c r="CHS22" s="2950"/>
      <c r="CHT22" s="2950"/>
      <c r="CHU22" s="2950"/>
      <c r="CHV22" s="2950"/>
      <c r="CHW22" s="2950"/>
      <c r="CHX22" s="2950"/>
      <c r="CHY22" s="2950"/>
      <c r="CHZ22" s="2950"/>
      <c r="CIA22" s="2950"/>
      <c r="CIB22" s="2950"/>
      <c r="CIC22" s="2950"/>
      <c r="CID22" s="2950"/>
      <c r="CIE22" s="2950"/>
      <c r="CIF22" s="2950"/>
      <c r="CIG22" s="2950"/>
      <c r="CIH22" s="2950"/>
      <c r="CII22" s="2950"/>
      <c r="CIJ22" s="2950"/>
      <c r="CIK22" s="2950"/>
      <c r="CIL22" s="2950"/>
      <c r="CIM22" s="2950"/>
      <c r="CIN22" s="2950"/>
      <c r="CIO22" s="2950"/>
      <c r="CIP22" s="2950"/>
      <c r="CIQ22" s="2950"/>
      <c r="CIR22" s="2950"/>
      <c r="CIS22" s="2950"/>
      <c r="CIT22" s="2950"/>
      <c r="CIU22" s="2950"/>
      <c r="CIV22" s="2950"/>
      <c r="CIW22" s="2950"/>
      <c r="CIX22" s="2950"/>
      <c r="CIY22" s="2950"/>
      <c r="CIZ22" s="2950"/>
      <c r="CJA22" s="2950"/>
      <c r="CJB22" s="2950"/>
      <c r="CJC22" s="2950"/>
      <c r="CJD22" s="2950"/>
      <c r="CJE22" s="2950"/>
      <c r="CJF22" s="2950"/>
      <c r="CJG22" s="2950"/>
      <c r="CJH22" s="2950"/>
      <c r="CJI22" s="2950"/>
      <c r="CJJ22" s="2950"/>
      <c r="CJK22" s="2950"/>
      <c r="CJL22" s="2950"/>
      <c r="CJM22" s="2950"/>
      <c r="CJN22" s="2950"/>
      <c r="CJO22" s="2950"/>
      <c r="CJP22" s="2950"/>
      <c r="CJQ22" s="2950"/>
      <c r="CJR22" s="2950"/>
      <c r="CJS22" s="2950"/>
      <c r="CJT22" s="2950"/>
      <c r="CJU22" s="2950"/>
      <c r="CJV22" s="2950"/>
      <c r="CJW22" s="2950"/>
      <c r="CJX22" s="2950"/>
      <c r="CJY22" s="2950"/>
      <c r="CJZ22" s="2950"/>
      <c r="CKA22" s="2950"/>
      <c r="CKB22" s="2950"/>
      <c r="CKC22" s="2950"/>
      <c r="CKD22" s="2950"/>
      <c r="CKE22" s="2950"/>
      <c r="CKF22" s="2950"/>
      <c r="CKG22" s="2950"/>
      <c r="CKH22" s="2950"/>
      <c r="CKI22" s="2950"/>
      <c r="CKJ22" s="2950"/>
      <c r="CKK22" s="2950"/>
      <c r="CKL22" s="2950"/>
      <c r="CKM22" s="2950"/>
      <c r="CKN22" s="2950"/>
      <c r="CKO22" s="2950"/>
      <c r="CKP22" s="2950"/>
      <c r="CKQ22" s="2950"/>
      <c r="CKR22" s="2950"/>
      <c r="CKS22" s="2950"/>
      <c r="CKT22" s="2950"/>
      <c r="CKU22" s="2950"/>
      <c r="CKV22" s="2950"/>
      <c r="CKW22" s="2950"/>
      <c r="CKX22" s="2950"/>
      <c r="CKY22" s="2950"/>
      <c r="CKZ22" s="2950"/>
      <c r="CLA22" s="2950"/>
      <c r="CLB22" s="2950"/>
      <c r="CLC22" s="2950"/>
      <c r="CLD22" s="2950"/>
      <c r="CLE22" s="2950"/>
      <c r="CLF22" s="2950"/>
      <c r="CLG22" s="2950"/>
      <c r="CLH22" s="2950"/>
      <c r="CLI22" s="2950"/>
      <c r="CLJ22" s="2950"/>
      <c r="CLK22" s="2950"/>
      <c r="CLL22" s="2950"/>
      <c r="CLM22" s="2950"/>
      <c r="CLN22" s="2950"/>
      <c r="CLO22" s="2950"/>
      <c r="CLP22" s="2950"/>
      <c r="CLQ22" s="2950"/>
      <c r="CLR22" s="2950"/>
      <c r="CLS22" s="2950"/>
      <c r="CLT22" s="2950"/>
      <c r="CLU22" s="2950"/>
      <c r="CLV22" s="2950"/>
      <c r="CLW22" s="2950"/>
      <c r="CLX22" s="2950"/>
      <c r="CLY22" s="2950"/>
      <c r="CLZ22" s="2950"/>
      <c r="CMA22" s="2950"/>
      <c r="CMB22" s="2950"/>
      <c r="CMC22" s="2950"/>
      <c r="CMD22" s="2950"/>
      <c r="CME22" s="2950"/>
      <c r="CMF22" s="2950"/>
      <c r="CMG22" s="2950"/>
      <c r="CMH22" s="2950"/>
      <c r="CMI22" s="2950"/>
      <c r="CMJ22" s="2950"/>
      <c r="CMK22" s="2950"/>
      <c r="CML22" s="2950"/>
      <c r="CMM22" s="2950"/>
      <c r="CMN22" s="2950"/>
      <c r="CMO22" s="2950"/>
      <c r="CMP22" s="2950"/>
      <c r="CMQ22" s="2950"/>
      <c r="CMR22" s="2950"/>
      <c r="CMS22" s="2950"/>
      <c r="CMT22" s="2950"/>
      <c r="CMU22" s="2950"/>
      <c r="CMV22" s="2950"/>
      <c r="CMW22" s="2950"/>
      <c r="CMX22" s="2950"/>
      <c r="CMY22" s="2950"/>
      <c r="CMZ22" s="2950"/>
      <c r="CNA22" s="2950"/>
      <c r="CNB22" s="2950"/>
      <c r="CNC22" s="2950"/>
      <c r="CND22" s="2950"/>
      <c r="CNE22" s="2950"/>
      <c r="CNF22" s="2950"/>
      <c r="CNG22" s="2950"/>
      <c r="CNH22" s="2950"/>
      <c r="CNI22" s="2950"/>
      <c r="CNJ22" s="2950"/>
      <c r="CNK22" s="2950"/>
      <c r="CNL22" s="2950"/>
      <c r="CNM22" s="2950"/>
      <c r="CNN22" s="2950"/>
      <c r="CNO22" s="2950"/>
      <c r="CNP22" s="2950"/>
      <c r="CNQ22" s="2950"/>
      <c r="CNR22" s="2950"/>
      <c r="CNS22" s="2950"/>
      <c r="CNT22" s="2950"/>
      <c r="CNU22" s="2950"/>
      <c r="CNV22" s="2950"/>
      <c r="CNW22" s="2950"/>
      <c r="CNX22" s="2950"/>
      <c r="CNY22" s="2950"/>
      <c r="CNZ22" s="2950"/>
      <c r="COA22" s="2950"/>
      <c r="COB22" s="2950"/>
      <c r="COC22" s="2950"/>
      <c r="COD22" s="2950"/>
      <c r="COE22" s="2950"/>
      <c r="COF22" s="2950"/>
      <c r="COG22" s="2950"/>
      <c r="COH22" s="2950"/>
      <c r="COI22" s="2950"/>
      <c r="COJ22" s="2950"/>
      <c r="COK22" s="2950"/>
      <c r="COL22" s="2950"/>
      <c r="COM22" s="2950"/>
      <c r="CON22" s="2950"/>
      <c r="COO22" s="2950"/>
      <c r="COP22" s="2950"/>
      <c r="COQ22" s="2950"/>
      <c r="COR22" s="2950"/>
      <c r="COS22" s="2950"/>
      <c r="COT22" s="2950"/>
      <c r="COU22" s="2950"/>
      <c r="COV22" s="2950"/>
      <c r="COW22" s="2950"/>
      <c r="COX22" s="2950"/>
      <c r="COY22" s="2950"/>
      <c r="COZ22" s="2950"/>
      <c r="CPA22" s="2950"/>
      <c r="CPB22" s="2950"/>
      <c r="CPC22" s="2950"/>
      <c r="CPD22" s="2950"/>
      <c r="CPE22" s="2950"/>
      <c r="CPF22" s="2950"/>
      <c r="CPG22" s="2950"/>
      <c r="CPH22" s="2950"/>
      <c r="CPI22" s="2950"/>
      <c r="CPJ22" s="2950"/>
      <c r="CPK22" s="2950"/>
      <c r="CPL22" s="2950"/>
      <c r="CPM22" s="2950"/>
      <c r="CPN22" s="2950"/>
      <c r="CPO22" s="2950"/>
      <c r="CPP22" s="2950"/>
      <c r="CPQ22" s="2950"/>
      <c r="CPR22" s="2950"/>
      <c r="CPS22" s="2950"/>
      <c r="CPT22" s="2950"/>
      <c r="CPU22" s="2950"/>
      <c r="CPV22" s="2950"/>
      <c r="CPW22" s="2950"/>
      <c r="CPX22" s="2950"/>
      <c r="CPY22" s="2950"/>
      <c r="CPZ22" s="2950"/>
      <c r="CQA22" s="2950"/>
      <c r="CQB22" s="2950"/>
      <c r="CQC22" s="2950"/>
      <c r="CQD22" s="2950"/>
      <c r="CQE22" s="2950"/>
      <c r="CQF22" s="2950"/>
      <c r="CQG22" s="2950"/>
      <c r="CQH22" s="2950"/>
      <c r="CQI22" s="2950"/>
      <c r="CQJ22" s="2950"/>
      <c r="CQK22" s="2950"/>
      <c r="CQL22" s="2950"/>
      <c r="CQM22" s="2950"/>
      <c r="CQN22" s="2950"/>
      <c r="CQO22" s="2950"/>
      <c r="CQP22" s="2950"/>
      <c r="CQQ22" s="2950"/>
      <c r="CQR22" s="2950"/>
      <c r="CQS22" s="2950"/>
      <c r="CQT22" s="2950"/>
      <c r="CQU22" s="2950"/>
      <c r="CQV22" s="2950"/>
      <c r="CQW22" s="2950"/>
      <c r="CQX22" s="2950"/>
      <c r="CQY22" s="2950"/>
      <c r="CQZ22" s="2950"/>
      <c r="CRA22" s="2950"/>
      <c r="CRB22" s="2950"/>
      <c r="CRC22" s="2950"/>
      <c r="CRD22" s="2950"/>
      <c r="CRE22" s="2950"/>
      <c r="CRF22" s="2950"/>
      <c r="CRG22" s="2950"/>
      <c r="CRH22" s="2950"/>
      <c r="CRI22" s="2950"/>
      <c r="CRJ22" s="2950"/>
      <c r="CRK22" s="2950"/>
      <c r="CRL22" s="2950"/>
      <c r="CRM22" s="2950"/>
      <c r="CRN22" s="2950"/>
      <c r="CRO22" s="2950"/>
      <c r="CRP22" s="2950"/>
      <c r="CRQ22" s="2950"/>
      <c r="CRR22" s="2950"/>
      <c r="CRS22" s="2950"/>
      <c r="CRT22" s="2950"/>
      <c r="CRU22" s="2950"/>
      <c r="CRV22" s="2950"/>
      <c r="CRW22" s="2950"/>
      <c r="CRX22" s="2950"/>
      <c r="CRY22" s="2950"/>
      <c r="CRZ22" s="2950"/>
      <c r="CSA22" s="2950"/>
      <c r="CSB22" s="2950"/>
      <c r="CSC22" s="2950"/>
      <c r="CSD22" s="2950"/>
      <c r="CSE22" s="2950"/>
      <c r="CSF22" s="2950"/>
      <c r="CSG22" s="2950"/>
      <c r="CSH22" s="2950"/>
      <c r="CSI22" s="2950"/>
      <c r="CSJ22" s="2950"/>
      <c r="CSK22" s="2950"/>
      <c r="CSL22" s="2950"/>
      <c r="CSM22" s="2950"/>
      <c r="CSN22" s="2950"/>
      <c r="CSO22" s="2950"/>
      <c r="CSP22" s="2950"/>
      <c r="CSQ22" s="2950"/>
      <c r="CSR22" s="2950"/>
      <c r="CSS22" s="2950"/>
      <c r="CST22" s="2950"/>
      <c r="CSU22" s="2950"/>
      <c r="CSV22" s="2950"/>
      <c r="CSW22" s="2950"/>
      <c r="CSX22" s="2950"/>
      <c r="CSY22" s="2950"/>
      <c r="CSZ22" s="2950"/>
      <c r="CTA22" s="2950"/>
      <c r="CTB22" s="2950"/>
      <c r="CTC22" s="2950"/>
      <c r="CTD22" s="2950"/>
      <c r="CTE22" s="2950"/>
      <c r="CTF22" s="2950"/>
      <c r="CTG22" s="2950"/>
      <c r="CTH22" s="2950"/>
      <c r="CTI22" s="2950"/>
      <c r="CTJ22" s="2950"/>
      <c r="CTK22" s="2950"/>
      <c r="CTL22" s="2950"/>
      <c r="CTM22" s="2950"/>
      <c r="CTN22" s="2950"/>
      <c r="CTO22" s="2950"/>
      <c r="CTP22" s="2950"/>
      <c r="CTQ22" s="2950"/>
      <c r="CTR22" s="2950"/>
      <c r="CTS22" s="2950"/>
      <c r="CTT22" s="2950"/>
      <c r="CTU22" s="2950"/>
      <c r="CTV22" s="2950"/>
      <c r="CTW22" s="2950"/>
      <c r="CTX22" s="2950"/>
      <c r="CTY22" s="2950"/>
      <c r="CTZ22" s="2950"/>
      <c r="CUA22" s="2950"/>
      <c r="CUB22" s="2950"/>
      <c r="CUC22" s="2950"/>
      <c r="CUD22" s="2950"/>
      <c r="CUE22" s="2950"/>
      <c r="CUF22" s="2950"/>
      <c r="CUG22" s="2950"/>
      <c r="CUH22" s="2950"/>
      <c r="CUI22" s="2950"/>
      <c r="CUJ22" s="2950"/>
      <c r="CUK22" s="2950"/>
      <c r="CUL22" s="2950"/>
      <c r="CUM22" s="2950"/>
      <c r="CUN22" s="2950"/>
      <c r="CUO22" s="2950"/>
      <c r="CUP22" s="2950"/>
      <c r="CUQ22" s="2950"/>
      <c r="CUR22" s="2950"/>
      <c r="CUS22" s="2950"/>
      <c r="CUT22" s="2950"/>
      <c r="CUU22" s="2950"/>
      <c r="CUV22" s="2950"/>
      <c r="CUW22" s="2950"/>
      <c r="CUX22" s="2950"/>
      <c r="CUY22" s="2950"/>
      <c r="CUZ22" s="2950"/>
      <c r="CVA22" s="2950"/>
      <c r="CVB22" s="2950"/>
      <c r="CVC22" s="2950"/>
      <c r="CVD22" s="2950"/>
      <c r="CVE22" s="2950"/>
      <c r="CVF22" s="2950"/>
      <c r="CVG22" s="2950"/>
      <c r="CVH22" s="2950"/>
      <c r="CVI22" s="2950"/>
      <c r="CVJ22" s="2950"/>
      <c r="CVK22" s="2950"/>
      <c r="CVL22" s="2950"/>
      <c r="CVM22" s="2950"/>
      <c r="CVN22" s="2950"/>
      <c r="CVO22" s="2950"/>
      <c r="CVP22" s="2950"/>
      <c r="CVQ22" s="2950"/>
      <c r="CVR22" s="2950"/>
      <c r="CVS22" s="2950"/>
      <c r="CVT22" s="2950"/>
      <c r="CVU22" s="2950"/>
      <c r="CVV22" s="2950"/>
      <c r="CVW22" s="2950"/>
      <c r="CVX22" s="2950"/>
      <c r="CVY22" s="2950"/>
      <c r="CVZ22" s="2950"/>
      <c r="CWA22" s="2950"/>
      <c r="CWB22" s="2950"/>
      <c r="CWC22" s="2950"/>
      <c r="CWD22" s="2950"/>
      <c r="CWE22" s="2950"/>
      <c r="CWF22" s="2950"/>
      <c r="CWG22" s="2950"/>
      <c r="CWH22" s="2950"/>
      <c r="CWI22" s="2950"/>
      <c r="CWJ22" s="2950"/>
      <c r="CWK22" s="2950"/>
      <c r="CWL22" s="2950"/>
      <c r="CWM22" s="2950"/>
      <c r="CWN22" s="2950"/>
      <c r="CWO22" s="2950"/>
      <c r="CWP22" s="2950"/>
      <c r="CWQ22" s="2950"/>
      <c r="CWR22" s="2950"/>
      <c r="CWS22" s="2950"/>
      <c r="CWT22" s="2950"/>
      <c r="CWU22" s="2950"/>
      <c r="CWV22" s="2950"/>
      <c r="CWW22" s="2950"/>
      <c r="CWX22" s="2950"/>
      <c r="CWY22" s="2950"/>
      <c r="CWZ22" s="2950"/>
      <c r="CXA22" s="2950"/>
      <c r="CXB22" s="2950"/>
      <c r="CXC22" s="2950"/>
      <c r="CXD22" s="2950"/>
      <c r="CXE22" s="2950"/>
      <c r="CXF22" s="2950"/>
      <c r="CXG22" s="2950"/>
      <c r="CXH22" s="2950"/>
      <c r="CXI22" s="2950"/>
      <c r="CXJ22" s="2950"/>
      <c r="CXK22" s="2950"/>
      <c r="CXL22" s="2950"/>
      <c r="CXM22" s="2950"/>
      <c r="CXN22" s="2950"/>
      <c r="CXO22" s="2950"/>
      <c r="CXP22" s="2950"/>
      <c r="CXQ22" s="2950"/>
      <c r="CXR22" s="2950"/>
      <c r="CXS22" s="2950"/>
      <c r="CXT22" s="2950"/>
      <c r="CXU22" s="2950"/>
      <c r="CXV22" s="2950"/>
      <c r="CXW22" s="2950"/>
      <c r="CXX22" s="2950"/>
      <c r="CXY22" s="2950"/>
      <c r="CXZ22" s="2950"/>
      <c r="CYA22" s="2950"/>
      <c r="CYB22" s="2950"/>
      <c r="CYC22" s="2950"/>
      <c r="CYD22" s="2950"/>
      <c r="CYE22" s="2950"/>
      <c r="CYF22" s="2950"/>
      <c r="CYG22" s="2950"/>
      <c r="CYH22" s="2950"/>
      <c r="CYI22" s="2950"/>
      <c r="CYJ22" s="2950"/>
      <c r="CYK22" s="2950"/>
      <c r="CYL22" s="2950"/>
      <c r="CYM22" s="2950"/>
      <c r="CYN22" s="2950"/>
      <c r="CYO22" s="2950"/>
      <c r="CYP22" s="2950"/>
      <c r="CYQ22" s="2950"/>
      <c r="CYR22" s="2950"/>
      <c r="CYS22" s="2950"/>
      <c r="CYT22" s="2950"/>
      <c r="CYU22" s="2950"/>
      <c r="CYV22" s="2950"/>
      <c r="CYW22" s="2950"/>
      <c r="CYX22" s="2950"/>
      <c r="CYY22" s="2950"/>
      <c r="CYZ22" s="2950"/>
      <c r="CZA22" s="2950"/>
      <c r="CZB22" s="2950"/>
      <c r="CZC22" s="2950"/>
      <c r="CZD22" s="2950"/>
      <c r="CZE22" s="2950"/>
      <c r="CZF22" s="2950"/>
      <c r="CZG22" s="2950"/>
      <c r="CZH22" s="2950"/>
      <c r="CZI22" s="2950"/>
      <c r="CZJ22" s="2950"/>
      <c r="CZK22" s="2950"/>
      <c r="CZL22" s="2950"/>
      <c r="CZM22" s="2950"/>
      <c r="CZN22" s="2950"/>
      <c r="CZO22" s="2950"/>
      <c r="CZP22" s="2950"/>
      <c r="CZQ22" s="2950"/>
      <c r="CZR22" s="2950"/>
      <c r="CZS22" s="2950"/>
      <c r="CZT22" s="2950"/>
      <c r="CZU22" s="2950"/>
      <c r="CZV22" s="2950"/>
      <c r="CZW22" s="2950"/>
      <c r="CZX22" s="2950"/>
      <c r="CZY22" s="2950"/>
      <c r="CZZ22" s="2950"/>
      <c r="DAA22" s="2950"/>
      <c r="DAB22" s="2950"/>
      <c r="DAC22" s="2950"/>
      <c r="DAD22" s="2950"/>
      <c r="DAE22" s="2950"/>
      <c r="DAF22" s="2950"/>
      <c r="DAG22" s="2950"/>
      <c r="DAH22" s="2950"/>
      <c r="DAI22" s="2950"/>
      <c r="DAJ22" s="2950"/>
      <c r="DAK22" s="2950"/>
      <c r="DAL22" s="2950"/>
      <c r="DAM22" s="2950"/>
      <c r="DAN22" s="2950"/>
      <c r="DAO22" s="2950"/>
      <c r="DAP22" s="2950"/>
      <c r="DAQ22" s="2950"/>
      <c r="DAR22" s="2950"/>
      <c r="DAS22" s="2950"/>
      <c r="DAT22" s="2950"/>
      <c r="DAU22" s="2950"/>
      <c r="DAV22" s="2950"/>
      <c r="DAW22" s="2950"/>
      <c r="DAX22" s="2950"/>
      <c r="DAY22" s="2950"/>
      <c r="DAZ22" s="2950"/>
      <c r="DBA22" s="2950"/>
      <c r="DBB22" s="2950"/>
      <c r="DBC22" s="2950"/>
      <c r="DBD22" s="2950"/>
      <c r="DBE22" s="2950"/>
      <c r="DBF22" s="2950"/>
      <c r="DBG22" s="2950"/>
      <c r="DBH22" s="2950"/>
      <c r="DBI22" s="2950"/>
      <c r="DBJ22" s="2950"/>
      <c r="DBK22" s="2950"/>
      <c r="DBL22" s="2950"/>
      <c r="DBM22" s="2950"/>
      <c r="DBN22" s="2950"/>
      <c r="DBO22" s="2950"/>
      <c r="DBP22" s="2950"/>
      <c r="DBQ22" s="2950"/>
      <c r="DBR22" s="2950"/>
      <c r="DBS22" s="2950"/>
      <c r="DBT22" s="2950"/>
      <c r="DBU22" s="2950"/>
      <c r="DBV22" s="2950"/>
      <c r="DBW22" s="2950"/>
      <c r="DBX22" s="2950"/>
      <c r="DBY22" s="2950"/>
      <c r="DBZ22" s="2950"/>
      <c r="DCA22" s="2950"/>
      <c r="DCB22" s="2950"/>
      <c r="DCC22" s="2950"/>
      <c r="DCD22" s="2950"/>
      <c r="DCE22" s="2950"/>
      <c r="DCF22" s="2950"/>
      <c r="DCG22" s="2950"/>
      <c r="DCH22" s="2950"/>
      <c r="DCI22" s="2950"/>
      <c r="DCJ22" s="2950"/>
      <c r="DCK22" s="2950"/>
      <c r="DCL22" s="2950"/>
      <c r="DCM22" s="2950"/>
      <c r="DCN22" s="2950"/>
      <c r="DCO22" s="2950"/>
      <c r="DCP22" s="2950"/>
      <c r="DCQ22" s="2950"/>
      <c r="DCR22" s="2950"/>
      <c r="DCS22" s="2950"/>
      <c r="DCT22" s="2950"/>
      <c r="DCU22" s="2950"/>
      <c r="DCV22" s="2950"/>
      <c r="DCW22" s="2950"/>
      <c r="DCX22" s="2950"/>
      <c r="DCY22" s="2950"/>
      <c r="DCZ22" s="2950"/>
      <c r="DDA22" s="2950"/>
      <c r="DDB22" s="2950"/>
      <c r="DDC22" s="2950"/>
      <c r="DDD22" s="2950"/>
      <c r="DDE22" s="2950"/>
      <c r="DDF22" s="2950"/>
      <c r="DDG22" s="2950"/>
      <c r="DDH22" s="2950"/>
      <c r="DDI22" s="2950"/>
      <c r="DDJ22" s="2950"/>
      <c r="DDK22" s="2950"/>
      <c r="DDL22" s="2950"/>
      <c r="DDM22" s="2950"/>
      <c r="DDN22" s="2950"/>
      <c r="DDO22" s="2950"/>
      <c r="DDP22" s="2950"/>
      <c r="DDQ22" s="2950"/>
      <c r="DDR22" s="2950"/>
      <c r="DDS22" s="2950"/>
      <c r="DDT22" s="2950"/>
      <c r="DDU22" s="2950"/>
      <c r="DDV22" s="2950"/>
      <c r="DDW22" s="2950"/>
      <c r="DDX22" s="2950"/>
      <c r="DDY22" s="2950"/>
      <c r="DDZ22" s="2950"/>
      <c r="DEA22" s="2950"/>
      <c r="DEB22" s="2950"/>
      <c r="DEC22" s="2950"/>
      <c r="DED22" s="2950"/>
      <c r="DEE22" s="2950"/>
      <c r="DEF22" s="2950"/>
      <c r="DEG22" s="2950"/>
      <c r="DEH22" s="2950"/>
      <c r="DEI22" s="2950"/>
      <c r="DEJ22" s="2950"/>
      <c r="DEK22" s="2950"/>
      <c r="DEL22" s="2950"/>
      <c r="DEM22" s="2950"/>
      <c r="DEN22" s="2950"/>
      <c r="DEO22" s="2950"/>
      <c r="DEP22" s="2950"/>
      <c r="DEQ22" s="2950"/>
      <c r="DER22" s="2950"/>
      <c r="DES22" s="2950"/>
      <c r="DET22" s="2950"/>
      <c r="DEU22" s="2950"/>
      <c r="DEV22" s="2950"/>
      <c r="DEW22" s="2950"/>
      <c r="DEX22" s="2950"/>
      <c r="DEY22" s="2950"/>
      <c r="DEZ22" s="2950"/>
      <c r="DFA22" s="2950"/>
      <c r="DFB22" s="2950"/>
      <c r="DFC22" s="2950"/>
      <c r="DFD22" s="2950"/>
      <c r="DFE22" s="2950"/>
      <c r="DFF22" s="2950"/>
      <c r="DFG22" s="2950"/>
      <c r="DFH22" s="2950"/>
      <c r="DFI22" s="2950"/>
      <c r="DFJ22" s="2950"/>
      <c r="DFK22" s="2950"/>
      <c r="DFL22" s="2950"/>
      <c r="DFM22" s="2950"/>
      <c r="DFN22" s="2950"/>
      <c r="DFO22" s="2950"/>
      <c r="DFP22" s="2950"/>
      <c r="DFQ22" s="2950"/>
      <c r="DFR22" s="2950"/>
      <c r="DFS22" s="2950"/>
      <c r="DFT22" s="2950"/>
      <c r="DFU22" s="2950"/>
      <c r="DFV22" s="2950"/>
      <c r="DFW22" s="2950"/>
      <c r="DFX22" s="2950"/>
      <c r="DFY22" s="2950"/>
      <c r="DFZ22" s="2950"/>
      <c r="DGA22" s="2950"/>
      <c r="DGB22" s="2950"/>
      <c r="DGC22" s="2950"/>
      <c r="DGD22" s="2950"/>
      <c r="DGE22" s="2950"/>
      <c r="DGF22" s="2950"/>
      <c r="DGG22" s="2950"/>
      <c r="DGH22" s="2950"/>
      <c r="DGI22" s="2950"/>
      <c r="DGJ22" s="2950"/>
      <c r="DGK22" s="2950"/>
      <c r="DGL22" s="2950"/>
      <c r="DGM22" s="2950"/>
      <c r="DGN22" s="2950"/>
      <c r="DGO22" s="2950"/>
      <c r="DGP22" s="2950"/>
      <c r="DGQ22" s="2950"/>
      <c r="DGR22" s="2950"/>
      <c r="DGS22" s="2950"/>
      <c r="DGT22" s="2950"/>
      <c r="DGU22" s="2950"/>
      <c r="DGV22" s="2950"/>
      <c r="DGW22" s="2950"/>
      <c r="DGX22" s="2950"/>
      <c r="DGY22" s="2950"/>
      <c r="DGZ22" s="2950"/>
      <c r="DHA22" s="2950"/>
      <c r="DHB22" s="2950"/>
      <c r="DHC22" s="2950"/>
      <c r="DHD22" s="2950"/>
      <c r="DHE22" s="2950"/>
      <c r="DHF22" s="2950"/>
      <c r="DHG22" s="2950"/>
      <c r="DHH22" s="2950"/>
      <c r="DHI22" s="2950"/>
      <c r="DHJ22" s="2950"/>
      <c r="DHK22" s="2950"/>
      <c r="DHL22" s="2950"/>
      <c r="DHM22" s="2950"/>
      <c r="DHN22" s="2950"/>
      <c r="DHO22" s="2950"/>
      <c r="DHP22" s="2950"/>
      <c r="DHQ22" s="2950"/>
      <c r="DHR22" s="2950"/>
      <c r="DHS22" s="2950"/>
      <c r="DHT22" s="2950"/>
      <c r="DHU22" s="2950"/>
      <c r="DHV22" s="2950"/>
      <c r="DHW22" s="2950"/>
      <c r="DHX22" s="2950"/>
      <c r="DHY22" s="2950"/>
      <c r="DHZ22" s="2950"/>
      <c r="DIA22" s="2950"/>
      <c r="DIB22" s="2950"/>
      <c r="DIC22" s="2950"/>
      <c r="DID22" s="2950"/>
      <c r="DIE22" s="2950"/>
      <c r="DIF22" s="2950"/>
      <c r="DIG22" s="2950"/>
      <c r="DIH22" s="2950"/>
      <c r="DII22" s="2950"/>
      <c r="DIJ22" s="2950"/>
      <c r="DIK22" s="2950"/>
      <c r="DIL22" s="2950"/>
      <c r="DIM22" s="2950"/>
      <c r="DIN22" s="2950"/>
      <c r="DIO22" s="2950"/>
      <c r="DIP22" s="2950"/>
      <c r="DIQ22" s="2950"/>
      <c r="DIR22" s="2950"/>
      <c r="DIS22" s="2950"/>
      <c r="DIT22" s="2950"/>
      <c r="DIU22" s="2950"/>
      <c r="DIV22" s="2950"/>
      <c r="DIW22" s="2950"/>
      <c r="DIX22" s="2950"/>
      <c r="DIY22" s="2950"/>
      <c r="DIZ22" s="2950"/>
      <c r="DJA22" s="2950"/>
      <c r="DJB22" s="2950"/>
      <c r="DJC22" s="2950"/>
      <c r="DJD22" s="2950"/>
      <c r="DJE22" s="2950"/>
      <c r="DJF22" s="2950"/>
      <c r="DJG22" s="2950"/>
      <c r="DJH22" s="2950"/>
      <c r="DJI22" s="2950"/>
      <c r="DJJ22" s="2950"/>
      <c r="DJK22" s="2950"/>
      <c r="DJL22" s="2950"/>
      <c r="DJM22" s="2950"/>
      <c r="DJN22" s="2950"/>
      <c r="DJO22" s="2950"/>
      <c r="DJP22" s="2950"/>
      <c r="DJQ22" s="2950"/>
      <c r="DJR22" s="2950"/>
      <c r="DJS22" s="2950"/>
      <c r="DJT22" s="2950"/>
      <c r="DJU22" s="2950"/>
      <c r="DJV22" s="2950"/>
      <c r="DJW22" s="2950"/>
      <c r="DJX22" s="2950"/>
      <c r="DJY22" s="2950"/>
      <c r="DJZ22" s="2950"/>
      <c r="DKA22" s="2950"/>
      <c r="DKB22" s="2950"/>
      <c r="DKC22" s="2950"/>
      <c r="DKD22" s="2950"/>
      <c r="DKE22" s="2950"/>
      <c r="DKF22" s="2950"/>
      <c r="DKG22" s="2950"/>
      <c r="DKH22" s="2950"/>
      <c r="DKI22" s="2950"/>
      <c r="DKJ22" s="2950"/>
      <c r="DKK22" s="2950"/>
      <c r="DKL22" s="2950"/>
      <c r="DKM22" s="2950"/>
      <c r="DKN22" s="2950"/>
      <c r="DKO22" s="2950"/>
      <c r="DKP22" s="2950"/>
      <c r="DKQ22" s="2950"/>
      <c r="DKR22" s="2950"/>
      <c r="DKS22" s="2950"/>
      <c r="DKT22" s="2950"/>
      <c r="DKU22" s="2950"/>
      <c r="DKV22" s="2950"/>
      <c r="DKW22" s="2950"/>
      <c r="DKX22" s="2950"/>
      <c r="DKY22" s="2950"/>
      <c r="DKZ22" s="2950"/>
      <c r="DLA22" s="2950"/>
      <c r="DLB22" s="2950"/>
      <c r="DLC22" s="2950"/>
      <c r="DLD22" s="2950"/>
      <c r="DLE22" s="2950"/>
      <c r="DLF22" s="2950"/>
      <c r="DLG22" s="2950"/>
      <c r="DLH22" s="2950"/>
      <c r="DLI22" s="2950"/>
      <c r="DLJ22" s="2950"/>
      <c r="DLK22" s="2950"/>
      <c r="DLL22" s="2950"/>
      <c r="DLM22" s="2950"/>
      <c r="DLN22" s="2950"/>
      <c r="DLO22" s="2950"/>
      <c r="DLP22" s="2950"/>
      <c r="DLQ22" s="2950"/>
      <c r="DLR22" s="2950"/>
      <c r="DLS22" s="2950"/>
      <c r="DLT22" s="2950"/>
      <c r="DLU22" s="2950"/>
      <c r="DLV22" s="2950"/>
      <c r="DLW22" s="2950"/>
      <c r="DLX22" s="2950"/>
      <c r="DLY22" s="2950"/>
      <c r="DLZ22" s="2950"/>
      <c r="DMA22" s="2950"/>
      <c r="DMB22" s="2950"/>
      <c r="DMC22" s="2950"/>
      <c r="DMD22" s="2950"/>
      <c r="DME22" s="2950"/>
      <c r="DMF22" s="2950"/>
      <c r="DMG22" s="2950"/>
      <c r="DMH22" s="2950"/>
      <c r="DMI22" s="2950"/>
      <c r="DMJ22" s="2950"/>
      <c r="DMK22" s="2950"/>
      <c r="DML22" s="2950"/>
      <c r="DMM22" s="2950"/>
      <c r="DMN22" s="2950"/>
      <c r="DMO22" s="2950"/>
      <c r="DMP22" s="2950"/>
      <c r="DMQ22" s="2950"/>
      <c r="DMR22" s="2950"/>
      <c r="DMS22" s="2950"/>
      <c r="DMT22" s="2950"/>
      <c r="DMU22" s="2950"/>
      <c r="DMV22" s="2950"/>
      <c r="DMW22" s="2950"/>
      <c r="DMX22" s="2950"/>
      <c r="DMY22" s="2950"/>
      <c r="DMZ22" s="2950"/>
      <c r="DNA22" s="2950"/>
      <c r="DNB22" s="2950"/>
      <c r="DNC22" s="2950"/>
      <c r="DND22" s="2950"/>
      <c r="DNE22" s="2950"/>
      <c r="DNF22" s="2950"/>
      <c r="DNG22" s="2950"/>
      <c r="DNH22" s="2950"/>
      <c r="DNI22" s="2950"/>
      <c r="DNJ22" s="2950"/>
      <c r="DNK22" s="2950"/>
      <c r="DNL22" s="2950"/>
      <c r="DNM22" s="2950"/>
      <c r="DNN22" s="2950"/>
      <c r="DNO22" s="2950"/>
      <c r="DNP22" s="2950"/>
      <c r="DNQ22" s="2950"/>
      <c r="DNR22" s="2950"/>
      <c r="DNS22" s="2950"/>
      <c r="DNT22" s="2950"/>
      <c r="DNU22" s="2950"/>
      <c r="DNV22" s="2950"/>
      <c r="DNW22" s="2950"/>
      <c r="DNX22" s="2950"/>
      <c r="DNY22" s="2950"/>
      <c r="DNZ22" s="2950"/>
      <c r="DOA22" s="2950"/>
      <c r="DOB22" s="2950"/>
      <c r="DOC22" s="2950"/>
      <c r="DOD22" s="2950"/>
      <c r="DOE22" s="2950"/>
      <c r="DOF22" s="2950"/>
      <c r="DOG22" s="2950"/>
      <c r="DOH22" s="2950"/>
      <c r="DOI22" s="2950"/>
      <c r="DOJ22" s="2950"/>
      <c r="DOK22" s="2950"/>
      <c r="DOL22" s="2950"/>
      <c r="DOM22" s="2950"/>
      <c r="DON22" s="2950"/>
      <c r="DOO22" s="2950"/>
      <c r="DOP22" s="2950"/>
      <c r="DOQ22" s="2950"/>
      <c r="DOR22" s="2950"/>
      <c r="DOS22" s="2950"/>
      <c r="DOT22" s="2950"/>
      <c r="DOU22" s="2950"/>
      <c r="DOV22" s="2950"/>
      <c r="DOW22" s="2950"/>
      <c r="DOX22" s="2950"/>
      <c r="DOY22" s="2950"/>
      <c r="DOZ22" s="2950"/>
      <c r="DPA22" s="2950"/>
      <c r="DPB22" s="2950"/>
      <c r="DPC22" s="2950"/>
      <c r="DPD22" s="2950"/>
      <c r="DPE22" s="2950"/>
      <c r="DPF22" s="2950"/>
      <c r="DPG22" s="2950"/>
      <c r="DPH22" s="2950"/>
      <c r="DPI22" s="2950"/>
      <c r="DPJ22" s="2950"/>
      <c r="DPK22" s="2950"/>
      <c r="DPL22" s="2950"/>
      <c r="DPM22" s="2950"/>
      <c r="DPN22" s="2950"/>
      <c r="DPO22" s="2950"/>
      <c r="DPP22" s="2950"/>
      <c r="DPQ22" s="2950"/>
      <c r="DPR22" s="2950"/>
      <c r="DPS22" s="2950"/>
      <c r="DPT22" s="2950"/>
      <c r="DPU22" s="2950"/>
      <c r="DPV22" s="2950"/>
      <c r="DPW22" s="2950"/>
      <c r="DPX22" s="2950"/>
      <c r="DPY22" s="2950"/>
      <c r="DPZ22" s="2950"/>
      <c r="DQA22" s="2950"/>
      <c r="DQB22" s="2950"/>
      <c r="DQC22" s="2950"/>
      <c r="DQD22" s="2950"/>
      <c r="DQE22" s="2950"/>
      <c r="DQF22" s="2950"/>
      <c r="DQG22" s="2950"/>
      <c r="DQH22" s="2950"/>
      <c r="DQI22" s="2950"/>
      <c r="DQJ22" s="2950"/>
      <c r="DQK22" s="2950"/>
      <c r="DQL22" s="2950"/>
      <c r="DQM22" s="2950"/>
      <c r="DQN22" s="2950"/>
      <c r="DQO22" s="2950"/>
      <c r="DQP22" s="2950"/>
      <c r="DQQ22" s="2950"/>
      <c r="DQR22" s="2950"/>
      <c r="DQS22" s="2950"/>
      <c r="DQT22" s="2950"/>
      <c r="DQU22" s="2950"/>
      <c r="DQV22" s="2950"/>
      <c r="DQW22" s="2950"/>
      <c r="DQX22" s="2950"/>
      <c r="DQY22" s="2950"/>
      <c r="DQZ22" s="2950"/>
      <c r="DRA22" s="2950"/>
      <c r="DRB22" s="2950"/>
      <c r="DRC22" s="2950"/>
      <c r="DRD22" s="2950"/>
      <c r="DRE22" s="2950"/>
      <c r="DRF22" s="2950"/>
      <c r="DRG22" s="2950"/>
      <c r="DRH22" s="2950"/>
      <c r="DRI22" s="2950"/>
      <c r="DRJ22" s="2950"/>
      <c r="DRK22" s="2950"/>
      <c r="DRL22" s="2950"/>
      <c r="DRM22" s="2950"/>
      <c r="DRN22" s="2950"/>
      <c r="DRO22" s="2950"/>
      <c r="DRP22" s="2950"/>
      <c r="DRQ22" s="2950"/>
      <c r="DRR22" s="2950"/>
      <c r="DRS22" s="2950"/>
      <c r="DRT22" s="2950"/>
      <c r="DRU22" s="2950"/>
      <c r="DRV22" s="2950"/>
      <c r="DRW22" s="2950"/>
      <c r="DRX22" s="2950"/>
      <c r="DRY22" s="2950"/>
      <c r="DRZ22" s="2950"/>
      <c r="DSA22" s="2950"/>
      <c r="DSB22" s="2950"/>
      <c r="DSC22" s="2950"/>
      <c r="DSD22" s="2950"/>
      <c r="DSE22" s="2950"/>
      <c r="DSF22" s="2950"/>
      <c r="DSG22" s="2950"/>
      <c r="DSH22" s="2950"/>
      <c r="DSI22" s="2950"/>
      <c r="DSJ22" s="2950"/>
      <c r="DSK22" s="2950"/>
      <c r="DSL22" s="2950"/>
      <c r="DSM22" s="2950"/>
      <c r="DSN22" s="2950"/>
      <c r="DSO22" s="2950"/>
      <c r="DSP22" s="2950"/>
      <c r="DSQ22" s="2950"/>
      <c r="DSR22" s="2950"/>
      <c r="DSS22" s="2950"/>
      <c r="DST22" s="2950"/>
      <c r="DSU22" s="2950"/>
      <c r="DSV22" s="2950"/>
      <c r="DSW22" s="2950"/>
      <c r="DSX22" s="2950"/>
      <c r="DSY22" s="2950"/>
      <c r="DSZ22" s="2950"/>
      <c r="DTA22" s="2950"/>
      <c r="DTB22" s="2950"/>
      <c r="DTC22" s="2950"/>
      <c r="DTD22" s="2950"/>
      <c r="DTE22" s="2950"/>
      <c r="DTF22" s="2950"/>
      <c r="DTG22" s="2950"/>
      <c r="DTH22" s="2950"/>
      <c r="DTI22" s="2950"/>
      <c r="DTJ22" s="2950"/>
      <c r="DTK22" s="2950"/>
      <c r="DTL22" s="2950"/>
      <c r="DTM22" s="2950"/>
      <c r="DTN22" s="2950"/>
      <c r="DTO22" s="2950"/>
      <c r="DTP22" s="2950"/>
      <c r="DTQ22" s="2950"/>
      <c r="DTR22" s="2950"/>
      <c r="DTS22" s="2950"/>
      <c r="DTT22" s="2950"/>
      <c r="DTU22" s="2950"/>
      <c r="DTV22" s="2950"/>
      <c r="DTW22" s="2950"/>
      <c r="DTX22" s="2950"/>
      <c r="DTY22" s="2950"/>
      <c r="DTZ22" s="2950"/>
      <c r="DUA22" s="2950"/>
      <c r="DUB22" s="2950"/>
      <c r="DUC22" s="2950"/>
      <c r="DUD22" s="2950"/>
      <c r="DUE22" s="2950"/>
      <c r="DUF22" s="2950"/>
      <c r="DUG22" s="2950"/>
      <c r="DUH22" s="2950"/>
      <c r="DUI22" s="2950"/>
      <c r="DUJ22" s="2950"/>
      <c r="DUK22" s="2950"/>
      <c r="DUL22" s="2950"/>
      <c r="DUM22" s="2950"/>
      <c r="DUN22" s="2950"/>
      <c r="DUO22" s="2950"/>
      <c r="DUP22" s="2950"/>
      <c r="DUQ22" s="2950"/>
      <c r="DUR22" s="2950"/>
      <c r="DUS22" s="2950"/>
      <c r="DUT22" s="2950"/>
      <c r="DUU22" s="2950"/>
      <c r="DUV22" s="2950"/>
      <c r="DUW22" s="2950"/>
      <c r="DUX22" s="2950"/>
      <c r="DUY22" s="2950"/>
      <c r="DUZ22" s="2950"/>
      <c r="DVA22" s="2950"/>
      <c r="DVB22" s="2950"/>
      <c r="DVC22" s="2950"/>
      <c r="DVD22" s="2950"/>
      <c r="DVE22" s="2950"/>
      <c r="DVF22" s="2950"/>
      <c r="DVG22" s="2950"/>
      <c r="DVH22" s="2950"/>
      <c r="DVI22" s="2950"/>
      <c r="DVJ22" s="2950"/>
      <c r="DVK22" s="2950"/>
      <c r="DVL22" s="2950"/>
      <c r="DVM22" s="2950"/>
      <c r="DVN22" s="2950"/>
      <c r="DVO22" s="2950"/>
      <c r="DVP22" s="2950"/>
      <c r="DVQ22" s="2950"/>
      <c r="DVR22" s="2950"/>
      <c r="DVS22" s="2950"/>
      <c r="DVT22" s="2950"/>
      <c r="DVU22" s="2950"/>
      <c r="DVV22" s="2950"/>
      <c r="DVW22" s="2950"/>
      <c r="DVX22" s="2950"/>
      <c r="DVY22" s="2950"/>
      <c r="DVZ22" s="2950"/>
      <c r="DWA22" s="2950"/>
      <c r="DWB22" s="2950"/>
      <c r="DWC22" s="2950"/>
      <c r="DWD22" s="2950"/>
      <c r="DWE22" s="2950"/>
      <c r="DWF22" s="2950"/>
      <c r="DWG22" s="2950"/>
      <c r="DWH22" s="2950"/>
      <c r="DWI22" s="2950"/>
      <c r="DWJ22" s="2950"/>
      <c r="DWK22" s="2950"/>
      <c r="DWL22" s="2950"/>
      <c r="DWM22" s="2950"/>
      <c r="DWN22" s="2950"/>
      <c r="DWO22" s="2950"/>
      <c r="DWP22" s="2950"/>
      <c r="DWQ22" s="2950"/>
      <c r="DWR22" s="2950"/>
      <c r="DWS22" s="2950"/>
      <c r="DWT22" s="2950"/>
      <c r="DWU22" s="2950"/>
      <c r="DWV22" s="2950"/>
      <c r="DWW22" s="2950"/>
      <c r="DWX22" s="2950"/>
      <c r="DWY22" s="2950"/>
      <c r="DWZ22" s="2950"/>
      <c r="DXA22" s="2950"/>
      <c r="DXB22" s="2950"/>
      <c r="DXC22" s="2950"/>
      <c r="DXD22" s="2950"/>
      <c r="DXE22" s="2950"/>
      <c r="DXF22" s="2950"/>
      <c r="DXG22" s="2950"/>
      <c r="DXH22" s="2950"/>
      <c r="DXI22" s="2950"/>
      <c r="DXJ22" s="2950"/>
      <c r="DXK22" s="2950"/>
      <c r="DXL22" s="2950"/>
      <c r="DXM22" s="2950"/>
      <c r="DXN22" s="2950"/>
      <c r="DXO22" s="2950"/>
      <c r="DXP22" s="2950"/>
      <c r="DXQ22" s="2950"/>
      <c r="DXR22" s="2950"/>
      <c r="DXS22" s="2950"/>
      <c r="DXT22" s="2950"/>
      <c r="DXU22" s="2950"/>
      <c r="DXV22" s="2950"/>
      <c r="DXW22" s="2950"/>
      <c r="DXX22" s="2950"/>
      <c r="DXY22" s="2950"/>
      <c r="DXZ22" s="2950"/>
      <c r="DYA22" s="2950"/>
      <c r="DYB22" s="2950"/>
      <c r="DYC22" s="2950"/>
      <c r="DYD22" s="2950"/>
      <c r="DYE22" s="2950"/>
      <c r="DYF22" s="2950"/>
      <c r="DYG22" s="2950"/>
      <c r="DYH22" s="2950"/>
      <c r="DYI22" s="2950"/>
      <c r="DYJ22" s="2950"/>
      <c r="DYK22" s="2950"/>
      <c r="DYL22" s="2950"/>
      <c r="DYM22" s="2950"/>
      <c r="DYN22" s="2950"/>
      <c r="DYO22" s="2950"/>
      <c r="DYP22" s="2950"/>
      <c r="DYQ22" s="2950"/>
      <c r="DYR22" s="2950"/>
      <c r="DYS22" s="2950"/>
      <c r="DYT22" s="2950"/>
      <c r="DYU22" s="2950"/>
      <c r="DYV22" s="2950"/>
      <c r="DYW22" s="2950"/>
      <c r="DYX22" s="2950"/>
      <c r="DYY22" s="2950"/>
      <c r="DYZ22" s="2950"/>
      <c r="DZA22" s="2950"/>
      <c r="DZB22" s="2950"/>
      <c r="DZC22" s="2950"/>
      <c r="DZD22" s="2950"/>
      <c r="DZE22" s="2950"/>
      <c r="DZF22" s="2950"/>
      <c r="DZG22" s="2950"/>
      <c r="DZH22" s="2950"/>
      <c r="DZI22" s="2950"/>
      <c r="DZJ22" s="2950"/>
      <c r="DZK22" s="2950"/>
      <c r="DZL22" s="2950"/>
      <c r="DZM22" s="2950"/>
      <c r="DZN22" s="2950"/>
      <c r="DZO22" s="2950"/>
      <c r="DZP22" s="2950"/>
      <c r="DZQ22" s="2950"/>
      <c r="DZR22" s="2950"/>
      <c r="DZS22" s="2950"/>
      <c r="DZT22" s="2950"/>
      <c r="DZU22" s="2950"/>
      <c r="DZV22" s="2950"/>
      <c r="DZW22" s="2950"/>
      <c r="DZX22" s="2950"/>
      <c r="DZY22" s="2950"/>
      <c r="DZZ22" s="2950"/>
      <c r="EAA22" s="2950"/>
      <c r="EAB22" s="2950"/>
      <c r="EAC22" s="2950"/>
      <c r="EAD22" s="2950"/>
      <c r="EAE22" s="2950"/>
      <c r="EAF22" s="2950"/>
      <c r="EAG22" s="2950"/>
      <c r="EAH22" s="2950"/>
      <c r="EAI22" s="2950"/>
      <c r="EAJ22" s="2950"/>
      <c r="EAK22" s="2950"/>
      <c r="EAL22" s="2950"/>
      <c r="EAM22" s="2950"/>
      <c r="EAN22" s="2950"/>
      <c r="EAO22" s="2950"/>
      <c r="EAP22" s="2950"/>
      <c r="EAQ22" s="2950"/>
      <c r="EAR22" s="2950"/>
      <c r="EAS22" s="2950"/>
      <c r="EAT22" s="2950"/>
      <c r="EAU22" s="2950"/>
      <c r="EAV22" s="2950"/>
      <c r="EAW22" s="2950"/>
      <c r="EAX22" s="2950"/>
      <c r="EAY22" s="2950"/>
      <c r="EAZ22" s="2950"/>
      <c r="EBA22" s="2950"/>
      <c r="EBB22" s="2950"/>
      <c r="EBC22" s="2950"/>
      <c r="EBD22" s="2950"/>
      <c r="EBE22" s="2950"/>
      <c r="EBF22" s="2950"/>
      <c r="EBG22" s="2950"/>
      <c r="EBH22" s="2950"/>
      <c r="EBI22" s="2950"/>
      <c r="EBJ22" s="2950"/>
      <c r="EBK22" s="2950"/>
      <c r="EBL22" s="2950"/>
      <c r="EBM22" s="2950"/>
      <c r="EBN22" s="2950"/>
      <c r="EBO22" s="2950"/>
      <c r="EBP22" s="2950"/>
      <c r="EBQ22" s="2950"/>
      <c r="EBR22" s="2950"/>
      <c r="EBS22" s="2950"/>
      <c r="EBT22" s="2950"/>
      <c r="EBU22" s="2950"/>
      <c r="EBV22" s="2950"/>
      <c r="EBW22" s="2950"/>
      <c r="EBX22" s="2950"/>
      <c r="EBY22" s="2950"/>
      <c r="EBZ22" s="2950"/>
      <c r="ECA22" s="2950"/>
      <c r="ECB22" s="2950"/>
      <c r="ECC22" s="2950"/>
      <c r="ECD22" s="2950"/>
      <c r="ECE22" s="2950"/>
      <c r="ECF22" s="2950"/>
      <c r="ECG22" s="2950"/>
      <c r="ECH22" s="2950"/>
      <c r="ECI22" s="2950"/>
      <c r="ECJ22" s="2950"/>
      <c r="ECK22" s="2950"/>
      <c r="ECL22" s="2950"/>
      <c r="ECM22" s="2950"/>
      <c r="ECN22" s="2950"/>
      <c r="ECO22" s="2950"/>
      <c r="ECP22" s="2950"/>
      <c r="ECQ22" s="2950"/>
      <c r="ECR22" s="2950"/>
      <c r="ECS22" s="2950"/>
      <c r="ECT22" s="2950"/>
      <c r="ECU22" s="2950"/>
      <c r="ECV22" s="2950"/>
      <c r="ECW22" s="2950"/>
      <c r="ECX22" s="2950"/>
      <c r="ECY22" s="2950"/>
      <c r="ECZ22" s="2950"/>
      <c r="EDA22" s="2950"/>
      <c r="EDB22" s="2950"/>
      <c r="EDC22" s="2950"/>
      <c r="EDD22" s="2950"/>
      <c r="EDE22" s="2950"/>
      <c r="EDF22" s="2950"/>
      <c r="EDG22" s="2950"/>
      <c r="EDH22" s="2950"/>
      <c r="EDI22" s="2950"/>
      <c r="EDJ22" s="2950"/>
      <c r="EDK22" s="2950"/>
      <c r="EDL22" s="2950"/>
      <c r="EDM22" s="2950"/>
      <c r="EDN22" s="2950"/>
      <c r="EDO22" s="2950"/>
      <c r="EDP22" s="2950"/>
      <c r="EDQ22" s="2950"/>
      <c r="EDR22" s="2950"/>
      <c r="EDS22" s="2950"/>
      <c r="EDT22" s="2950"/>
      <c r="EDU22" s="2950"/>
      <c r="EDV22" s="2950"/>
      <c r="EDW22" s="2950"/>
      <c r="EDX22" s="2950"/>
      <c r="EDY22" s="2950"/>
      <c r="EDZ22" s="2950"/>
      <c r="EEA22" s="2950"/>
      <c r="EEB22" s="2950"/>
      <c r="EEC22" s="2950"/>
      <c r="EED22" s="2950"/>
      <c r="EEE22" s="2950"/>
      <c r="EEF22" s="2950"/>
      <c r="EEG22" s="2950"/>
      <c r="EEH22" s="2950"/>
      <c r="EEI22" s="2950"/>
      <c r="EEJ22" s="2950"/>
      <c r="EEK22" s="2950"/>
      <c r="EEL22" s="2950"/>
      <c r="EEM22" s="2950"/>
      <c r="EEN22" s="2950"/>
      <c r="EEO22" s="2950"/>
      <c r="EEP22" s="2950"/>
      <c r="EEQ22" s="2950"/>
      <c r="EER22" s="2950"/>
      <c r="EES22" s="2950"/>
      <c r="EET22" s="2950"/>
      <c r="EEU22" s="2950"/>
      <c r="EEV22" s="2950"/>
      <c r="EEW22" s="2950"/>
      <c r="EEX22" s="2950"/>
      <c r="EEY22" s="2950"/>
      <c r="EEZ22" s="2950"/>
      <c r="EFA22" s="2950"/>
      <c r="EFB22" s="2950"/>
      <c r="EFC22" s="2950"/>
      <c r="EFD22" s="2950"/>
      <c r="EFE22" s="2950"/>
      <c r="EFF22" s="2950"/>
      <c r="EFG22" s="2950"/>
      <c r="EFH22" s="2950"/>
      <c r="EFI22" s="2950"/>
      <c r="EFJ22" s="2950"/>
      <c r="EFK22" s="2950"/>
      <c r="EFL22" s="2950"/>
      <c r="EFM22" s="2950"/>
      <c r="EFN22" s="2950"/>
      <c r="EFO22" s="2950"/>
      <c r="EFP22" s="2950"/>
      <c r="EFQ22" s="2950"/>
      <c r="EFR22" s="2950"/>
      <c r="EFS22" s="2950"/>
      <c r="EFT22" s="2950"/>
      <c r="EFU22" s="2950"/>
      <c r="EFV22" s="2950"/>
      <c r="EFW22" s="2950"/>
      <c r="EFX22" s="2950"/>
      <c r="EFY22" s="2950"/>
      <c r="EFZ22" s="2950"/>
      <c r="EGA22" s="2950"/>
      <c r="EGB22" s="2950"/>
      <c r="EGC22" s="2950"/>
      <c r="EGD22" s="2950"/>
      <c r="EGE22" s="2950"/>
      <c r="EGF22" s="2950"/>
      <c r="EGG22" s="2950"/>
      <c r="EGH22" s="2950"/>
      <c r="EGI22" s="2950"/>
      <c r="EGJ22" s="2950"/>
      <c r="EGK22" s="2950"/>
      <c r="EGL22" s="2950"/>
      <c r="EGM22" s="2950"/>
      <c r="EGN22" s="2950"/>
      <c r="EGO22" s="2950"/>
      <c r="EGP22" s="2950"/>
      <c r="EGQ22" s="2950"/>
      <c r="EGR22" s="2950"/>
      <c r="EGS22" s="2950"/>
      <c r="EGT22" s="2950"/>
      <c r="EGU22" s="2950"/>
      <c r="EGV22" s="2950"/>
      <c r="EGW22" s="2950"/>
      <c r="EGX22" s="2950"/>
      <c r="EGY22" s="2950"/>
      <c r="EGZ22" s="2950"/>
      <c r="EHA22" s="2950"/>
      <c r="EHB22" s="2950"/>
      <c r="EHC22" s="2950"/>
      <c r="EHD22" s="2950"/>
      <c r="EHE22" s="2950"/>
      <c r="EHF22" s="2950"/>
      <c r="EHG22" s="2950"/>
      <c r="EHH22" s="2950"/>
      <c r="EHI22" s="2950"/>
      <c r="EHJ22" s="2950"/>
      <c r="EHK22" s="2950"/>
      <c r="EHL22" s="2950"/>
      <c r="EHM22" s="2950"/>
      <c r="EHN22" s="2950"/>
      <c r="EHO22" s="2950"/>
      <c r="EHP22" s="2950"/>
      <c r="EHQ22" s="2950"/>
      <c r="EHR22" s="2950"/>
      <c r="EHS22" s="2950"/>
      <c r="EHT22" s="2950"/>
      <c r="EHU22" s="2950"/>
      <c r="EHV22" s="2950"/>
      <c r="EHW22" s="2950"/>
      <c r="EHX22" s="2950"/>
      <c r="EHY22" s="2950"/>
      <c r="EHZ22" s="2950"/>
      <c r="EIA22" s="2950"/>
      <c r="EIB22" s="2950"/>
      <c r="EIC22" s="2950"/>
      <c r="EID22" s="2950"/>
      <c r="EIE22" s="2950"/>
      <c r="EIF22" s="2950"/>
      <c r="EIG22" s="2950"/>
      <c r="EIH22" s="2950"/>
      <c r="EII22" s="2950"/>
      <c r="EIJ22" s="2950"/>
      <c r="EIK22" s="2950"/>
      <c r="EIL22" s="2950"/>
      <c r="EIM22" s="2950"/>
      <c r="EIN22" s="2950"/>
      <c r="EIO22" s="2950"/>
      <c r="EIP22" s="2950"/>
      <c r="EIQ22" s="2950"/>
      <c r="EIR22" s="2950"/>
      <c r="EIS22" s="2950"/>
      <c r="EIT22" s="2950"/>
      <c r="EIU22" s="2950"/>
      <c r="EIV22" s="2950"/>
      <c r="EIW22" s="2950"/>
      <c r="EIX22" s="2950"/>
      <c r="EIY22" s="2950"/>
      <c r="EIZ22" s="2950"/>
      <c r="EJA22" s="2950"/>
      <c r="EJB22" s="2950"/>
      <c r="EJC22" s="2950"/>
      <c r="EJD22" s="2950"/>
      <c r="EJE22" s="2950"/>
      <c r="EJF22" s="2950"/>
      <c r="EJG22" s="2950"/>
      <c r="EJH22" s="2950"/>
      <c r="EJI22" s="2950"/>
      <c r="EJJ22" s="2950"/>
      <c r="EJK22" s="2950"/>
      <c r="EJL22" s="2950"/>
      <c r="EJM22" s="2950"/>
      <c r="EJN22" s="2950"/>
      <c r="EJO22" s="2950"/>
      <c r="EJP22" s="2950"/>
      <c r="EJQ22" s="2950"/>
      <c r="EJR22" s="2950"/>
      <c r="EJS22" s="2950"/>
      <c r="EJT22" s="2950"/>
      <c r="EJU22" s="2950"/>
      <c r="EJV22" s="2950"/>
      <c r="EJW22" s="2950"/>
      <c r="EJX22" s="2950"/>
      <c r="EJY22" s="2950"/>
      <c r="EJZ22" s="2950"/>
      <c r="EKA22" s="2950"/>
      <c r="EKB22" s="2950"/>
      <c r="EKC22" s="2950"/>
      <c r="EKD22" s="2950"/>
      <c r="EKE22" s="2950"/>
      <c r="EKF22" s="2950"/>
      <c r="EKG22" s="2950"/>
      <c r="EKH22" s="2950"/>
      <c r="EKI22" s="2950"/>
      <c r="EKJ22" s="2950"/>
      <c r="EKK22" s="2950"/>
      <c r="EKL22" s="2950"/>
      <c r="EKM22" s="2950"/>
      <c r="EKN22" s="2950"/>
      <c r="EKO22" s="2950"/>
      <c r="EKP22" s="2950"/>
      <c r="EKQ22" s="2950"/>
      <c r="EKR22" s="2950"/>
      <c r="EKS22" s="2950"/>
      <c r="EKT22" s="2950"/>
      <c r="EKU22" s="2950"/>
      <c r="EKV22" s="2950"/>
      <c r="EKW22" s="2950"/>
      <c r="EKX22" s="2950"/>
      <c r="EKY22" s="2950"/>
      <c r="EKZ22" s="2950"/>
      <c r="ELA22" s="2950"/>
      <c r="ELB22" s="2950"/>
      <c r="ELC22" s="2950"/>
      <c r="ELD22" s="2950"/>
      <c r="ELE22" s="2950"/>
      <c r="ELF22" s="2950"/>
      <c r="ELG22" s="2950"/>
      <c r="ELH22" s="2950"/>
      <c r="ELI22" s="2950"/>
      <c r="ELJ22" s="2950"/>
      <c r="ELK22" s="2950"/>
      <c r="ELL22" s="2950"/>
      <c r="ELM22" s="2950"/>
      <c r="ELN22" s="2950"/>
      <c r="ELO22" s="2950"/>
      <c r="ELP22" s="2950"/>
      <c r="ELQ22" s="2950"/>
      <c r="ELR22" s="2950"/>
      <c r="ELS22" s="2950"/>
      <c r="ELT22" s="2950"/>
      <c r="ELU22" s="2950"/>
      <c r="ELV22" s="2950"/>
      <c r="ELW22" s="2950"/>
      <c r="ELX22" s="2950"/>
      <c r="ELY22" s="2950"/>
      <c r="ELZ22" s="2950"/>
      <c r="EMA22" s="2950"/>
      <c r="EMB22" s="2950"/>
      <c r="EMC22" s="2950"/>
      <c r="EMD22" s="2950"/>
      <c r="EME22" s="2950"/>
      <c r="EMF22" s="2950"/>
      <c r="EMG22" s="2950"/>
      <c r="EMH22" s="2950"/>
      <c r="EMI22" s="2950"/>
      <c r="EMJ22" s="2950"/>
      <c r="EMK22" s="2950"/>
      <c r="EML22" s="2950"/>
      <c r="EMM22" s="2950"/>
      <c r="EMN22" s="2950"/>
      <c r="EMO22" s="2950"/>
      <c r="EMP22" s="2950"/>
      <c r="EMQ22" s="2950"/>
      <c r="EMR22" s="2950"/>
      <c r="EMS22" s="2950"/>
      <c r="EMT22" s="2950"/>
      <c r="EMU22" s="2950"/>
      <c r="EMV22" s="2950"/>
      <c r="EMW22" s="2950"/>
      <c r="EMX22" s="2950"/>
      <c r="EMY22" s="2950"/>
      <c r="EMZ22" s="2950"/>
      <c r="ENA22" s="2950"/>
      <c r="ENB22" s="2950"/>
      <c r="ENC22" s="2950"/>
      <c r="END22" s="2950"/>
      <c r="ENE22" s="2950"/>
      <c r="ENF22" s="2950"/>
      <c r="ENG22" s="2950"/>
      <c r="ENH22" s="2950"/>
      <c r="ENI22" s="2950"/>
      <c r="ENJ22" s="2950"/>
      <c r="ENK22" s="2950"/>
      <c r="ENL22" s="2950"/>
      <c r="ENM22" s="2950"/>
      <c r="ENN22" s="2950"/>
      <c r="ENO22" s="2950"/>
      <c r="ENP22" s="2950"/>
      <c r="ENQ22" s="2950"/>
      <c r="ENR22" s="2950"/>
      <c r="ENS22" s="2950"/>
      <c r="ENT22" s="2950"/>
      <c r="ENU22" s="2950"/>
      <c r="ENV22" s="2950"/>
      <c r="ENW22" s="2950"/>
      <c r="ENX22" s="2950"/>
      <c r="ENY22" s="2950"/>
      <c r="ENZ22" s="2950"/>
      <c r="EOA22" s="2950"/>
      <c r="EOB22" s="2950"/>
      <c r="EOC22" s="2950"/>
      <c r="EOD22" s="2950"/>
      <c r="EOE22" s="2950"/>
      <c r="EOF22" s="2950"/>
      <c r="EOG22" s="2950"/>
      <c r="EOH22" s="2950"/>
      <c r="EOI22" s="2950"/>
      <c r="EOJ22" s="2950"/>
      <c r="EOK22" s="2950"/>
      <c r="EOL22" s="2950"/>
      <c r="EOM22" s="2950"/>
      <c r="EON22" s="2950"/>
      <c r="EOO22" s="2950"/>
      <c r="EOP22" s="2950"/>
      <c r="EOQ22" s="2950"/>
      <c r="EOR22" s="2950"/>
      <c r="EOS22" s="2950"/>
      <c r="EOT22" s="2950"/>
      <c r="EOU22" s="2950"/>
      <c r="EOV22" s="2950"/>
      <c r="EOW22" s="2950"/>
      <c r="EOX22" s="2950"/>
      <c r="EOY22" s="2950"/>
      <c r="EOZ22" s="2950"/>
      <c r="EPA22" s="2950"/>
      <c r="EPB22" s="2950"/>
      <c r="EPC22" s="2950"/>
      <c r="EPD22" s="2950"/>
      <c r="EPE22" s="2950"/>
      <c r="EPF22" s="2950"/>
      <c r="EPG22" s="2950"/>
      <c r="EPH22" s="2950"/>
      <c r="EPI22" s="2950"/>
      <c r="EPJ22" s="2950"/>
      <c r="EPK22" s="2950"/>
      <c r="EPL22" s="2950"/>
      <c r="EPM22" s="2950"/>
      <c r="EPN22" s="2950"/>
      <c r="EPO22" s="2950"/>
      <c r="EPP22" s="2950"/>
      <c r="EPQ22" s="2950"/>
      <c r="EPR22" s="2950"/>
      <c r="EPS22" s="2950"/>
      <c r="EPT22" s="2950"/>
      <c r="EPU22" s="2950"/>
      <c r="EPV22" s="2950"/>
      <c r="EPW22" s="2950"/>
      <c r="EPX22" s="2950"/>
      <c r="EPY22" s="2950"/>
      <c r="EPZ22" s="2950"/>
      <c r="EQA22" s="2950"/>
      <c r="EQB22" s="2950"/>
      <c r="EQC22" s="2950"/>
      <c r="EQD22" s="2950"/>
      <c r="EQE22" s="2950"/>
      <c r="EQF22" s="2950"/>
      <c r="EQG22" s="2950"/>
      <c r="EQH22" s="2950"/>
      <c r="EQI22" s="2950"/>
      <c r="EQJ22" s="2950"/>
      <c r="EQK22" s="2950"/>
      <c r="EQL22" s="2950"/>
      <c r="EQM22" s="2950"/>
      <c r="EQN22" s="2950"/>
      <c r="EQO22" s="2950"/>
      <c r="EQP22" s="2950"/>
      <c r="EQQ22" s="2950"/>
      <c r="EQR22" s="2950"/>
      <c r="EQS22" s="2950"/>
      <c r="EQT22" s="2950"/>
      <c r="EQU22" s="2950"/>
      <c r="EQV22" s="2950"/>
      <c r="EQW22" s="2950"/>
      <c r="EQX22" s="2950"/>
      <c r="EQY22" s="2950"/>
      <c r="EQZ22" s="2950"/>
      <c r="ERA22" s="2950"/>
      <c r="ERB22" s="2950"/>
      <c r="ERC22" s="2950"/>
      <c r="ERD22" s="2950"/>
      <c r="ERE22" s="2950"/>
      <c r="ERF22" s="2950"/>
      <c r="ERG22" s="2950"/>
      <c r="ERH22" s="2950"/>
      <c r="ERI22" s="2950"/>
      <c r="ERJ22" s="2950"/>
      <c r="ERK22" s="2950"/>
      <c r="ERL22" s="2950"/>
      <c r="ERM22" s="2950"/>
      <c r="ERN22" s="2950"/>
      <c r="ERO22" s="2950"/>
      <c r="ERP22" s="2950"/>
      <c r="ERQ22" s="2950"/>
      <c r="ERR22" s="2950"/>
      <c r="ERS22" s="2950"/>
      <c r="ERT22" s="2950"/>
      <c r="ERU22" s="2950"/>
      <c r="ERV22" s="2950"/>
      <c r="ERW22" s="2950"/>
      <c r="ERX22" s="2950"/>
      <c r="ERY22" s="2950"/>
      <c r="ERZ22" s="2950"/>
      <c r="ESA22" s="2950"/>
      <c r="ESB22" s="2950"/>
      <c r="ESC22" s="2950"/>
      <c r="ESD22" s="2950"/>
      <c r="ESE22" s="2950"/>
      <c r="ESF22" s="2950"/>
      <c r="ESG22" s="2950"/>
      <c r="ESH22" s="2950"/>
      <c r="ESI22" s="2950"/>
      <c r="ESJ22" s="2950"/>
      <c r="ESK22" s="2950"/>
      <c r="ESL22" s="2950"/>
      <c r="ESM22" s="2950"/>
      <c r="ESN22" s="2950"/>
      <c r="ESO22" s="2950"/>
      <c r="ESP22" s="2950"/>
      <c r="ESQ22" s="2950"/>
      <c r="ESR22" s="2950"/>
      <c r="ESS22" s="2950"/>
      <c r="EST22" s="2950"/>
      <c r="ESU22" s="2950"/>
      <c r="ESV22" s="2950"/>
      <c r="ESW22" s="2950"/>
      <c r="ESX22" s="2950"/>
      <c r="ESY22" s="2950"/>
      <c r="ESZ22" s="2950"/>
      <c r="ETA22" s="2950"/>
      <c r="ETB22" s="2950"/>
      <c r="ETC22" s="2950"/>
      <c r="ETD22" s="2950"/>
      <c r="ETE22" s="2950"/>
      <c r="ETF22" s="2950"/>
      <c r="ETG22" s="2950"/>
      <c r="ETH22" s="2950"/>
      <c r="ETI22" s="2950"/>
      <c r="ETJ22" s="2950"/>
      <c r="ETK22" s="2950"/>
      <c r="ETL22" s="2950"/>
      <c r="ETM22" s="2950"/>
      <c r="ETN22" s="2950"/>
      <c r="ETO22" s="2950"/>
      <c r="ETP22" s="2950"/>
      <c r="ETQ22" s="2950"/>
      <c r="ETR22" s="2950"/>
      <c r="ETS22" s="2950"/>
      <c r="ETT22" s="2950"/>
      <c r="ETU22" s="2950"/>
      <c r="ETV22" s="2950"/>
      <c r="ETW22" s="2950"/>
      <c r="ETX22" s="2950"/>
      <c r="ETY22" s="2950"/>
      <c r="ETZ22" s="2950"/>
      <c r="EUA22" s="2950"/>
      <c r="EUB22" s="2950"/>
      <c r="EUC22" s="2950"/>
      <c r="EUD22" s="2950"/>
      <c r="EUE22" s="2950"/>
      <c r="EUF22" s="2950"/>
      <c r="EUG22" s="2950"/>
      <c r="EUH22" s="2950"/>
      <c r="EUI22" s="2950"/>
      <c r="EUJ22" s="2950"/>
      <c r="EUK22" s="2950"/>
      <c r="EUL22" s="2950"/>
      <c r="EUM22" s="2950"/>
      <c r="EUN22" s="2950"/>
      <c r="EUO22" s="2950"/>
      <c r="EUP22" s="2950"/>
      <c r="EUQ22" s="2950"/>
      <c r="EUR22" s="2950"/>
      <c r="EUS22" s="2950"/>
      <c r="EUT22" s="2950"/>
      <c r="EUU22" s="2950"/>
      <c r="EUV22" s="2950"/>
      <c r="EUW22" s="2950"/>
      <c r="EUX22" s="2950"/>
      <c r="EUY22" s="2950"/>
      <c r="EUZ22" s="2950"/>
      <c r="EVA22" s="2950"/>
      <c r="EVB22" s="2950"/>
      <c r="EVC22" s="2950"/>
      <c r="EVD22" s="2950"/>
      <c r="EVE22" s="2950"/>
      <c r="EVF22" s="2950"/>
      <c r="EVG22" s="2950"/>
      <c r="EVH22" s="2950"/>
      <c r="EVI22" s="2950"/>
      <c r="EVJ22" s="2950"/>
      <c r="EVK22" s="2950"/>
      <c r="EVL22" s="2950"/>
      <c r="EVM22" s="2950"/>
      <c r="EVN22" s="2950"/>
      <c r="EVO22" s="2950"/>
      <c r="EVP22" s="2950"/>
      <c r="EVQ22" s="2950"/>
      <c r="EVR22" s="2950"/>
      <c r="EVS22" s="2950"/>
      <c r="EVT22" s="2950"/>
      <c r="EVU22" s="2950"/>
      <c r="EVV22" s="2950"/>
      <c r="EVW22" s="2950"/>
      <c r="EVX22" s="2950"/>
      <c r="EVY22" s="2950"/>
      <c r="EVZ22" s="2950"/>
      <c r="EWA22" s="2950"/>
      <c r="EWB22" s="2950"/>
      <c r="EWC22" s="2950"/>
      <c r="EWD22" s="2950"/>
      <c r="EWE22" s="2950"/>
      <c r="EWF22" s="2950"/>
      <c r="EWG22" s="2950"/>
      <c r="EWH22" s="2950"/>
      <c r="EWI22" s="2950"/>
      <c r="EWJ22" s="2950"/>
      <c r="EWK22" s="2950"/>
      <c r="EWL22" s="2950"/>
      <c r="EWM22" s="2950"/>
      <c r="EWN22" s="2950"/>
      <c r="EWO22" s="2950"/>
      <c r="EWP22" s="2950"/>
      <c r="EWQ22" s="2950"/>
      <c r="EWR22" s="2950"/>
      <c r="EWS22" s="2950"/>
      <c r="EWT22" s="2950"/>
      <c r="EWU22" s="2950"/>
      <c r="EWV22" s="2950"/>
      <c r="EWW22" s="2950"/>
      <c r="EWX22" s="2950"/>
      <c r="EWY22" s="2950"/>
      <c r="EWZ22" s="2950"/>
      <c r="EXA22" s="2950"/>
      <c r="EXB22" s="2950"/>
      <c r="EXC22" s="2950"/>
      <c r="EXD22" s="2950"/>
      <c r="EXE22" s="2950"/>
      <c r="EXF22" s="2950"/>
      <c r="EXG22" s="2950"/>
      <c r="EXH22" s="2950"/>
      <c r="EXI22" s="2950"/>
      <c r="EXJ22" s="2950"/>
      <c r="EXK22" s="2950"/>
      <c r="EXL22" s="2950"/>
      <c r="EXM22" s="2950"/>
      <c r="EXN22" s="2950"/>
      <c r="EXO22" s="2950"/>
      <c r="EXP22" s="2950"/>
      <c r="EXQ22" s="2950"/>
      <c r="EXR22" s="2950"/>
      <c r="EXS22" s="2950"/>
      <c r="EXT22" s="2950"/>
      <c r="EXU22" s="2950"/>
      <c r="EXV22" s="2950"/>
      <c r="EXW22" s="2950"/>
      <c r="EXX22" s="2950"/>
      <c r="EXY22" s="2950"/>
      <c r="EXZ22" s="2950"/>
      <c r="EYA22" s="2950"/>
      <c r="EYB22" s="2950"/>
      <c r="EYC22" s="2950"/>
      <c r="EYD22" s="2950"/>
      <c r="EYE22" s="2950"/>
      <c r="EYF22" s="2950"/>
      <c r="EYG22" s="2950"/>
      <c r="EYH22" s="2950"/>
      <c r="EYI22" s="2950"/>
      <c r="EYJ22" s="2950"/>
      <c r="EYK22" s="2950"/>
      <c r="EYL22" s="2950"/>
      <c r="EYM22" s="2950"/>
      <c r="EYN22" s="2950"/>
      <c r="EYO22" s="2950"/>
      <c r="EYP22" s="2950"/>
      <c r="EYQ22" s="2950"/>
      <c r="EYR22" s="2950"/>
      <c r="EYS22" s="2950"/>
      <c r="EYT22" s="2950"/>
      <c r="EYU22" s="2950"/>
      <c r="EYV22" s="2950"/>
      <c r="EYW22" s="2950"/>
      <c r="EYX22" s="2950"/>
      <c r="EYY22" s="2950"/>
      <c r="EYZ22" s="2950"/>
      <c r="EZA22" s="2950"/>
      <c r="EZB22" s="2950"/>
      <c r="EZC22" s="2950"/>
      <c r="EZD22" s="2950"/>
      <c r="EZE22" s="2950"/>
      <c r="EZF22" s="2950"/>
      <c r="EZG22" s="2950"/>
      <c r="EZH22" s="2950"/>
      <c r="EZI22" s="2950"/>
      <c r="EZJ22" s="2950"/>
      <c r="EZK22" s="2950"/>
      <c r="EZL22" s="2950"/>
      <c r="EZM22" s="2950"/>
      <c r="EZN22" s="2950"/>
      <c r="EZO22" s="2950"/>
      <c r="EZP22" s="2950"/>
      <c r="EZQ22" s="2950"/>
      <c r="EZR22" s="2950"/>
      <c r="EZS22" s="2950"/>
      <c r="EZT22" s="2950"/>
      <c r="EZU22" s="2950"/>
      <c r="EZV22" s="2950"/>
      <c r="EZW22" s="2950"/>
      <c r="EZX22" s="2950"/>
      <c r="EZY22" s="2950"/>
      <c r="EZZ22" s="2950"/>
      <c r="FAA22" s="2950"/>
      <c r="FAB22" s="2950"/>
      <c r="FAC22" s="2950"/>
      <c r="FAD22" s="2950"/>
      <c r="FAE22" s="2950"/>
      <c r="FAF22" s="2950"/>
      <c r="FAG22" s="2950"/>
      <c r="FAH22" s="2950"/>
      <c r="FAI22" s="2950"/>
      <c r="FAJ22" s="2950"/>
      <c r="FAK22" s="2950"/>
      <c r="FAL22" s="2950"/>
      <c r="FAM22" s="2950"/>
      <c r="FAN22" s="2950"/>
      <c r="FAO22" s="2950"/>
      <c r="FAP22" s="2950"/>
      <c r="FAQ22" s="2950"/>
      <c r="FAR22" s="2950"/>
      <c r="FAS22" s="2950"/>
      <c r="FAT22" s="2950"/>
      <c r="FAU22" s="2950"/>
      <c r="FAV22" s="2950"/>
      <c r="FAW22" s="2950"/>
      <c r="FAX22" s="2950"/>
      <c r="FAY22" s="2950"/>
      <c r="FAZ22" s="2950"/>
      <c r="FBA22" s="2950"/>
      <c r="FBB22" s="2950"/>
      <c r="FBC22" s="2950"/>
      <c r="FBD22" s="2950"/>
      <c r="FBE22" s="2950"/>
      <c r="FBF22" s="2950"/>
      <c r="FBG22" s="2950"/>
      <c r="FBH22" s="2950"/>
      <c r="FBI22" s="2950"/>
      <c r="FBJ22" s="2950"/>
      <c r="FBK22" s="2950"/>
      <c r="FBL22" s="2950"/>
      <c r="FBM22" s="2950"/>
      <c r="FBN22" s="2950"/>
      <c r="FBO22" s="2950"/>
      <c r="FBP22" s="2950"/>
      <c r="FBQ22" s="2950"/>
      <c r="FBR22" s="2950"/>
      <c r="FBS22" s="2950"/>
      <c r="FBT22" s="2950"/>
      <c r="FBU22" s="2950"/>
      <c r="FBV22" s="2950"/>
      <c r="FBW22" s="2950"/>
      <c r="FBX22" s="2950"/>
      <c r="FBY22" s="2950"/>
      <c r="FBZ22" s="2950"/>
      <c r="FCA22" s="2950"/>
      <c r="FCB22" s="2950"/>
      <c r="FCC22" s="2950"/>
      <c r="FCD22" s="2950"/>
      <c r="FCE22" s="2950"/>
      <c r="FCF22" s="2950"/>
      <c r="FCG22" s="2950"/>
      <c r="FCH22" s="2950"/>
      <c r="FCI22" s="2950"/>
      <c r="FCJ22" s="2950"/>
      <c r="FCK22" s="2950"/>
      <c r="FCL22" s="2950"/>
      <c r="FCM22" s="2950"/>
      <c r="FCN22" s="2950"/>
      <c r="FCO22" s="2950"/>
      <c r="FCP22" s="2950"/>
      <c r="FCQ22" s="2950"/>
      <c r="FCR22" s="2950"/>
      <c r="FCS22" s="2950"/>
      <c r="FCT22" s="2950"/>
      <c r="FCU22" s="2950"/>
      <c r="FCV22" s="2950"/>
      <c r="FCW22" s="2950"/>
      <c r="FCX22" s="2950"/>
      <c r="FCY22" s="2950"/>
      <c r="FCZ22" s="2950"/>
      <c r="FDA22" s="2950"/>
      <c r="FDB22" s="2950"/>
      <c r="FDC22" s="2950"/>
      <c r="FDD22" s="2950"/>
      <c r="FDE22" s="2950"/>
      <c r="FDF22" s="2950"/>
      <c r="FDG22" s="2950"/>
      <c r="FDH22" s="2950"/>
      <c r="FDI22" s="2950"/>
      <c r="FDJ22" s="2950"/>
      <c r="FDK22" s="2950"/>
      <c r="FDL22" s="2950"/>
      <c r="FDM22" s="2950"/>
      <c r="FDN22" s="2950"/>
      <c r="FDO22" s="2950"/>
      <c r="FDP22" s="2950"/>
      <c r="FDQ22" s="2950"/>
      <c r="FDR22" s="2950"/>
      <c r="FDS22" s="2950"/>
      <c r="FDT22" s="2950"/>
      <c r="FDU22" s="2950"/>
      <c r="FDV22" s="2950"/>
      <c r="FDW22" s="2950"/>
      <c r="FDX22" s="2950"/>
      <c r="FDY22" s="2950"/>
      <c r="FDZ22" s="2950"/>
      <c r="FEA22" s="2950"/>
      <c r="FEB22" s="2950"/>
      <c r="FEC22" s="2950"/>
      <c r="FED22" s="2950"/>
      <c r="FEE22" s="2950"/>
      <c r="FEF22" s="2950"/>
      <c r="FEG22" s="2950"/>
      <c r="FEH22" s="2950"/>
      <c r="FEI22" s="2950"/>
      <c r="FEJ22" s="2950"/>
      <c r="FEK22" s="2950"/>
      <c r="FEL22" s="2950"/>
      <c r="FEM22" s="2950"/>
      <c r="FEN22" s="2950"/>
      <c r="FEO22" s="2950"/>
      <c r="FEP22" s="2950"/>
      <c r="FEQ22" s="2950"/>
      <c r="FER22" s="2950"/>
      <c r="FES22" s="2950"/>
      <c r="FET22" s="2950"/>
      <c r="FEU22" s="2950"/>
      <c r="FEV22" s="2950"/>
      <c r="FEW22" s="2950"/>
      <c r="FEX22" s="2950"/>
      <c r="FEY22" s="2950"/>
      <c r="FEZ22" s="2950"/>
      <c r="FFA22" s="2950"/>
      <c r="FFB22" s="2950"/>
      <c r="FFC22" s="2950"/>
      <c r="FFD22" s="2950"/>
      <c r="FFE22" s="2950"/>
      <c r="FFF22" s="2950"/>
      <c r="FFG22" s="2950"/>
      <c r="FFH22" s="2950"/>
      <c r="FFI22" s="2950"/>
      <c r="FFJ22" s="2950"/>
      <c r="FFK22" s="2950"/>
      <c r="FFL22" s="2950"/>
      <c r="FFM22" s="2950"/>
      <c r="FFN22" s="2950"/>
      <c r="FFO22" s="2950"/>
      <c r="FFP22" s="2950"/>
      <c r="FFQ22" s="2950"/>
      <c r="FFR22" s="2950"/>
      <c r="FFS22" s="2950"/>
      <c r="FFT22" s="2950"/>
      <c r="FFU22" s="2950"/>
      <c r="FFV22" s="2950"/>
      <c r="FFW22" s="2950"/>
      <c r="FFX22" s="2950"/>
      <c r="FFY22" s="2950"/>
      <c r="FFZ22" s="2950"/>
      <c r="FGA22" s="2950"/>
      <c r="FGB22" s="2950"/>
      <c r="FGC22" s="2950"/>
      <c r="FGD22" s="2950"/>
      <c r="FGE22" s="2950"/>
      <c r="FGF22" s="2950"/>
      <c r="FGG22" s="2950"/>
      <c r="FGH22" s="2950"/>
      <c r="FGI22" s="2950"/>
      <c r="FGJ22" s="2950"/>
      <c r="FGK22" s="2950"/>
      <c r="FGL22" s="2950"/>
      <c r="FGM22" s="2950"/>
      <c r="FGN22" s="2950"/>
      <c r="FGO22" s="2950"/>
      <c r="FGP22" s="2950"/>
      <c r="FGQ22" s="2950"/>
      <c r="FGR22" s="2950"/>
      <c r="FGS22" s="2950"/>
      <c r="FGT22" s="2950"/>
      <c r="FGU22" s="2950"/>
      <c r="FGV22" s="2950"/>
      <c r="FGW22" s="2950"/>
      <c r="FGX22" s="2950"/>
      <c r="FGY22" s="2950"/>
      <c r="FGZ22" s="2950"/>
      <c r="FHA22" s="2950"/>
      <c r="FHB22" s="2950"/>
      <c r="FHC22" s="2950"/>
      <c r="FHD22" s="2950"/>
      <c r="FHE22" s="2950"/>
      <c r="FHF22" s="2950"/>
      <c r="FHG22" s="2950"/>
      <c r="FHH22" s="2950"/>
      <c r="FHI22" s="2950"/>
      <c r="FHJ22" s="2950"/>
      <c r="FHK22" s="2950"/>
      <c r="FHL22" s="2950"/>
      <c r="FHM22" s="2950"/>
      <c r="FHN22" s="2950"/>
      <c r="FHO22" s="2950"/>
      <c r="FHP22" s="2950"/>
      <c r="FHQ22" s="2950"/>
      <c r="FHR22" s="2950"/>
      <c r="FHS22" s="2950"/>
      <c r="FHT22" s="2950"/>
      <c r="FHU22" s="2950"/>
      <c r="FHV22" s="2950"/>
      <c r="FHW22" s="2950"/>
      <c r="FHX22" s="2950"/>
      <c r="FHY22" s="2950"/>
      <c r="FHZ22" s="2950"/>
      <c r="FIA22" s="2950"/>
      <c r="FIB22" s="2950"/>
      <c r="FIC22" s="2950"/>
      <c r="FID22" s="2950"/>
      <c r="FIE22" s="2950"/>
      <c r="FIF22" s="2950"/>
      <c r="FIG22" s="2950"/>
      <c r="FIH22" s="2950"/>
      <c r="FII22" s="2950"/>
      <c r="FIJ22" s="2950"/>
      <c r="FIK22" s="2950"/>
      <c r="FIL22" s="2950"/>
      <c r="FIM22" s="2950"/>
      <c r="FIN22" s="2950"/>
      <c r="FIO22" s="2950"/>
      <c r="FIP22" s="2950"/>
      <c r="FIQ22" s="2950"/>
      <c r="FIR22" s="2950"/>
      <c r="FIS22" s="2950"/>
      <c r="FIT22" s="2950"/>
      <c r="FIU22" s="2950"/>
      <c r="FIV22" s="2950"/>
      <c r="FIW22" s="2950"/>
      <c r="FIX22" s="2950"/>
      <c r="FIY22" s="2950"/>
      <c r="FIZ22" s="2950"/>
      <c r="FJA22" s="2950"/>
      <c r="FJB22" s="2950"/>
      <c r="FJC22" s="2950"/>
      <c r="FJD22" s="2950"/>
      <c r="FJE22" s="2950"/>
      <c r="FJF22" s="2950"/>
      <c r="FJG22" s="2950"/>
      <c r="FJH22" s="2950"/>
      <c r="FJI22" s="2950"/>
      <c r="FJJ22" s="2950"/>
      <c r="FJK22" s="2950"/>
      <c r="FJL22" s="2950"/>
      <c r="FJM22" s="2950"/>
      <c r="FJN22" s="2950"/>
      <c r="FJO22" s="2950"/>
      <c r="FJP22" s="2950"/>
      <c r="FJQ22" s="2950"/>
      <c r="FJR22" s="2950"/>
      <c r="FJS22" s="2950"/>
      <c r="FJT22" s="2950"/>
      <c r="FJU22" s="2950"/>
      <c r="FJV22" s="2950"/>
      <c r="FJW22" s="2950"/>
      <c r="FJX22" s="2950"/>
      <c r="FJY22" s="2950"/>
      <c r="FJZ22" s="2950"/>
      <c r="FKA22" s="2950"/>
      <c r="FKB22" s="2950"/>
      <c r="FKC22" s="2950"/>
      <c r="FKD22" s="2950"/>
      <c r="FKE22" s="2950"/>
      <c r="FKF22" s="2950"/>
      <c r="FKG22" s="2950"/>
      <c r="FKH22" s="2950"/>
      <c r="FKI22" s="2950"/>
      <c r="FKJ22" s="2950"/>
      <c r="FKK22" s="2950"/>
      <c r="FKL22" s="2950"/>
      <c r="FKM22" s="2950"/>
      <c r="FKN22" s="2950"/>
      <c r="FKO22" s="2950"/>
      <c r="FKP22" s="2950"/>
      <c r="FKQ22" s="2950"/>
      <c r="FKR22" s="2950"/>
      <c r="FKS22" s="2950"/>
      <c r="FKT22" s="2950"/>
      <c r="FKU22" s="2950"/>
      <c r="FKV22" s="2950"/>
      <c r="FKW22" s="2950"/>
      <c r="FKX22" s="2950"/>
      <c r="FKY22" s="2950"/>
      <c r="FKZ22" s="2950"/>
      <c r="FLA22" s="2950"/>
      <c r="FLB22" s="2950"/>
      <c r="FLC22" s="2950"/>
      <c r="FLD22" s="2950"/>
      <c r="FLE22" s="2950"/>
      <c r="FLF22" s="2950"/>
      <c r="FLG22" s="2950"/>
      <c r="FLH22" s="2950"/>
      <c r="FLI22" s="2950"/>
      <c r="FLJ22" s="2950"/>
      <c r="FLK22" s="2950"/>
      <c r="FLL22" s="2950"/>
      <c r="FLM22" s="2950"/>
      <c r="FLN22" s="2950"/>
      <c r="FLO22" s="2950"/>
      <c r="FLP22" s="2950"/>
      <c r="FLQ22" s="2950"/>
      <c r="FLR22" s="2950"/>
      <c r="FLS22" s="2950"/>
      <c r="FLT22" s="2950"/>
      <c r="FLU22" s="2950"/>
      <c r="FLV22" s="2950"/>
      <c r="FLW22" s="2950"/>
      <c r="FLX22" s="2950"/>
      <c r="FLY22" s="2950"/>
      <c r="FLZ22" s="2950"/>
      <c r="FMA22" s="2950"/>
      <c r="FMB22" s="2950"/>
      <c r="FMC22" s="2950"/>
      <c r="FMD22" s="2950"/>
      <c r="FME22" s="2950"/>
      <c r="FMF22" s="2950"/>
      <c r="FMG22" s="2950"/>
      <c r="FMH22" s="2950"/>
      <c r="FMI22" s="2950"/>
      <c r="FMJ22" s="2950"/>
      <c r="FMK22" s="2950"/>
      <c r="FML22" s="2950"/>
      <c r="FMM22" s="2950"/>
      <c r="FMN22" s="2950"/>
      <c r="FMO22" s="2950"/>
      <c r="FMP22" s="2950"/>
      <c r="FMQ22" s="2950"/>
      <c r="FMR22" s="2950"/>
      <c r="FMS22" s="2950"/>
      <c r="FMT22" s="2950"/>
      <c r="FMU22" s="2950"/>
      <c r="FMV22" s="2950"/>
      <c r="FMW22" s="2950"/>
      <c r="FMX22" s="2950"/>
      <c r="FMY22" s="2950"/>
      <c r="FMZ22" s="2950"/>
      <c r="FNA22" s="2950"/>
      <c r="FNB22" s="2950"/>
      <c r="FNC22" s="2950"/>
      <c r="FND22" s="2950"/>
      <c r="FNE22" s="2950"/>
      <c r="FNF22" s="2950"/>
      <c r="FNG22" s="2950"/>
      <c r="FNH22" s="2950"/>
      <c r="FNI22" s="2950"/>
      <c r="FNJ22" s="2950"/>
      <c r="FNK22" s="2950"/>
      <c r="FNL22" s="2950"/>
      <c r="FNM22" s="2950"/>
      <c r="FNN22" s="2950"/>
      <c r="FNO22" s="2950"/>
      <c r="FNP22" s="2950"/>
      <c r="FNQ22" s="2950"/>
      <c r="FNR22" s="2950"/>
      <c r="FNS22" s="2950"/>
      <c r="FNT22" s="2950"/>
      <c r="FNU22" s="2950"/>
      <c r="FNV22" s="2950"/>
      <c r="FNW22" s="2950"/>
      <c r="FNX22" s="2950"/>
      <c r="FNY22" s="2950"/>
      <c r="FNZ22" s="2950"/>
      <c r="FOA22" s="2950"/>
      <c r="FOB22" s="2950"/>
      <c r="FOC22" s="2950"/>
      <c r="FOD22" s="2950"/>
      <c r="FOE22" s="2950"/>
      <c r="FOF22" s="2950"/>
      <c r="FOG22" s="2950"/>
      <c r="FOH22" s="2950"/>
      <c r="FOI22" s="2950"/>
      <c r="FOJ22" s="2950"/>
      <c r="FOK22" s="2950"/>
      <c r="FOL22" s="2950"/>
      <c r="FOM22" s="2950"/>
      <c r="FON22" s="2950"/>
      <c r="FOO22" s="2950"/>
      <c r="FOP22" s="2950"/>
      <c r="FOQ22" s="2950"/>
      <c r="FOR22" s="2950"/>
      <c r="FOS22" s="2950"/>
      <c r="FOT22" s="2950"/>
      <c r="FOU22" s="2950"/>
      <c r="FOV22" s="2950"/>
      <c r="FOW22" s="2950"/>
      <c r="FOX22" s="2950"/>
      <c r="FOY22" s="2950"/>
      <c r="FOZ22" s="2950"/>
      <c r="FPA22" s="2950"/>
      <c r="FPB22" s="2950"/>
      <c r="FPC22" s="2950"/>
      <c r="FPD22" s="2950"/>
      <c r="FPE22" s="2950"/>
      <c r="FPF22" s="2950"/>
      <c r="FPG22" s="2950"/>
      <c r="FPH22" s="2950"/>
      <c r="FPI22" s="2950"/>
      <c r="FPJ22" s="2950"/>
      <c r="FPK22" s="2950"/>
      <c r="FPL22" s="2950"/>
      <c r="FPM22" s="2950"/>
      <c r="FPN22" s="2950"/>
      <c r="FPO22" s="2950"/>
      <c r="FPP22" s="2950"/>
      <c r="FPQ22" s="2950"/>
      <c r="FPR22" s="2950"/>
      <c r="FPS22" s="2950"/>
      <c r="FPT22" s="2950"/>
      <c r="FPU22" s="2950"/>
      <c r="FPV22" s="2950"/>
      <c r="FPW22" s="2950"/>
      <c r="FPX22" s="2950"/>
      <c r="FPY22" s="2950"/>
      <c r="FPZ22" s="2950"/>
      <c r="FQA22" s="2950"/>
      <c r="FQB22" s="2950"/>
      <c r="FQC22" s="2950"/>
      <c r="FQD22" s="2950"/>
      <c r="FQE22" s="2950"/>
      <c r="FQF22" s="2950"/>
      <c r="FQG22" s="2950"/>
      <c r="FQH22" s="2950"/>
      <c r="FQI22" s="2950"/>
      <c r="FQJ22" s="2950"/>
      <c r="FQK22" s="2950"/>
      <c r="FQL22" s="2950"/>
      <c r="FQM22" s="2950"/>
      <c r="FQN22" s="2950"/>
      <c r="FQO22" s="2950"/>
      <c r="FQP22" s="2950"/>
      <c r="FQQ22" s="2950"/>
      <c r="FQR22" s="2950"/>
      <c r="FQS22" s="2950"/>
      <c r="FQT22" s="2950"/>
      <c r="FQU22" s="2950"/>
      <c r="FQV22" s="2950"/>
      <c r="FQW22" s="2950"/>
      <c r="FQX22" s="2950"/>
      <c r="FQY22" s="2950"/>
      <c r="FQZ22" s="2950"/>
      <c r="FRA22" s="2950"/>
      <c r="FRB22" s="2950"/>
      <c r="FRC22" s="2950"/>
      <c r="FRD22" s="2950"/>
      <c r="FRE22" s="2950"/>
      <c r="FRF22" s="2950"/>
      <c r="FRG22" s="2950"/>
      <c r="FRH22" s="2950"/>
      <c r="FRI22" s="2950"/>
      <c r="FRJ22" s="2950"/>
      <c r="FRK22" s="2950"/>
      <c r="FRL22" s="2950"/>
      <c r="FRM22" s="2950"/>
      <c r="FRN22" s="2950"/>
      <c r="FRO22" s="2950"/>
      <c r="FRP22" s="2950"/>
      <c r="FRQ22" s="2950"/>
      <c r="FRR22" s="2950"/>
      <c r="FRS22" s="2950"/>
      <c r="FRT22" s="2950"/>
      <c r="FRU22" s="2950"/>
      <c r="FRV22" s="2950"/>
      <c r="FRW22" s="2950"/>
      <c r="FRX22" s="2950"/>
      <c r="FRY22" s="2950"/>
      <c r="FRZ22" s="2950"/>
      <c r="FSA22" s="2950"/>
      <c r="FSB22" s="2950"/>
      <c r="FSC22" s="2950"/>
      <c r="FSD22" s="2950"/>
      <c r="FSE22" s="2950"/>
      <c r="FSF22" s="2950"/>
      <c r="FSG22" s="2950"/>
      <c r="FSH22" s="2950"/>
      <c r="FSI22" s="2950"/>
      <c r="FSJ22" s="2950"/>
      <c r="FSK22" s="2950"/>
      <c r="FSL22" s="2950"/>
      <c r="FSM22" s="2950"/>
      <c r="FSN22" s="2950"/>
      <c r="FSO22" s="2950"/>
      <c r="FSP22" s="2950"/>
      <c r="FSQ22" s="2950"/>
      <c r="FSR22" s="2950"/>
      <c r="FSS22" s="2950"/>
      <c r="FST22" s="2950"/>
      <c r="FSU22" s="2950"/>
      <c r="FSV22" s="2950"/>
      <c r="FSW22" s="2950"/>
      <c r="FSX22" s="2950"/>
      <c r="FSY22" s="2950"/>
      <c r="FSZ22" s="2950"/>
      <c r="FTA22" s="2950"/>
      <c r="FTB22" s="2950"/>
      <c r="FTC22" s="2950"/>
      <c r="FTD22" s="2950"/>
      <c r="FTE22" s="2950"/>
      <c r="FTF22" s="2950"/>
      <c r="FTG22" s="2950"/>
      <c r="FTH22" s="2950"/>
      <c r="FTI22" s="2950"/>
      <c r="FTJ22" s="2950"/>
      <c r="FTK22" s="2950"/>
      <c r="FTL22" s="2950"/>
      <c r="FTM22" s="2950"/>
      <c r="FTN22" s="2950"/>
      <c r="FTO22" s="2950"/>
      <c r="FTP22" s="2950"/>
      <c r="FTQ22" s="2950"/>
      <c r="FTR22" s="2950"/>
      <c r="FTS22" s="2950"/>
      <c r="FTT22" s="2950"/>
      <c r="FTU22" s="2950"/>
      <c r="FTV22" s="2950"/>
      <c r="FTW22" s="2950"/>
      <c r="FTX22" s="2950"/>
      <c r="FTY22" s="2950"/>
      <c r="FTZ22" s="2950"/>
      <c r="FUA22" s="2950"/>
      <c r="FUB22" s="2950"/>
      <c r="FUC22" s="2950"/>
      <c r="FUD22" s="2950"/>
      <c r="FUE22" s="2950"/>
      <c r="FUF22" s="2950"/>
      <c r="FUG22" s="2950"/>
      <c r="FUH22" s="2950"/>
      <c r="FUI22" s="2950"/>
      <c r="FUJ22" s="2950"/>
      <c r="FUK22" s="2950"/>
      <c r="FUL22" s="2950"/>
      <c r="FUM22" s="2950"/>
      <c r="FUN22" s="2950"/>
      <c r="FUO22" s="2950"/>
      <c r="FUP22" s="2950"/>
      <c r="FUQ22" s="2950"/>
      <c r="FUR22" s="2950"/>
      <c r="FUS22" s="2950"/>
      <c r="FUT22" s="2950"/>
      <c r="FUU22" s="2950"/>
      <c r="FUV22" s="2950"/>
      <c r="FUW22" s="2950"/>
      <c r="FUX22" s="2950"/>
      <c r="FUY22" s="2950"/>
      <c r="FUZ22" s="2950"/>
      <c r="FVA22" s="2950"/>
      <c r="FVB22" s="2950"/>
      <c r="FVC22" s="2950"/>
      <c r="FVD22" s="2950"/>
      <c r="FVE22" s="2950"/>
      <c r="FVF22" s="2950"/>
      <c r="FVG22" s="2950"/>
      <c r="FVH22" s="2950"/>
      <c r="FVI22" s="2950"/>
      <c r="FVJ22" s="2950"/>
      <c r="FVK22" s="2950"/>
      <c r="FVL22" s="2950"/>
      <c r="FVM22" s="2950"/>
      <c r="FVN22" s="2950"/>
      <c r="FVO22" s="2950"/>
      <c r="FVP22" s="2950"/>
      <c r="FVQ22" s="2950"/>
      <c r="FVR22" s="2950"/>
      <c r="FVS22" s="2950"/>
      <c r="FVT22" s="2950"/>
      <c r="FVU22" s="2950"/>
      <c r="FVV22" s="2950"/>
      <c r="FVW22" s="2950"/>
      <c r="FVX22" s="2950"/>
      <c r="FVY22" s="2950"/>
      <c r="FVZ22" s="2950"/>
      <c r="FWA22" s="2950"/>
      <c r="FWB22" s="2950"/>
      <c r="FWC22" s="2950"/>
      <c r="FWD22" s="2950"/>
      <c r="FWE22" s="2950"/>
      <c r="FWF22" s="2950"/>
      <c r="FWG22" s="2950"/>
      <c r="FWH22" s="2950"/>
      <c r="FWI22" s="2950"/>
      <c r="FWJ22" s="2950"/>
      <c r="FWK22" s="2950"/>
      <c r="FWL22" s="2950"/>
      <c r="FWM22" s="2950"/>
      <c r="FWN22" s="2950"/>
      <c r="FWO22" s="2950"/>
      <c r="FWP22" s="2950"/>
      <c r="FWQ22" s="2950"/>
      <c r="FWR22" s="2950"/>
      <c r="FWS22" s="2950"/>
      <c r="FWT22" s="2950"/>
      <c r="FWU22" s="2950"/>
      <c r="FWV22" s="2950"/>
      <c r="FWW22" s="2950"/>
      <c r="FWX22" s="2950"/>
      <c r="FWY22" s="2950"/>
      <c r="FWZ22" s="2950"/>
      <c r="FXA22" s="2950"/>
      <c r="FXB22" s="2950"/>
      <c r="FXC22" s="2950"/>
      <c r="FXD22" s="2950"/>
      <c r="FXE22" s="2950"/>
      <c r="FXF22" s="2950"/>
      <c r="FXG22" s="2950"/>
      <c r="FXH22" s="2950"/>
      <c r="FXI22" s="2950"/>
      <c r="FXJ22" s="2950"/>
      <c r="FXK22" s="2950"/>
      <c r="FXL22" s="2950"/>
      <c r="FXM22" s="2950"/>
      <c r="FXN22" s="2950"/>
      <c r="FXO22" s="2950"/>
      <c r="FXP22" s="2950"/>
      <c r="FXQ22" s="2950"/>
      <c r="FXR22" s="2950"/>
      <c r="FXS22" s="2950"/>
      <c r="FXT22" s="2950"/>
      <c r="FXU22" s="2950"/>
      <c r="FXV22" s="2950"/>
      <c r="FXW22" s="2950"/>
      <c r="FXX22" s="2950"/>
      <c r="FXY22" s="2950"/>
      <c r="FXZ22" s="2950"/>
      <c r="FYA22" s="2950"/>
      <c r="FYB22" s="2950"/>
      <c r="FYC22" s="2950"/>
      <c r="FYD22" s="2950"/>
      <c r="FYE22" s="2950"/>
      <c r="FYF22" s="2950"/>
      <c r="FYG22" s="2950"/>
      <c r="FYH22" s="2950"/>
      <c r="FYI22" s="2950"/>
      <c r="FYJ22" s="2950"/>
      <c r="FYK22" s="2950"/>
      <c r="FYL22" s="2950"/>
      <c r="FYM22" s="2950"/>
      <c r="FYN22" s="2950"/>
      <c r="FYO22" s="2950"/>
      <c r="FYP22" s="2950"/>
      <c r="FYQ22" s="2950"/>
      <c r="FYR22" s="2950"/>
      <c r="FYS22" s="2950"/>
      <c r="FYT22" s="2950"/>
      <c r="FYU22" s="2950"/>
      <c r="FYV22" s="2950"/>
      <c r="FYW22" s="2950"/>
      <c r="FYX22" s="2950"/>
      <c r="FYY22" s="2950"/>
      <c r="FYZ22" s="2950"/>
      <c r="FZA22" s="2950"/>
      <c r="FZB22" s="2950"/>
      <c r="FZC22" s="2950"/>
      <c r="FZD22" s="2950"/>
      <c r="FZE22" s="2950"/>
      <c r="FZF22" s="2950"/>
      <c r="FZG22" s="2950"/>
      <c r="FZH22" s="2950"/>
      <c r="FZI22" s="2950"/>
      <c r="FZJ22" s="2950"/>
      <c r="FZK22" s="2950"/>
      <c r="FZL22" s="2950"/>
      <c r="FZM22" s="2950"/>
      <c r="FZN22" s="2950"/>
      <c r="FZO22" s="2950"/>
      <c r="FZP22" s="2950"/>
      <c r="FZQ22" s="2950"/>
      <c r="FZR22" s="2950"/>
      <c r="FZS22" s="2950"/>
      <c r="FZT22" s="2950"/>
      <c r="FZU22" s="2950"/>
      <c r="FZV22" s="2950"/>
      <c r="FZW22" s="2950"/>
      <c r="FZX22" s="2950"/>
      <c r="FZY22" s="2950"/>
      <c r="FZZ22" s="2950"/>
      <c r="GAA22" s="2950"/>
      <c r="GAB22" s="2950"/>
      <c r="GAC22" s="2950"/>
      <c r="GAD22" s="2950"/>
      <c r="GAE22" s="2950"/>
      <c r="GAF22" s="2950"/>
      <c r="GAG22" s="2950"/>
      <c r="GAH22" s="2950"/>
      <c r="GAI22" s="2950"/>
      <c r="GAJ22" s="2950"/>
      <c r="GAK22" s="2950"/>
      <c r="GAL22" s="2950"/>
      <c r="GAM22" s="2950"/>
      <c r="GAN22" s="2950"/>
      <c r="GAO22" s="2950"/>
      <c r="GAP22" s="2950"/>
      <c r="GAQ22" s="2950"/>
      <c r="GAR22" s="2950"/>
      <c r="GAS22" s="2950"/>
      <c r="GAT22" s="2950"/>
      <c r="GAU22" s="2950"/>
      <c r="GAV22" s="2950"/>
      <c r="GAW22" s="2950"/>
      <c r="GAX22" s="2950"/>
      <c r="GAY22" s="2950"/>
      <c r="GAZ22" s="2950"/>
      <c r="GBA22" s="2950"/>
      <c r="GBB22" s="2950"/>
      <c r="GBC22" s="2950"/>
      <c r="GBD22" s="2950"/>
      <c r="GBE22" s="2950"/>
      <c r="GBF22" s="2950"/>
      <c r="GBG22" s="2950"/>
      <c r="GBH22" s="2950"/>
      <c r="GBI22" s="2950"/>
      <c r="GBJ22" s="2950"/>
      <c r="GBK22" s="2950"/>
      <c r="GBL22" s="2950"/>
      <c r="GBM22" s="2950"/>
      <c r="GBN22" s="2950"/>
      <c r="GBO22" s="2950"/>
      <c r="GBP22" s="2950"/>
      <c r="GBQ22" s="2950"/>
      <c r="GBR22" s="2950"/>
      <c r="GBS22" s="2950"/>
      <c r="GBT22" s="2950"/>
      <c r="GBU22" s="2950"/>
      <c r="GBV22" s="2950"/>
      <c r="GBW22" s="2950"/>
      <c r="GBX22" s="2950"/>
      <c r="GBY22" s="2950"/>
      <c r="GBZ22" s="2950"/>
      <c r="GCA22" s="2950"/>
      <c r="GCB22" s="2950"/>
      <c r="GCC22" s="2950"/>
      <c r="GCD22" s="2950"/>
      <c r="GCE22" s="2950"/>
      <c r="GCF22" s="2950"/>
      <c r="GCG22" s="2950"/>
      <c r="GCH22" s="2950"/>
      <c r="GCI22" s="2950"/>
      <c r="GCJ22" s="2950"/>
      <c r="GCK22" s="2950"/>
      <c r="GCL22" s="2950"/>
      <c r="GCM22" s="2950"/>
      <c r="GCN22" s="2950"/>
      <c r="GCO22" s="2950"/>
      <c r="GCP22" s="2950"/>
      <c r="GCQ22" s="2950"/>
      <c r="GCR22" s="2950"/>
      <c r="GCS22" s="2950"/>
      <c r="GCT22" s="2950"/>
      <c r="GCU22" s="2950"/>
      <c r="GCV22" s="2950"/>
      <c r="GCW22" s="2950"/>
      <c r="GCX22" s="2950"/>
      <c r="GCY22" s="2950"/>
      <c r="GCZ22" s="2950"/>
      <c r="GDA22" s="2950"/>
      <c r="GDB22" s="2950"/>
      <c r="GDC22" s="2950"/>
      <c r="GDD22" s="2950"/>
      <c r="GDE22" s="2950"/>
      <c r="GDF22" s="2950"/>
      <c r="GDG22" s="2950"/>
      <c r="GDH22" s="2950"/>
      <c r="GDI22" s="2950"/>
      <c r="GDJ22" s="2950"/>
      <c r="GDK22" s="2950"/>
      <c r="GDL22" s="2950"/>
      <c r="GDM22" s="2950"/>
      <c r="GDN22" s="2950"/>
      <c r="GDO22" s="2950"/>
      <c r="GDP22" s="2950"/>
      <c r="GDQ22" s="2950"/>
      <c r="GDR22" s="2950"/>
      <c r="GDS22" s="2950"/>
      <c r="GDT22" s="2950"/>
      <c r="GDU22" s="2950"/>
      <c r="GDV22" s="2950"/>
      <c r="GDW22" s="2950"/>
      <c r="GDX22" s="2950"/>
      <c r="GDY22" s="2950"/>
      <c r="GDZ22" s="2950"/>
      <c r="GEA22" s="2950"/>
      <c r="GEB22" s="2950"/>
      <c r="GEC22" s="2950"/>
      <c r="GED22" s="2950"/>
      <c r="GEE22" s="2950"/>
      <c r="GEF22" s="2950"/>
      <c r="GEG22" s="2950"/>
      <c r="GEH22" s="2950"/>
      <c r="GEI22" s="2950"/>
      <c r="GEJ22" s="2950"/>
      <c r="GEK22" s="2950"/>
      <c r="GEL22" s="2950"/>
      <c r="GEM22" s="2950"/>
      <c r="GEN22" s="2950"/>
      <c r="GEO22" s="2950"/>
      <c r="GEP22" s="2950"/>
      <c r="GEQ22" s="2950"/>
      <c r="GER22" s="2950"/>
      <c r="GES22" s="2950"/>
      <c r="GET22" s="2950"/>
      <c r="GEU22" s="2950"/>
      <c r="GEV22" s="2950"/>
      <c r="GEW22" s="2950"/>
      <c r="GEX22" s="2950"/>
      <c r="GEY22" s="2950"/>
      <c r="GEZ22" s="2950"/>
      <c r="GFA22" s="2950"/>
      <c r="GFB22" s="2950"/>
      <c r="GFC22" s="2950"/>
      <c r="GFD22" s="2950"/>
      <c r="GFE22" s="2950"/>
      <c r="GFF22" s="2950"/>
      <c r="GFG22" s="2950"/>
      <c r="GFH22" s="2950"/>
      <c r="GFI22" s="2950"/>
      <c r="GFJ22" s="2950"/>
      <c r="GFK22" s="2950"/>
      <c r="GFL22" s="2950"/>
      <c r="GFM22" s="2950"/>
      <c r="GFN22" s="2950"/>
      <c r="GFO22" s="2950"/>
      <c r="GFP22" s="2950"/>
      <c r="GFQ22" s="2950"/>
      <c r="GFR22" s="2950"/>
      <c r="GFS22" s="2950"/>
      <c r="GFT22" s="2950"/>
      <c r="GFU22" s="2950"/>
      <c r="GFV22" s="2950"/>
      <c r="GFW22" s="2950"/>
      <c r="GFX22" s="2950"/>
      <c r="GFY22" s="2950"/>
      <c r="GFZ22" s="2950"/>
      <c r="GGA22" s="2950"/>
      <c r="GGB22" s="2950"/>
      <c r="GGC22" s="2950"/>
      <c r="GGD22" s="2950"/>
      <c r="GGE22" s="2950"/>
      <c r="GGF22" s="2950"/>
      <c r="GGG22" s="2950"/>
      <c r="GGH22" s="2950"/>
      <c r="GGI22" s="2950"/>
      <c r="GGJ22" s="2950"/>
      <c r="GGK22" s="2950"/>
      <c r="GGL22" s="2950"/>
      <c r="GGM22" s="2950"/>
      <c r="GGN22" s="2950"/>
      <c r="GGO22" s="2950"/>
      <c r="GGP22" s="2950"/>
      <c r="GGQ22" s="2950"/>
      <c r="GGR22" s="2950"/>
      <c r="GGS22" s="2950"/>
      <c r="GGT22" s="2950"/>
      <c r="GGU22" s="2950"/>
      <c r="GGV22" s="2950"/>
      <c r="GGW22" s="2950"/>
      <c r="GGX22" s="2950"/>
      <c r="GGY22" s="2950"/>
      <c r="GGZ22" s="2950"/>
      <c r="GHA22" s="2950"/>
      <c r="GHB22" s="2950"/>
      <c r="GHC22" s="2950"/>
      <c r="GHD22" s="2950"/>
      <c r="GHE22" s="2950"/>
      <c r="GHF22" s="2950"/>
      <c r="GHG22" s="2950"/>
      <c r="GHH22" s="2950"/>
      <c r="GHI22" s="2950"/>
      <c r="GHJ22" s="2950"/>
      <c r="GHK22" s="2950"/>
      <c r="GHL22" s="2950"/>
      <c r="GHM22" s="2950"/>
      <c r="GHN22" s="2950"/>
      <c r="GHO22" s="2950"/>
      <c r="GHP22" s="2950"/>
      <c r="GHQ22" s="2950"/>
      <c r="GHR22" s="2950"/>
      <c r="GHS22" s="2950"/>
      <c r="GHT22" s="2950"/>
      <c r="GHU22" s="2950"/>
      <c r="GHV22" s="2950"/>
      <c r="GHW22" s="2950"/>
      <c r="GHX22" s="2950"/>
      <c r="GHY22" s="2950"/>
      <c r="GHZ22" s="2950"/>
      <c r="GIA22" s="2950"/>
      <c r="GIB22" s="2950"/>
      <c r="GIC22" s="2950"/>
      <c r="GID22" s="2950"/>
      <c r="GIE22" s="2950"/>
      <c r="GIF22" s="2950"/>
      <c r="GIG22" s="2950"/>
      <c r="GIH22" s="2950"/>
      <c r="GII22" s="2950"/>
      <c r="GIJ22" s="2950"/>
      <c r="GIK22" s="2950"/>
      <c r="GIL22" s="2950"/>
      <c r="GIM22" s="2950"/>
      <c r="GIN22" s="2950"/>
      <c r="GIO22" s="2950"/>
      <c r="GIP22" s="2950"/>
      <c r="GIQ22" s="2950"/>
      <c r="GIR22" s="2950"/>
      <c r="GIS22" s="2950"/>
      <c r="GIT22" s="2950"/>
      <c r="GIU22" s="2950"/>
      <c r="GIV22" s="2950"/>
      <c r="GIW22" s="2950"/>
      <c r="GIX22" s="2950"/>
      <c r="GIY22" s="2950"/>
      <c r="GIZ22" s="2950"/>
      <c r="GJA22" s="2950"/>
      <c r="GJB22" s="2950"/>
      <c r="GJC22" s="2950"/>
      <c r="GJD22" s="2950"/>
      <c r="GJE22" s="2950"/>
      <c r="GJF22" s="2950"/>
      <c r="GJG22" s="2950"/>
      <c r="GJH22" s="2950"/>
      <c r="GJI22" s="2950"/>
      <c r="GJJ22" s="2950"/>
      <c r="GJK22" s="2950"/>
      <c r="GJL22" s="2950"/>
      <c r="GJM22" s="2950"/>
      <c r="GJN22" s="2950"/>
      <c r="GJO22" s="2950"/>
      <c r="GJP22" s="2950"/>
      <c r="GJQ22" s="2950"/>
      <c r="GJR22" s="2950"/>
      <c r="GJS22" s="2950"/>
      <c r="GJT22" s="2950"/>
      <c r="GJU22" s="2950"/>
      <c r="GJV22" s="2950"/>
      <c r="GJW22" s="2950"/>
      <c r="GJX22" s="2950"/>
      <c r="GJY22" s="2950"/>
      <c r="GJZ22" s="2950"/>
      <c r="GKA22" s="2950"/>
      <c r="GKB22" s="2950"/>
      <c r="GKC22" s="2950"/>
      <c r="GKD22" s="2950"/>
      <c r="GKE22" s="2950"/>
      <c r="GKF22" s="2950"/>
      <c r="GKG22" s="2950"/>
      <c r="GKH22" s="2950"/>
      <c r="GKI22" s="2950"/>
      <c r="GKJ22" s="2950"/>
      <c r="GKK22" s="2950"/>
      <c r="GKL22" s="2950"/>
      <c r="GKM22" s="2950"/>
      <c r="GKN22" s="2950"/>
      <c r="GKO22" s="2950"/>
      <c r="GKP22" s="2950"/>
      <c r="GKQ22" s="2950"/>
      <c r="GKR22" s="2950"/>
      <c r="GKS22" s="2950"/>
      <c r="GKT22" s="2950"/>
      <c r="GKU22" s="2950"/>
      <c r="GKV22" s="2950"/>
      <c r="GKW22" s="2950"/>
      <c r="GKX22" s="2950"/>
      <c r="GKY22" s="2950"/>
      <c r="GKZ22" s="2950"/>
      <c r="GLA22" s="2950"/>
      <c r="GLB22" s="2950"/>
      <c r="GLC22" s="2950"/>
      <c r="GLD22" s="2950"/>
      <c r="GLE22" s="2950"/>
      <c r="GLF22" s="2950"/>
      <c r="GLG22" s="2950"/>
      <c r="GLH22" s="2950"/>
      <c r="GLI22" s="2950"/>
      <c r="GLJ22" s="2950"/>
      <c r="GLK22" s="2950"/>
      <c r="GLL22" s="2950"/>
      <c r="GLM22" s="2950"/>
      <c r="GLN22" s="2950"/>
      <c r="GLO22" s="2950"/>
      <c r="GLP22" s="2950"/>
      <c r="GLQ22" s="2950"/>
      <c r="GLR22" s="2950"/>
      <c r="GLS22" s="2950"/>
      <c r="GLT22" s="2950"/>
      <c r="GLU22" s="2950"/>
      <c r="GLV22" s="2950"/>
      <c r="GLW22" s="2950"/>
      <c r="GLX22" s="2950"/>
      <c r="GLY22" s="2950"/>
      <c r="GLZ22" s="2950"/>
      <c r="GMA22" s="2950"/>
      <c r="GMB22" s="2950"/>
      <c r="GMC22" s="2950"/>
      <c r="GMD22" s="2950"/>
      <c r="GME22" s="2950"/>
      <c r="GMF22" s="2950"/>
      <c r="GMG22" s="2950"/>
      <c r="GMH22" s="2950"/>
      <c r="GMI22" s="2950"/>
      <c r="GMJ22" s="2950"/>
      <c r="GMK22" s="2950"/>
      <c r="GML22" s="2950"/>
      <c r="GMM22" s="2950"/>
      <c r="GMN22" s="2950"/>
      <c r="GMO22" s="2950"/>
      <c r="GMP22" s="2950"/>
      <c r="GMQ22" s="2950"/>
      <c r="GMR22" s="2950"/>
      <c r="GMS22" s="2950"/>
      <c r="GMT22" s="2950"/>
      <c r="GMU22" s="2950"/>
      <c r="GMV22" s="2950"/>
      <c r="GMW22" s="2950"/>
      <c r="GMX22" s="2950"/>
      <c r="GMY22" s="2950"/>
      <c r="GMZ22" s="2950"/>
      <c r="GNA22" s="2950"/>
      <c r="GNB22" s="2950"/>
      <c r="GNC22" s="2950"/>
      <c r="GND22" s="2950"/>
      <c r="GNE22" s="2950"/>
      <c r="GNF22" s="2950"/>
      <c r="GNG22" s="2950"/>
      <c r="GNH22" s="2950"/>
      <c r="GNI22" s="2950"/>
      <c r="GNJ22" s="2950"/>
      <c r="GNK22" s="2950"/>
      <c r="GNL22" s="2950"/>
      <c r="GNM22" s="2950"/>
      <c r="GNN22" s="2950"/>
      <c r="GNO22" s="2950"/>
      <c r="GNP22" s="2950"/>
      <c r="GNQ22" s="2950"/>
      <c r="GNR22" s="2950"/>
      <c r="GNS22" s="2950"/>
      <c r="GNT22" s="2950"/>
      <c r="GNU22" s="2950"/>
      <c r="GNV22" s="2950"/>
      <c r="GNW22" s="2950"/>
      <c r="GNX22" s="2950"/>
      <c r="GNY22" s="2950"/>
      <c r="GNZ22" s="2950"/>
      <c r="GOA22" s="2950"/>
      <c r="GOB22" s="2950"/>
      <c r="GOC22" s="2950"/>
      <c r="GOD22" s="2950"/>
      <c r="GOE22" s="2950"/>
      <c r="GOF22" s="2950"/>
      <c r="GOG22" s="2950"/>
      <c r="GOH22" s="2950"/>
      <c r="GOI22" s="2950"/>
      <c r="GOJ22" s="2950"/>
      <c r="GOK22" s="2950"/>
      <c r="GOL22" s="2950"/>
      <c r="GOM22" s="2950"/>
      <c r="GON22" s="2950"/>
      <c r="GOO22" s="2950"/>
      <c r="GOP22" s="2950"/>
      <c r="GOQ22" s="2950"/>
      <c r="GOR22" s="2950"/>
      <c r="GOS22" s="2950"/>
      <c r="GOT22" s="2950"/>
      <c r="GOU22" s="2950"/>
      <c r="GOV22" s="2950"/>
      <c r="GOW22" s="2950"/>
      <c r="GOX22" s="2950"/>
      <c r="GOY22" s="2950"/>
      <c r="GOZ22" s="2950"/>
      <c r="GPA22" s="2950"/>
      <c r="GPB22" s="2950"/>
      <c r="GPC22" s="2950"/>
      <c r="GPD22" s="2950"/>
      <c r="GPE22" s="2950"/>
      <c r="GPF22" s="2950"/>
      <c r="GPG22" s="2950"/>
      <c r="GPH22" s="2950"/>
      <c r="GPI22" s="2950"/>
      <c r="GPJ22" s="2950"/>
      <c r="GPK22" s="2950"/>
      <c r="GPL22" s="2950"/>
      <c r="GPM22" s="2950"/>
      <c r="GPN22" s="2950"/>
      <c r="GPO22" s="2950"/>
      <c r="GPP22" s="2950"/>
      <c r="GPQ22" s="2950"/>
      <c r="GPR22" s="2950"/>
      <c r="GPS22" s="2950"/>
      <c r="GPT22" s="2950"/>
      <c r="GPU22" s="2950"/>
      <c r="GPV22" s="2950"/>
      <c r="GPW22" s="2950"/>
      <c r="GPX22" s="2950"/>
      <c r="GPY22" s="2950"/>
      <c r="GPZ22" s="2950"/>
      <c r="GQA22" s="2950"/>
      <c r="GQB22" s="2950"/>
      <c r="GQC22" s="2950"/>
      <c r="GQD22" s="2950"/>
      <c r="GQE22" s="2950"/>
      <c r="GQF22" s="2950"/>
      <c r="GQG22" s="2950"/>
      <c r="GQH22" s="2950"/>
      <c r="GQI22" s="2950"/>
      <c r="GQJ22" s="2950"/>
      <c r="GQK22" s="2950"/>
      <c r="GQL22" s="2950"/>
      <c r="GQM22" s="2950"/>
      <c r="GQN22" s="2950"/>
      <c r="GQO22" s="2950"/>
      <c r="GQP22" s="2950"/>
      <c r="GQQ22" s="2950"/>
      <c r="GQR22" s="2950"/>
      <c r="GQS22" s="2950"/>
      <c r="GQT22" s="2950"/>
      <c r="GQU22" s="2950"/>
      <c r="GQV22" s="2950"/>
      <c r="GQW22" s="2950"/>
      <c r="GQX22" s="2950"/>
      <c r="GQY22" s="2950"/>
      <c r="GQZ22" s="2950"/>
      <c r="GRA22" s="2950"/>
      <c r="GRB22" s="2950"/>
      <c r="GRC22" s="2950"/>
      <c r="GRD22" s="2950"/>
      <c r="GRE22" s="2950"/>
      <c r="GRF22" s="2950"/>
      <c r="GRG22" s="2950"/>
      <c r="GRH22" s="2950"/>
      <c r="GRI22" s="2950"/>
      <c r="GRJ22" s="2950"/>
      <c r="GRK22" s="2950"/>
      <c r="GRL22" s="2950"/>
      <c r="GRM22" s="2950"/>
      <c r="GRN22" s="2950"/>
      <c r="GRO22" s="2950"/>
      <c r="GRP22" s="2950"/>
      <c r="GRQ22" s="2950"/>
      <c r="GRR22" s="2950"/>
      <c r="GRS22" s="2950"/>
      <c r="GRT22" s="2950"/>
      <c r="GRU22" s="2950"/>
      <c r="GRV22" s="2950"/>
      <c r="GRW22" s="2950"/>
      <c r="GRX22" s="2950"/>
      <c r="GRY22" s="2950"/>
      <c r="GRZ22" s="2950"/>
      <c r="GSA22" s="2950"/>
      <c r="GSB22" s="2950"/>
      <c r="GSC22" s="2950"/>
      <c r="GSD22" s="2950"/>
      <c r="GSE22" s="2950"/>
      <c r="GSF22" s="2950"/>
      <c r="GSG22" s="2950"/>
      <c r="GSH22" s="2950"/>
      <c r="GSI22" s="2950"/>
      <c r="GSJ22" s="2950"/>
      <c r="GSK22" s="2950"/>
      <c r="GSL22" s="2950"/>
      <c r="GSM22" s="2950"/>
      <c r="GSN22" s="2950"/>
      <c r="GSO22" s="2950"/>
      <c r="GSP22" s="2950"/>
      <c r="GSQ22" s="2950"/>
      <c r="GSR22" s="2950"/>
      <c r="GSS22" s="2950"/>
      <c r="GST22" s="2950"/>
      <c r="GSU22" s="2950"/>
      <c r="GSV22" s="2950"/>
      <c r="GSW22" s="2950"/>
      <c r="GSX22" s="2950"/>
      <c r="GSY22" s="2950"/>
      <c r="GSZ22" s="2950"/>
      <c r="GTA22" s="2950"/>
      <c r="GTB22" s="2950"/>
      <c r="GTC22" s="2950"/>
      <c r="GTD22" s="2950"/>
      <c r="GTE22" s="2950"/>
      <c r="GTF22" s="2950"/>
      <c r="GTG22" s="2950"/>
      <c r="GTH22" s="2950"/>
      <c r="GTI22" s="2950"/>
      <c r="GTJ22" s="2950"/>
      <c r="GTK22" s="2950"/>
      <c r="GTL22" s="2950"/>
      <c r="GTM22" s="2950"/>
      <c r="GTN22" s="2950"/>
      <c r="GTO22" s="2950"/>
      <c r="GTP22" s="2950"/>
      <c r="GTQ22" s="2950"/>
      <c r="GTR22" s="2950"/>
      <c r="GTS22" s="2950"/>
      <c r="GTT22" s="2950"/>
      <c r="GTU22" s="2950"/>
      <c r="GTV22" s="2950"/>
      <c r="GTW22" s="2950"/>
      <c r="GTX22" s="2950"/>
      <c r="GTY22" s="2950"/>
      <c r="GTZ22" s="2950"/>
      <c r="GUA22" s="2950"/>
      <c r="GUB22" s="2950"/>
      <c r="GUC22" s="2950"/>
      <c r="GUD22" s="2950"/>
      <c r="GUE22" s="2950"/>
      <c r="GUF22" s="2950"/>
      <c r="GUG22" s="2950"/>
      <c r="GUH22" s="2950"/>
      <c r="GUI22" s="2950"/>
      <c r="GUJ22" s="2950"/>
      <c r="GUK22" s="2950"/>
      <c r="GUL22" s="2950"/>
      <c r="GUM22" s="2950"/>
      <c r="GUN22" s="2950"/>
      <c r="GUO22" s="2950"/>
      <c r="GUP22" s="2950"/>
      <c r="GUQ22" s="2950"/>
      <c r="GUR22" s="2950"/>
      <c r="GUS22" s="2950"/>
      <c r="GUT22" s="2950"/>
      <c r="GUU22" s="2950"/>
      <c r="GUV22" s="2950"/>
      <c r="GUW22" s="2950"/>
      <c r="GUX22" s="2950"/>
      <c r="GUY22" s="2950"/>
      <c r="GUZ22" s="2950"/>
      <c r="GVA22" s="2950"/>
      <c r="GVB22" s="2950"/>
      <c r="GVC22" s="2950"/>
      <c r="GVD22" s="2950"/>
      <c r="GVE22" s="2950"/>
      <c r="GVF22" s="2950"/>
      <c r="GVG22" s="2950"/>
      <c r="GVH22" s="2950"/>
      <c r="GVI22" s="2950"/>
      <c r="GVJ22" s="2950"/>
      <c r="GVK22" s="2950"/>
      <c r="GVL22" s="2950"/>
      <c r="GVM22" s="2950"/>
      <c r="GVN22" s="2950"/>
      <c r="GVO22" s="2950"/>
      <c r="GVP22" s="2950"/>
      <c r="GVQ22" s="2950"/>
      <c r="GVR22" s="2950"/>
      <c r="GVS22" s="2950"/>
      <c r="GVT22" s="2950"/>
      <c r="GVU22" s="2950"/>
      <c r="GVV22" s="2950"/>
      <c r="GVW22" s="2950"/>
      <c r="GVX22" s="2950"/>
      <c r="GVY22" s="2950"/>
      <c r="GVZ22" s="2950"/>
      <c r="GWA22" s="2950"/>
      <c r="GWB22" s="2950"/>
      <c r="GWC22" s="2950"/>
      <c r="GWD22" s="2950"/>
      <c r="GWE22" s="2950"/>
      <c r="GWF22" s="2950"/>
      <c r="GWG22" s="2950"/>
      <c r="GWH22" s="2950"/>
      <c r="GWI22" s="2950"/>
      <c r="GWJ22" s="2950"/>
      <c r="GWK22" s="2950"/>
      <c r="GWL22" s="2950"/>
      <c r="GWM22" s="2950"/>
      <c r="GWN22" s="2950"/>
      <c r="GWO22" s="2950"/>
      <c r="GWP22" s="2950"/>
      <c r="GWQ22" s="2950"/>
      <c r="GWR22" s="2950"/>
      <c r="GWS22" s="2950"/>
      <c r="GWT22" s="2950"/>
      <c r="GWU22" s="2950"/>
      <c r="GWV22" s="2950"/>
      <c r="GWW22" s="2950"/>
      <c r="GWX22" s="2950"/>
      <c r="GWY22" s="2950"/>
      <c r="GWZ22" s="2950"/>
      <c r="GXA22" s="2950"/>
      <c r="GXB22" s="2950"/>
      <c r="GXC22" s="2950"/>
      <c r="GXD22" s="2950"/>
      <c r="GXE22" s="2950"/>
      <c r="GXF22" s="2950"/>
      <c r="GXG22" s="2950"/>
      <c r="GXH22" s="2950"/>
      <c r="GXI22" s="2950"/>
      <c r="GXJ22" s="2950"/>
      <c r="GXK22" s="2950"/>
      <c r="GXL22" s="2950"/>
      <c r="GXM22" s="2950"/>
      <c r="GXN22" s="2950"/>
      <c r="GXO22" s="2950"/>
      <c r="GXP22" s="2950"/>
      <c r="GXQ22" s="2950"/>
      <c r="GXR22" s="2950"/>
      <c r="GXS22" s="2950"/>
      <c r="GXT22" s="2950"/>
      <c r="GXU22" s="2950"/>
      <c r="GXV22" s="2950"/>
      <c r="GXW22" s="2950"/>
      <c r="GXX22" s="2950"/>
      <c r="GXY22" s="2950"/>
      <c r="GXZ22" s="2950"/>
      <c r="GYA22" s="2950"/>
      <c r="GYB22" s="2950"/>
      <c r="GYC22" s="2950"/>
      <c r="GYD22" s="2950"/>
      <c r="GYE22" s="2950"/>
      <c r="GYF22" s="2950"/>
      <c r="GYG22" s="2950"/>
      <c r="GYH22" s="2950"/>
      <c r="GYI22" s="2950"/>
      <c r="GYJ22" s="2950"/>
      <c r="GYK22" s="2950"/>
      <c r="GYL22" s="2950"/>
      <c r="GYM22" s="2950"/>
      <c r="GYN22" s="2950"/>
      <c r="GYO22" s="2950"/>
      <c r="GYP22" s="2950"/>
      <c r="GYQ22" s="2950"/>
      <c r="GYR22" s="2950"/>
      <c r="GYS22" s="2950"/>
      <c r="GYT22" s="2950"/>
      <c r="GYU22" s="2950"/>
      <c r="GYV22" s="2950"/>
      <c r="GYW22" s="2950"/>
      <c r="GYX22" s="2950"/>
      <c r="GYY22" s="2950"/>
      <c r="GYZ22" s="2950"/>
      <c r="GZA22" s="2950"/>
      <c r="GZB22" s="2950"/>
      <c r="GZC22" s="2950"/>
      <c r="GZD22" s="2950"/>
      <c r="GZE22" s="2950"/>
      <c r="GZF22" s="2950"/>
      <c r="GZG22" s="2950"/>
      <c r="GZH22" s="2950"/>
      <c r="GZI22" s="2950"/>
      <c r="GZJ22" s="2950"/>
      <c r="GZK22" s="2950"/>
      <c r="GZL22" s="2950"/>
      <c r="GZM22" s="2950"/>
      <c r="GZN22" s="2950"/>
      <c r="GZO22" s="2950"/>
      <c r="GZP22" s="2950"/>
      <c r="GZQ22" s="2950"/>
      <c r="GZR22" s="2950"/>
      <c r="GZS22" s="2950"/>
      <c r="GZT22" s="2950"/>
      <c r="GZU22" s="2950"/>
      <c r="GZV22" s="2950"/>
      <c r="GZW22" s="2950"/>
      <c r="GZX22" s="2950"/>
      <c r="GZY22" s="2950"/>
      <c r="GZZ22" s="2950"/>
      <c r="HAA22" s="2950"/>
      <c r="HAB22" s="2950"/>
      <c r="HAC22" s="2950"/>
      <c r="HAD22" s="2950"/>
      <c r="HAE22" s="2950"/>
      <c r="HAF22" s="2950"/>
      <c r="HAG22" s="2950"/>
      <c r="HAH22" s="2950"/>
      <c r="HAI22" s="2950"/>
      <c r="HAJ22" s="2950"/>
      <c r="HAK22" s="2950"/>
      <c r="HAL22" s="2950"/>
      <c r="HAM22" s="2950"/>
      <c r="HAN22" s="2950"/>
      <c r="HAO22" s="2950"/>
      <c r="HAP22" s="2950"/>
      <c r="HAQ22" s="2950"/>
      <c r="HAR22" s="2950"/>
      <c r="HAS22" s="2950"/>
      <c r="HAT22" s="2950"/>
      <c r="HAU22" s="2950"/>
      <c r="HAV22" s="2950"/>
      <c r="HAW22" s="2950"/>
      <c r="HAX22" s="2950"/>
      <c r="HAY22" s="2950"/>
      <c r="HAZ22" s="2950"/>
      <c r="HBA22" s="2950"/>
      <c r="HBB22" s="2950"/>
      <c r="HBC22" s="2950"/>
      <c r="HBD22" s="2950"/>
      <c r="HBE22" s="2950"/>
      <c r="HBF22" s="2950"/>
      <c r="HBG22" s="2950"/>
      <c r="HBH22" s="2950"/>
      <c r="HBI22" s="2950"/>
      <c r="HBJ22" s="2950"/>
      <c r="HBK22" s="2950"/>
      <c r="HBL22" s="2950"/>
      <c r="HBM22" s="2950"/>
      <c r="HBN22" s="2950"/>
      <c r="HBO22" s="2950"/>
      <c r="HBP22" s="2950"/>
      <c r="HBQ22" s="2950"/>
      <c r="HBR22" s="2950"/>
      <c r="HBS22" s="2950"/>
      <c r="HBT22" s="2950"/>
      <c r="HBU22" s="2950"/>
      <c r="HBV22" s="2950"/>
      <c r="HBW22" s="2950"/>
      <c r="HBX22" s="2950"/>
      <c r="HBY22" s="2950"/>
      <c r="HBZ22" s="2950"/>
      <c r="HCA22" s="2950"/>
      <c r="HCB22" s="2950"/>
      <c r="HCC22" s="2950"/>
      <c r="HCD22" s="2950"/>
      <c r="HCE22" s="2950"/>
      <c r="HCF22" s="2950"/>
      <c r="HCG22" s="2950"/>
      <c r="HCH22" s="2950"/>
      <c r="HCI22" s="2950"/>
      <c r="HCJ22" s="2950"/>
      <c r="HCK22" s="2950"/>
      <c r="HCL22" s="2950"/>
      <c r="HCM22" s="2950"/>
      <c r="HCN22" s="2950"/>
      <c r="HCO22" s="2950"/>
      <c r="HCP22" s="2950"/>
      <c r="HCQ22" s="2950"/>
      <c r="HCR22" s="2950"/>
      <c r="HCS22" s="2950"/>
      <c r="HCT22" s="2950"/>
      <c r="HCU22" s="2950"/>
      <c r="HCV22" s="2950"/>
      <c r="HCW22" s="2950"/>
      <c r="HCX22" s="2950"/>
      <c r="HCY22" s="2950"/>
      <c r="HCZ22" s="2950"/>
      <c r="HDA22" s="2950"/>
      <c r="HDB22" s="2950"/>
      <c r="HDC22" s="2950"/>
      <c r="HDD22" s="2950"/>
      <c r="HDE22" s="2950"/>
      <c r="HDF22" s="2950"/>
      <c r="HDG22" s="2950"/>
      <c r="HDH22" s="2950"/>
      <c r="HDI22" s="2950"/>
      <c r="HDJ22" s="2950"/>
      <c r="HDK22" s="2950"/>
      <c r="HDL22" s="2950"/>
      <c r="HDM22" s="2950"/>
      <c r="HDN22" s="2950"/>
      <c r="HDO22" s="2950"/>
      <c r="HDP22" s="2950"/>
      <c r="HDQ22" s="2950"/>
      <c r="HDR22" s="2950"/>
      <c r="HDS22" s="2950"/>
      <c r="HDT22" s="2950"/>
      <c r="HDU22" s="2950"/>
      <c r="HDV22" s="2950"/>
      <c r="HDW22" s="2950"/>
      <c r="HDX22" s="2950"/>
      <c r="HDY22" s="2950"/>
      <c r="HDZ22" s="2950"/>
      <c r="HEA22" s="2950"/>
      <c r="HEB22" s="2950"/>
      <c r="HEC22" s="2950"/>
      <c r="HED22" s="2950"/>
      <c r="HEE22" s="2950"/>
      <c r="HEF22" s="2950"/>
      <c r="HEG22" s="2950"/>
      <c r="HEH22" s="2950"/>
      <c r="HEI22" s="2950"/>
      <c r="HEJ22" s="2950"/>
      <c r="HEK22" s="2950"/>
      <c r="HEL22" s="2950"/>
      <c r="HEM22" s="2950"/>
      <c r="HEN22" s="2950"/>
      <c r="HEO22" s="2950"/>
      <c r="HEP22" s="2950"/>
      <c r="HEQ22" s="2950"/>
      <c r="HER22" s="2950"/>
      <c r="HES22" s="2950"/>
      <c r="HET22" s="2950"/>
      <c r="HEU22" s="2950"/>
      <c r="HEV22" s="2950"/>
      <c r="HEW22" s="2950"/>
      <c r="HEX22" s="2950"/>
      <c r="HEY22" s="2950"/>
      <c r="HEZ22" s="2950"/>
      <c r="HFA22" s="2950"/>
      <c r="HFB22" s="2950"/>
      <c r="HFC22" s="2950"/>
      <c r="HFD22" s="2950"/>
      <c r="HFE22" s="2950"/>
      <c r="HFF22" s="2950"/>
      <c r="HFG22" s="2950"/>
      <c r="HFH22" s="2950"/>
      <c r="HFI22" s="2950"/>
      <c r="HFJ22" s="2950"/>
      <c r="HFK22" s="2950"/>
      <c r="HFL22" s="2950"/>
      <c r="HFM22" s="2950"/>
      <c r="HFN22" s="2950"/>
      <c r="HFO22" s="2950"/>
      <c r="HFP22" s="2950"/>
      <c r="HFQ22" s="2950"/>
      <c r="HFR22" s="2950"/>
      <c r="HFS22" s="2950"/>
      <c r="HFT22" s="2950"/>
      <c r="HFU22" s="2950"/>
      <c r="HFV22" s="2950"/>
      <c r="HFW22" s="2950"/>
      <c r="HFX22" s="2950"/>
      <c r="HFY22" s="2950"/>
      <c r="HFZ22" s="2950"/>
      <c r="HGA22" s="2950"/>
      <c r="HGB22" s="2950"/>
      <c r="HGC22" s="2950"/>
      <c r="HGD22" s="2950"/>
      <c r="HGE22" s="2950"/>
      <c r="HGF22" s="2950"/>
      <c r="HGG22" s="2950"/>
      <c r="HGH22" s="2950"/>
      <c r="HGI22" s="2950"/>
      <c r="HGJ22" s="2950"/>
      <c r="HGK22" s="2950"/>
      <c r="HGL22" s="2950"/>
      <c r="HGM22" s="2950"/>
      <c r="HGN22" s="2950"/>
      <c r="HGO22" s="2950"/>
      <c r="HGP22" s="2950"/>
      <c r="HGQ22" s="2950"/>
      <c r="HGR22" s="2950"/>
      <c r="HGS22" s="2950"/>
      <c r="HGT22" s="2950"/>
      <c r="HGU22" s="2950"/>
      <c r="HGV22" s="2950"/>
      <c r="HGW22" s="2950"/>
      <c r="HGX22" s="2950"/>
      <c r="HGY22" s="2950"/>
      <c r="HGZ22" s="2950"/>
      <c r="HHA22" s="2950"/>
      <c r="HHB22" s="2950"/>
      <c r="HHC22" s="2950"/>
      <c r="HHD22" s="2950"/>
      <c r="HHE22" s="2950"/>
      <c r="HHF22" s="2950"/>
      <c r="HHG22" s="2950"/>
      <c r="HHH22" s="2950"/>
      <c r="HHI22" s="2950"/>
      <c r="HHJ22" s="2950"/>
      <c r="HHK22" s="2950"/>
      <c r="HHL22" s="2950"/>
      <c r="HHM22" s="2950"/>
      <c r="HHN22" s="2950"/>
      <c r="HHO22" s="2950"/>
      <c r="HHP22" s="2950"/>
      <c r="HHQ22" s="2950"/>
      <c r="HHR22" s="2950"/>
      <c r="HHS22" s="2950"/>
      <c r="HHT22" s="2950"/>
      <c r="HHU22" s="2950"/>
      <c r="HHV22" s="2950"/>
      <c r="HHW22" s="2950"/>
      <c r="HHX22" s="2950"/>
      <c r="HHY22" s="2950"/>
      <c r="HHZ22" s="2950"/>
      <c r="HIA22" s="2950"/>
      <c r="HIB22" s="2950"/>
      <c r="HIC22" s="2950"/>
      <c r="HID22" s="2950"/>
      <c r="HIE22" s="2950"/>
      <c r="HIF22" s="2950"/>
      <c r="HIG22" s="2950"/>
      <c r="HIH22" s="2950"/>
      <c r="HII22" s="2950"/>
      <c r="HIJ22" s="2950"/>
      <c r="HIK22" s="2950"/>
      <c r="HIL22" s="2950"/>
      <c r="HIM22" s="2950"/>
      <c r="HIN22" s="2950"/>
      <c r="HIO22" s="2950"/>
      <c r="HIP22" s="2950"/>
      <c r="HIQ22" s="2950"/>
      <c r="HIR22" s="2950"/>
      <c r="HIS22" s="2950"/>
      <c r="HIT22" s="2950"/>
      <c r="HIU22" s="2950"/>
      <c r="HIV22" s="2950"/>
      <c r="HIW22" s="2950"/>
      <c r="HIX22" s="2950"/>
      <c r="HIY22" s="2950"/>
      <c r="HIZ22" s="2950"/>
      <c r="HJA22" s="2950"/>
      <c r="HJB22" s="2950"/>
      <c r="HJC22" s="2950"/>
      <c r="HJD22" s="2950"/>
      <c r="HJE22" s="2950"/>
      <c r="HJF22" s="2950"/>
      <c r="HJG22" s="2950"/>
      <c r="HJH22" s="2950"/>
      <c r="HJI22" s="2950"/>
      <c r="HJJ22" s="2950"/>
      <c r="HJK22" s="2950"/>
      <c r="HJL22" s="2950"/>
      <c r="HJM22" s="2950"/>
      <c r="HJN22" s="2950"/>
      <c r="HJO22" s="2950"/>
      <c r="HJP22" s="2950"/>
      <c r="HJQ22" s="2950"/>
      <c r="HJR22" s="2950"/>
      <c r="HJS22" s="2950"/>
      <c r="HJT22" s="2950"/>
      <c r="HJU22" s="2950"/>
      <c r="HJV22" s="2950"/>
      <c r="HJW22" s="2950"/>
      <c r="HJX22" s="2950"/>
      <c r="HJY22" s="2950"/>
      <c r="HJZ22" s="2950"/>
      <c r="HKA22" s="2950"/>
      <c r="HKB22" s="2950"/>
      <c r="HKC22" s="2950"/>
      <c r="HKD22" s="2950"/>
      <c r="HKE22" s="2950"/>
      <c r="HKF22" s="2950"/>
      <c r="HKG22" s="2950"/>
      <c r="HKH22" s="2950"/>
      <c r="HKI22" s="2950"/>
      <c r="HKJ22" s="2950"/>
      <c r="HKK22" s="2950"/>
      <c r="HKL22" s="2950"/>
      <c r="HKM22" s="2950"/>
      <c r="HKN22" s="2950"/>
      <c r="HKO22" s="2950"/>
      <c r="HKP22" s="2950"/>
      <c r="HKQ22" s="2950"/>
      <c r="HKR22" s="2950"/>
      <c r="HKS22" s="2950"/>
      <c r="HKT22" s="2950"/>
      <c r="HKU22" s="2950"/>
      <c r="HKV22" s="2950"/>
      <c r="HKW22" s="2950"/>
      <c r="HKX22" s="2950"/>
      <c r="HKY22" s="2950"/>
      <c r="HKZ22" s="2950"/>
      <c r="HLA22" s="2950"/>
      <c r="HLB22" s="2950"/>
      <c r="HLC22" s="2950"/>
      <c r="HLD22" s="2950"/>
      <c r="HLE22" s="2950"/>
      <c r="HLF22" s="2950"/>
      <c r="HLG22" s="2950"/>
      <c r="HLH22" s="2950"/>
      <c r="HLI22" s="2950"/>
      <c r="HLJ22" s="2950"/>
      <c r="HLK22" s="2950"/>
      <c r="HLL22" s="2950"/>
      <c r="HLM22" s="2950"/>
      <c r="HLN22" s="2950"/>
      <c r="HLO22" s="2950"/>
      <c r="HLP22" s="2950"/>
      <c r="HLQ22" s="2950"/>
      <c r="HLR22" s="2950"/>
      <c r="HLS22" s="2950"/>
      <c r="HLT22" s="2950"/>
      <c r="HLU22" s="2950"/>
      <c r="HLV22" s="2950"/>
      <c r="HLW22" s="2950"/>
      <c r="HLX22" s="2950"/>
      <c r="HLY22" s="2950"/>
      <c r="HLZ22" s="2950"/>
      <c r="HMA22" s="2950"/>
      <c r="HMB22" s="2950"/>
      <c r="HMC22" s="2950"/>
      <c r="HMD22" s="2950"/>
      <c r="HME22" s="2950"/>
      <c r="HMF22" s="2950"/>
      <c r="HMG22" s="2950"/>
      <c r="HMH22" s="2950"/>
      <c r="HMI22" s="2950"/>
      <c r="HMJ22" s="2950"/>
      <c r="HMK22" s="2950"/>
      <c r="HML22" s="2950"/>
      <c r="HMM22" s="2950"/>
      <c r="HMN22" s="2950"/>
      <c r="HMO22" s="2950"/>
      <c r="HMP22" s="2950"/>
      <c r="HMQ22" s="2950"/>
      <c r="HMR22" s="2950"/>
      <c r="HMS22" s="2950"/>
      <c r="HMT22" s="2950"/>
      <c r="HMU22" s="2950"/>
      <c r="HMV22" s="2950"/>
      <c r="HMW22" s="2950"/>
      <c r="HMX22" s="2950"/>
      <c r="HMY22" s="2950"/>
      <c r="HMZ22" s="2950"/>
      <c r="HNA22" s="2950"/>
      <c r="HNB22" s="2950"/>
      <c r="HNC22" s="2950"/>
      <c r="HND22" s="2950"/>
      <c r="HNE22" s="2950"/>
      <c r="HNF22" s="2950"/>
      <c r="HNG22" s="2950"/>
      <c r="HNH22" s="2950"/>
      <c r="HNI22" s="2950"/>
      <c r="HNJ22" s="2950"/>
      <c r="HNK22" s="2950"/>
      <c r="HNL22" s="2950"/>
      <c r="HNM22" s="2950"/>
      <c r="HNN22" s="2950"/>
      <c r="HNO22" s="2950"/>
      <c r="HNP22" s="2950"/>
      <c r="HNQ22" s="2950"/>
      <c r="HNR22" s="2950"/>
      <c r="HNS22" s="2950"/>
      <c r="HNT22" s="2950"/>
      <c r="HNU22" s="2950"/>
      <c r="HNV22" s="2950"/>
      <c r="HNW22" s="2950"/>
      <c r="HNX22" s="2950"/>
      <c r="HNY22" s="2950"/>
      <c r="HNZ22" s="2950"/>
      <c r="HOA22" s="2950"/>
      <c r="HOB22" s="2950"/>
      <c r="HOC22" s="2950"/>
      <c r="HOD22" s="2950"/>
      <c r="HOE22" s="2950"/>
      <c r="HOF22" s="2950"/>
      <c r="HOG22" s="2950"/>
      <c r="HOH22" s="2950"/>
      <c r="HOI22" s="2950"/>
      <c r="HOJ22" s="2950"/>
      <c r="HOK22" s="2950"/>
      <c r="HOL22" s="2950"/>
      <c r="HOM22" s="2950"/>
      <c r="HON22" s="2950"/>
      <c r="HOO22" s="2950"/>
      <c r="HOP22" s="2950"/>
      <c r="HOQ22" s="2950"/>
      <c r="HOR22" s="2950"/>
      <c r="HOS22" s="2950"/>
      <c r="HOT22" s="2950"/>
      <c r="HOU22" s="2950"/>
      <c r="HOV22" s="2950"/>
      <c r="HOW22" s="2950"/>
      <c r="HOX22" s="2950"/>
      <c r="HOY22" s="2950"/>
      <c r="HOZ22" s="2950"/>
      <c r="HPA22" s="2950"/>
      <c r="HPB22" s="2950"/>
      <c r="HPC22" s="2950"/>
      <c r="HPD22" s="2950"/>
      <c r="HPE22" s="2950"/>
      <c r="HPF22" s="2950"/>
      <c r="HPG22" s="2950"/>
      <c r="HPH22" s="2950"/>
      <c r="HPI22" s="2950"/>
      <c r="HPJ22" s="2950"/>
      <c r="HPK22" s="2950"/>
      <c r="HPL22" s="2950"/>
      <c r="HPM22" s="2950"/>
      <c r="HPN22" s="2950"/>
      <c r="HPO22" s="2950"/>
      <c r="HPP22" s="2950"/>
      <c r="HPQ22" s="2950"/>
      <c r="HPR22" s="2950"/>
      <c r="HPS22" s="2950"/>
      <c r="HPT22" s="2950"/>
      <c r="HPU22" s="2950"/>
      <c r="HPV22" s="2950"/>
      <c r="HPW22" s="2950"/>
      <c r="HPX22" s="2950"/>
      <c r="HPY22" s="2950"/>
      <c r="HPZ22" s="2950"/>
      <c r="HQA22" s="2950"/>
      <c r="HQB22" s="2950"/>
      <c r="HQC22" s="2950"/>
      <c r="HQD22" s="2950"/>
      <c r="HQE22" s="2950"/>
      <c r="HQF22" s="2950"/>
      <c r="HQG22" s="2950"/>
      <c r="HQH22" s="2950"/>
      <c r="HQI22" s="2950"/>
      <c r="HQJ22" s="2950"/>
      <c r="HQK22" s="2950"/>
      <c r="HQL22" s="2950"/>
      <c r="HQM22" s="2950"/>
      <c r="HQN22" s="2950"/>
      <c r="HQO22" s="2950"/>
      <c r="HQP22" s="2950"/>
      <c r="HQQ22" s="2950"/>
      <c r="HQR22" s="2950"/>
      <c r="HQS22" s="2950"/>
      <c r="HQT22" s="2950"/>
      <c r="HQU22" s="2950"/>
      <c r="HQV22" s="2950"/>
      <c r="HQW22" s="2950"/>
      <c r="HQX22" s="2950"/>
      <c r="HQY22" s="2950"/>
      <c r="HQZ22" s="2950"/>
      <c r="HRA22" s="2950"/>
      <c r="HRB22" s="2950"/>
      <c r="HRC22" s="2950"/>
      <c r="HRD22" s="2950"/>
      <c r="HRE22" s="2950"/>
      <c r="HRF22" s="2950"/>
      <c r="HRG22" s="2950"/>
      <c r="HRH22" s="2950"/>
      <c r="HRI22" s="2950"/>
      <c r="HRJ22" s="2950"/>
      <c r="HRK22" s="2950"/>
      <c r="HRL22" s="2950"/>
      <c r="HRM22" s="2950"/>
      <c r="HRN22" s="2950"/>
      <c r="HRO22" s="2950"/>
      <c r="HRP22" s="2950"/>
      <c r="HRQ22" s="2950"/>
      <c r="HRR22" s="2950"/>
      <c r="HRS22" s="2950"/>
      <c r="HRT22" s="2950"/>
      <c r="HRU22" s="2950"/>
      <c r="HRV22" s="2950"/>
      <c r="HRW22" s="2950"/>
      <c r="HRX22" s="2950"/>
      <c r="HRY22" s="2950"/>
      <c r="HRZ22" s="2950"/>
      <c r="HSA22" s="2950"/>
      <c r="HSB22" s="2950"/>
      <c r="HSC22" s="2950"/>
      <c r="HSD22" s="2950"/>
      <c r="HSE22" s="2950"/>
      <c r="HSF22" s="2950"/>
      <c r="HSG22" s="2950"/>
      <c r="HSH22" s="2950"/>
      <c r="HSI22" s="2950"/>
      <c r="HSJ22" s="2950"/>
      <c r="HSK22" s="2950"/>
      <c r="HSL22" s="2950"/>
      <c r="HSM22" s="2950"/>
      <c r="HSN22" s="2950"/>
      <c r="HSO22" s="2950"/>
      <c r="HSP22" s="2950"/>
      <c r="HSQ22" s="2950"/>
      <c r="HSR22" s="2950"/>
      <c r="HSS22" s="2950"/>
      <c r="HST22" s="2950"/>
      <c r="HSU22" s="2950"/>
      <c r="HSV22" s="2950"/>
      <c r="HSW22" s="2950"/>
      <c r="HSX22" s="2950"/>
      <c r="HSY22" s="2950"/>
      <c r="HSZ22" s="2950"/>
      <c r="HTA22" s="2950"/>
      <c r="HTB22" s="2950"/>
      <c r="HTC22" s="2950"/>
      <c r="HTD22" s="2950"/>
      <c r="HTE22" s="2950"/>
      <c r="HTF22" s="2950"/>
      <c r="HTG22" s="2950"/>
      <c r="HTH22" s="2950"/>
      <c r="HTI22" s="2950"/>
      <c r="HTJ22" s="2950"/>
      <c r="HTK22" s="2950"/>
      <c r="HTL22" s="2950"/>
      <c r="HTM22" s="2950"/>
      <c r="HTN22" s="2950"/>
      <c r="HTO22" s="2950"/>
      <c r="HTP22" s="2950"/>
      <c r="HTQ22" s="2950"/>
      <c r="HTR22" s="2950"/>
      <c r="HTS22" s="2950"/>
      <c r="HTT22" s="2950"/>
      <c r="HTU22" s="2950"/>
      <c r="HTV22" s="2950"/>
      <c r="HTW22" s="2950"/>
      <c r="HTX22" s="2950"/>
      <c r="HTY22" s="2950"/>
      <c r="HTZ22" s="2950"/>
      <c r="HUA22" s="2950"/>
      <c r="HUB22" s="2950"/>
      <c r="HUC22" s="2950"/>
      <c r="HUD22" s="2950"/>
      <c r="HUE22" s="2950"/>
      <c r="HUF22" s="2950"/>
      <c r="HUG22" s="2950"/>
      <c r="HUH22" s="2950"/>
      <c r="HUI22" s="2950"/>
      <c r="HUJ22" s="2950"/>
      <c r="HUK22" s="2950"/>
      <c r="HUL22" s="2950"/>
      <c r="HUM22" s="2950"/>
      <c r="HUN22" s="2950"/>
      <c r="HUO22" s="2950"/>
      <c r="HUP22" s="2950"/>
      <c r="HUQ22" s="2950"/>
      <c r="HUR22" s="2950"/>
      <c r="HUS22" s="2950"/>
      <c r="HUT22" s="2950"/>
      <c r="HUU22" s="2950"/>
      <c r="HUV22" s="2950"/>
      <c r="HUW22" s="2950"/>
      <c r="HUX22" s="2950"/>
      <c r="HUY22" s="2950"/>
      <c r="HUZ22" s="2950"/>
      <c r="HVA22" s="2950"/>
      <c r="HVB22" s="2950"/>
      <c r="HVC22" s="2950"/>
      <c r="HVD22" s="2950"/>
      <c r="HVE22" s="2950"/>
      <c r="HVF22" s="2950"/>
      <c r="HVG22" s="2950"/>
      <c r="HVH22" s="2950"/>
      <c r="HVI22" s="2950"/>
      <c r="HVJ22" s="2950"/>
      <c r="HVK22" s="2950"/>
      <c r="HVL22" s="2950"/>
      <c r="HVM22" s="2950"/>
      <c r="HVN22" s="2950"/>
      <c r="HVO22" s="2950"/>
      <c r="HVP22" s="2950"/>
      <c r="HVQ22" s="2950"/>
      <c r="HVR22" s="2950"/>
      <c r="HVS22" s="2950"/>
      <c r="HVT22" s="2950"/>
      <c r="HVU22" s="2950"/>
      <c r="HVV22" s="2950"/>
      <c r="HVW22" s="2950"/>
      <c r="HVX22" s="2950"/>
      <c r="HVY22" s="2950"/>
      <c r="HVZ22" s="2950"/>
      <c r="HWA22" s="2950"/>
      <c r="HWB22" s="2950"/>
      <c r="HWC22" s="2950"/>
      <c r="HWD22" s="2950"/>
      <c r="HWE22" s="2950"/>
      <c r="HWF22" s="2950"/>
      <c r="HWG22" s="2950"/>
      <c r="HWH22" s="2950"/>
      <c r="HWI22" s="2950"/>
      <c r="HWJ22" s="2950"/>
      <c r="HWK22" s="2950"/>
      <c r="HWL22" s="2950"/>
      <c r="HWM22" s="2950"/>
      <c r="HWN22" s="2950"/>
      <c r="HWO22" s="2950"/>
      <c r="HWP22" s="2950"/>
      <c r="HWQ22" s="2950"/>
      <c r="HWR22" s="2950"/>
      <c r="HWS22" s="2950"/>
      <c r="HWT22" s="2950"/>
      <c r="HWU22" s="2950"/>
      <c r="HWV22" s="2950"/>
      <c r="HWW22" s="2950"/>
      <c r="HWX22" s="2950"/>
      <c r="HWY22" s="2950"/>
      <c r="HWZ22" s="2950"/>
      <c r="HXA22" s="2950"/>
      <c r="HXB22" s="2950"/>
      <c r="HXC22" s="2950"/>
      <c r="HXD22" s="2950"/>
      <c r="HXE22" s="2950"/>
      <c r="HXF22" s="2950"/>
      <c r="HXG22" s="2950"/>
      <c r="HXH22" s="2950"/>
      <c r="HXI22" s="2950"/>
      <c r="HXJ22" s="2950"/>
      <c r="HXK22" s="2950"/>
      <c r="HXL22" s="2950"/>
      <c r="HXM22" s="2950"/>
      <c r="HXN22" s="2950"/>
      <c r="HXO22" s="2950"/>
      <c r="HXP22" s="2950"/>
      <c r="HXQ22" s="2950"/>
      <c r="HXR22" s="2950"/>
      <c r="HXS22" s="2950"/>
      <c r="HXT22" s="2950"/>
      <c r="HXU22" s="2950"/>
      <c r="HXV22" s="2950"/>
      <c r="HXW22" s="2950"/>
      <c r="HXX22" s="2950"/>
      <c r="HXY22" s="2950"/>
      <c r="HXZ22" s="2950"/>
      <c r="HYA22" s="2950"/>
      <c r="HYB22" s="2950"/>
      <c r="HYC22" s="2950"/>
      <c r="HYD22" s="2950"/>
      <c r="HYE22" s="2950"/>
      <c r="HYF22" s="2950"/>
      <c r="HYG22" s="2950"/>
      <c r="HYH22" s="2950"/>
      <c r="HYI22" s="2950"/>
      <c r="HYJ22" s="2950"/>
      <c r="HYK22" s="2950"/>
      <c r="HYL22" s="2950"/>
      <c r="HYM22" s="2950"/>
      <c r="HYN22" s="2950"/>
      <c r="HYO22" s="2950"/>
      <c r="HYP22" s="2950"/>
      <c r="HYQ22" s="2950"/>
      <c r="HYR22" s="2950"/>
      <c r="HYS22" s="2950"/>
      <c r="HYT22" s="2950"/>
      <c r="HYU22" s="2950"/>
      <c r="HYV22" s="2950"/>
      <c r="HYW22" s="2950"/>
      <c r="HYX22" s="2950"/>
      <c r="HYY22" s="2950"/>
      <c r="HYZ22" s="2950"/>
      <c r="HZA22" s="2950"/>
      <c r="HZB22" s="2950"/>
      <c r="HZC22" s="2950"/>
      <c r="HZD22" s="2950"/>
      <c r="HZE22" s="2950"/>
      <c r="HZF22" s="2950"/>
      <c r="HZG22" s="2950"/>
      <c r="HZH22" s="2950"/>
      <c r="HZI22" s="2950"/>
      <c r="HZJ22" s="2950"/>
      <c r="HZK22" s="2950"/>
      <c r="HZL22" s="2950"/>
      <c r="HZM22" s="2950"/>
      <c r="HZN22" s="2950"/>
      <c r="HZO22" s="2950"/>
      <c r="HZP22" s="2950"/>
      <c r="HZQ22" s="2950"/>
      <c r="HZR22" s="2950"/>
      <c r="HZS22" s="2950"/>
      <c r="HZT22" s="2950"/>
      <c r="HZU22" s="2950"/>
      <c r="HZV22" s="2950"/>
      <c r="HZW22" s="2950"/>
      <c r="HZX22" s="2950"/>
      <c r="HZY22" s="2950"/>
      <c r="HZZ22" s="2950"/>
      <c r="IAA22" s="2950"/>
      <c r="IAB22" s="2950"/>
      <c r="IAC22" s="2950"/>
      <c r="IAD22" s="2950"/>
      <c r="IAE22" s="2950"/>
      <c r="IAF22" s="2950"/>
      <c r="IAG22" s="2950"/>
      <c r="IAH22" s="2950"/>
      <c r="IAI22" s="2950"/>
      <c r="IAJ22" s="2950"/>
      <c r="IAK22" s="2950"/>
      <c r="IAL22" s="2950"/>
      <c r="IAM22" s="2950"/>
      <c r="IAN22" s="2950"/>
      <c r="IAO22" s="2950"/>
      <c r="IAP22" s="2950"/>
      <c r="IAQ22" s="2950"/>
      <c r="IAR22" s="2950"/>
      <c r="IAS22" s="2950"/>
      <c r="IAT22" s="2950"/>
      <c r="IAU22" s="2950"/>
      <c r="IAV22" s="2950"/>
      <c r="IAW22" s="2950"/>
      <c r="IAX22" s="2950"/>
      <c r="IAY22" s="2950"/>
      <c r="IAZ22" s="2950"/>
      <c r="IBA22" s="2950"/>
      <c r="IBB22" s="2950"/>
      <c r="IBC22" s="2950"/>
      <c r="IBD22" s="2950"/>
      <c r="IBE22" s="2950"/>
      <c r="IBF22" s="2950"/>
      <c r="IBG22" s="2950"/>
      <c r="IBH22" s="2950"/>
      <c r="IBI22" s="2950"/>
      <c r="IBJ22" s="2950"/>
      <c r="IBK22" s="2950"/>
      <c r="IBL22" s="2950"/>
      <c r="IBM22" s="2950"/>
      <c r="IBN22" s="2950"/>
      <c r="IBO22" s="2950"/>
      <c r="IBP22" s="2950"/>
      <c r="IBQ22" s="2950"/>
      <c r="IBR22" s="2950"/>
      <c r="IBS22" s="2950"/>
      <c r="IBT22" s="2950"/>
      <c r="IBU22" s="2950"/>
      <c r="IBV22" s="2950"/>
      <c r="IBW22" s="2950"/>
      <c r="IBX22" s="2950"/>
      <c r="IBY22" s="2950"/>
      <c r="IBZ22" s="2950"/>
      <c r="ICA22" s="2950"/>
      <c r="ICB22" s="2950"/>
      <c r="ICC22" s="2950"/>
      <c r="ICD22" s="2950"/>
      <c r="ICE22" s="2950"/>
      <c r="ICF22" s="2950"/>
      <c r="ICG22" s="2950"/>
      <c r="ICH22" s="2950"/>
      <c r="ICI22" s="2950"/>
      <c r="ICJ22" s="2950"/>
      <c r="ICK22" s="2950"/>
      <c r="ICL22" s="2950"/>
      <c r="ICM22" s="2950"/>
      <c r="ICN22" s="2950"/>
      <c r="ICO22" s="2950"/>
      <c r="ICP22" s="2950"/>
      <c r="ICQ22" s="2950"/>
      <c r="ICR22" s="2950"/>
      <c r="ICS22" s="2950"/>
      <c r="ICT22" s="2950"/>
      <c r="ICU22" s="2950"/>
      <c r="ICV22" s="2950"/>
      <c r="ICW22" s="2950"/>
      <c r="ICX22" s="2950"/>
      <c r="ICY22" s="2950"/>
      <c r="ICZ22" s="2950"/>
      <c r="IDA22" s="2950"/>
      <c r="IDB22" s="2950"/>
      <c r="IDC22" s="2950"/>
      <c r="IDD22" s="2950"/>
      <c r="IDE22" s="2950"/>
      <c r="IDF22" s="2950"/>
      <c r="IDG22" s="2950"/>
      <c r="IDH22" s="2950"/>
      <c r="IDI22" s="2950"/>
      <c r="IDJ22" s="2950"/>
      <c r="IDK22" s="2950"/>
      <c r="IDL22" s="2950"/>
      <c r="IDM22" s="2950"/>
      <c r="IDN22" s="2950"/>
      <c r="IDO22" s="2950"/>
      <c r="IDP22" s="2950"/>
      <c r="IDQ22" s="2950"/>
      <c r="IDR22" s="2950"/>
      <c r="IDS22" s="2950"/>
      <c r="IDT22" s="2950"/>
      <c r="IDU22" s="2950"/>
      <c r="IDV22" s="2950"/>
      <c r="IDW22" s="2950"/>
      <c r="IDX22" s="2950"/>
      <c r="IDY22" s="2950"/>
      <c r="IDZ22" s="2950"/>
      <c r="IEA22" s="2950"/>
      <c r="IEB22" s="2950"/>
      <c r="IEC22" s="2950"/>
      <c r="IED22" s="2950"/>
      <c r="IEE22" s="2950"/>
      <c r="IEF22" s="2950"/>
      <c r="IEG22" s="2950"/>
      <c r="IEH22" s="2950"/>
      <c r="IEI22" s="2950"/>
      <c r="IEJ22" s="2950"/>
      <c r="IEK22" s="2950"/>
      <c r="IEL22" s="2950"/>
      <c r="IEM22" s="2950"/>
      <c r="IEN22" s="2950"/>
      <c r="IEO22" s="2950"/>
      <c r="IEP22" s="2950"/>
      <c r="IEQ22" s="2950"/>
      <c r="IER22" s="2950"/>
      <c r="IES22" s="2950"/>
      <c r="IET22" s="2950"/>
      <c r="IEU22" s="2950"/>
      <c r="IEV22" s="2950"/>
      <c r="IEW22" s="2950"/>
      <c r="IEX22" s="2950"/>
      <c r="IEY22" s="2950"/>
      <c r="IEZ22" s="2950"/>
      <c r="IFA22" s="2950"/>
      <c r="IFB22" s="2950"/>
      <c r="IFC22" s="2950"/>
      <c r="IFD22" s="2950"/>
      <c r="IFE22" s="2950"/>
      <c r="IFF22" s="2950"/>
      <c r="IFG22" s="2950"/>
      <c r="IFH22" s="2950"/>
      <c r="IFI22" s="2950"/>
      <c r="IFJ22" s="2950"/>
      <c r="IFK22" s="2950"/>
      <c r="IFL22" s="2950"/>
      <c r="IFM22" s="2950"/>
      <c r="IFN22" s="2950"/>
      <c r="IFO22" s="2950"/>
      <c r="IFP22" s="2950"/>
      <c r="IFQ22" s="2950"/>
      <c r="IFR22" s="2950"/>
      <c r="IFS22" s="2950"/>
      <c r="IFT22" s="2950"/>
      <c r="IFU22" s="2950"/>
      <c r="IFV22" s="2950"/>
      <c r="IFW22" s="2950"/>
      <c r="IFX22" s="2950"/>
      <c r="IFY22" s="2950"/>
      <c r="IFZ22" s="2950"/>
      <c r="IGA22" s="2950"/>
      <c r="IGB22" s="2950"/>
      <c r="IGC22" s="2950"/>
      <c r="IGD22" s="2950"/>
      <c r="IGE22" s="2950"/>
      <c r="IGF22" s="2950"/>
      <c r="IGG22" s="2950"/>
      <c r="IGH22" s="2950"/>
      <c r="IGI22" s="2950"/>
      <c r="IGJ22" s="2950"/>
      <c r="IGK22" s="2950"/>
      <c r="IGL22" s="2950"/>
      <c r="IGM22" s="2950"/>
      <c r="IGN22" s="2950"/>
      <c r="IGO22" s="2950"/>
      <c r="IGP22" s="2950"/>
      <c r="IGQ22" s="2950"/>
      <c r="IGR22" s="2950"/>
      <c r="IGS22" s="2950"/>
      <c r="IGT22" s="2950"/>
      <c r="IGU22" s="2950"/>
      <c r="IGV22" s="2950"/>
      <c r="IGW22" s="2950"/>
      <c r="IGX22" s="2950"/>
      <c r="IGY22" s="2950"/>
      <c r="IGZ22" s="2950"/>
      <c r="IHA22" s="2950"/>
      <c r="IHB22" s="2950"/>
      <c r="IHC22" s="2950"/>
      <c r="IHD22" s="2950"/>
      <c r="IHE22" s="2950"/>
      <c r="IHF22" s="2950"/>
      <c r="IHG22" s="2950"/>
      <c r="IHH22" s="2950"/>
      <c r="IHI22" s="2950"/>
      <c r="IHJ22" s="2950"/>
      <c r="IHK22" s="2950"/>
      <c r="IHL22" s="2950"/>
      <c r="IHM22" s="2950"/>
      <c r="IHN22" s="2950"/>
      <c r="IHO22" s="2950"/>
      <c r="IHP22" s="2950"/>
      <c r="IHQ22" s="2950"/>
      <c r="IHR22" s="2950"/>
      <c r="IHS22" s="2950"/>
      <c r="IHT22" s="2950"/>
      <c r="IHU22" s="2950"/>
      <c r="IHV22" s="2950"/>
      <c r="IHW22" s="2950"/>
      <c r="IHX22" s="2950"/>
      <c r="IHY22" s="2950"/>
      <c r="IHZ22" s="2950"/>
      <c r="IIA22" s="2950"/>
      <c r="IIB22" s="2950"/>
      <c r="IIC22" s="2950"/>
      <c r="IID22" s="2950"/>
      <c r="IIE22" s="2950"/>
      <c r="IIF22" s="2950"/>
      <c r="IIG22" s="2950"/>
      <c r="IIH22" s="2950"/>
      <c r="III22" s="2950"/>
      <c r="IIJ22" s="2950"/>
      <c r="IIK22" s="2950"/>
      <c r="IIL22" s="2950"/>
      <c r="IIM22" s="2950"/>
      <c r="IIN22" s="2950"/>
      <c r="IIO22" s="2950"/>
      <c r="IIP22" s="2950"/>
      <c r="IIQ22" s="2950"/>
      <c r="IIR22" s="2950"/>
      <c r="IIS22" s="2950"/>
      <c r="IIT22" s="2950"/>
      <c r="IIU22" s="2950"/>
      <c r="IIV22" s="2950"/>
      <c r="IIW22" s="2950"/>
      <c r="IIX22" s="2950"/>
      <c r="IIY22" s="2950"/>
      <c r="IIZ22" s="2950"/>
      <c r="IJA22" s="2950"/>
      <c r="IJB22" s="2950"/>
      <c r="IJC22" s="2950"/>
      <c r="IJD22" s="2950"/>
      <c r="IJE22" s="2950"/>
      <c r="IJF22" s="2950"/>
      <c r="IJG22" s="2950"/>
      <c r="IJH22" s="2950"/>
      <c r="IJI22" s="2950"/>
      <c r="IJJ22" s="2950"/>
      <c r="IJK22" s="2950"/>
      <c r="IJL22" s="2950"/>
      <c r="IJM22" s="2950"/>
      <c r="IJN22" s="2950"/>
      <c r="IJO22" s="2950"/>
      <c r="IJP22" s="2950"/>
      <c r="IJQ22" s="2950"/>
      <c r="IJR22" s="2950"/>
      <c r="IJS22" s="2950"/>
      <c r="IJT22" s="2950"/>
      <c r="IJU22" s="2950"/>
      <c r="IJV22" s="2950"/>
      <c r="IJW22" s="2950"/>
      <c r="IJX22" s="2950"/>
      <c r="IJY22" s="2950"/>
      <c r="IJZ22" s="2950"/>
      <c r="IKA22" s="2950"/>
      <c r="IKB22" s="2950"/>
      <c r="IKC22" s="2950"/>
      <c r="IKD22" s="2950"/>
      <c r="IKE22" s="2950"/>
      <c r="IKF22" s="2950"/>
      <c r="IKG22" s="2950"/>
      <c r="IKH22" s="2950"/>
      <c r="IKI22" s="2950"/>
      <c r="IKJ22" s="2950"/>
      <c r="IKK22" s="2950"/>
      <c r="IKL22" s="2950"/>
      <c r="IKM22" s="2950"/>
      <c r="IKN22" s="2950"/>
      <c r="IKO22" s="2950"/>
      <c r="IKP22" s="2950"/>
      <c r="IKQ22" s="2950"/>
      <c r="IKR22" s="2950"/>
      <c r="IKS22" s="2950"/>
      <c r="IKT22" s="2950"/>
      <c r="IKU22" s="2950"/>
      <c r="IKV22" s="2950"/>
      <c r="IKW22" s="2950"/>
      <c r="IKX22" s="2950"/>
      <c r="IKY22" s="2950"/>
      <c r="IKZ22" s="2950"/>
      <c r="ILA22" s="2950"/>
      <c r="ILB22" s="2950"/>
      <c r="ILC22" s="2950"/>
      <c r="ILD22" s="2950"/>
      <c r="ILE22" s="2950"/>
      <c r="ILF22" s="2950"/>
      <c r="ILG22" s="2950"/>
      <c r="ILH22" s="2950"/>
      <c r="ILI22" s="2950"/>
      <c r="ILJ22" s="2950"/>
      <c r="ILK22" s="2950"/>
      <c r="ILL22" s="2950"/>
      <c r="ILM22" s="2950"/>
      <c r="ILN22" s="2950"/>
      <c r="ILO22" s="2950"/>
      <c r="ILP22" s="2950"/>
      <c r="ILQ22" s="2950"/>
      <c r="ILR22" s="2950"/>
      <c r="ILS22" s="2950"/>
      <c r="ILT22" s="2950"/>
      <c r="ILU22" s="2950"/>
      <c r="ILV22" s="2950"/>
      <c r="ILW22" s="2950"/>
      <c r="ILX22" s="2950"/>
      <c r="ILY22" s="2950"/>
      <c r="ILZ22" s="2950"/>
      <c r="IMA22" s="2950"/>
      <c r="IMB22" s="2950"/>
      <c r="IMC22" s="2950"/>
      <c r="IMD22" s="2950"/>
      <c r="IME22" s="2950"/>
      <c r="IMF22" s="2950"/>
      <c r="IMG22" s="2950"/>
      <c r="IMH22" s="2950"/>
      <c r="IMI22" s="2950"/>
      <c r="IMJ22" s="2950"/>
      <c r="IMK22" s="2950"/>
      <c r="IML22" s="2950"/>
      <c r="IMM22" s="2950"/>
      <c r="IMN22" s="2950"/>
      <c r="IMO22" s="2950"/>
      <c r="IMP22" s="2950"/>
      <c r="IMQ22" s="2950"/>
      <c r="IMR22" s="2950"/>
      <c r="IMS22" s="2950"/>
      <c r="IMT22" s="2950"/>
      <c r="IMU22" s="2950"/>
      <c r="IMV22" s="2950"/>
      <c r="IMW22" s="2950"/>
      <c r="IMX22" s="2950"/>
      <c r="IMY22" s="2950"/>
      <c r="IMZ22" s="2950"/>
      <c r="INA22" s="2950"/>
      <c r="INB22" s="2950"/>
      <c r="INC22" s="2950"/>
      <c r="IND22" s="2950"/>
      <c r="INE22" s="2950"/>
      <c r="INF22" s="2950"/>
      <c r="ING22" s="2950"/>
      <c r="INH22" s="2950"/>
      <c r="INI22" s="2950"/>
      <c r="INJ22" s="2950"/>
      <c r="INK22" s="2950"/>
      <c r="INL22" s="2950"/>
      <c r="INM22" s="2950"/>
      <c r="INN22" s="2950"/>
      <c r="INO22" s="2950"/>
      <c r="INP22" s="2950"/>
      <c r="INQ22" s="2950"/>
      <c r="INR22" s="2950"/>
      <c r="INS22" s="2950"/>
      <c r="INT22" s="2950"/>
      <c r="INU22" s="2950"/>
      <c r="INV22" s="2950"/>
      <c r="INW22" s="2950"/>
      <c r="INX22" s="2950"/>
      <c r="INY22" s="2950"/>
      <c r="INZ22" s="2950"/>
      <c r="IOA22" s="2950"/>
      <c r="IOB22" s="2950"/>
      <c r="IOC22" s="2950"/>
      <c r="IOD22" s="2950"/>
      <c r="IOE22" s="2950"/>
      <c r="IOF22" s="2950"/>
      <c r="IOG22" s="2950"/>
      <c r="IOH22" s="2950"/>
      <c r="IOI22" s="2950"/>
      <c r="IOJ22" s="2950"/>
      <c r="IOK22" s="2950"/>
      <c r="IOL22" s="2950"/>
      <c r="IOM22" s="2950"/>
      <c r="ION22" s="2950"/>
      <c r="IOO22" s="2950"/>
      <c r="IOP22" s="2950"/>
      <c r="IOQ22" s="2950"/>
      <c r="IOR22" s="2950"/>
      <c r="IOS22" s="2950"/>
      <c r="IOT22" s="2950"/>
      <c r="IOU22" s="2950"/>
      <c r="IOV22" s="2950"/>
      <c r="IOW22" s="2950"/>
      <c r="IOX22" s="2950"/>
      <c r="IOY22" s="2950"/>
      <c r="IOZ22" s="2950"/>
      <c r="IPA22" s="2950"/>
      <c r="IPB22" s="2950"/>
      <c r="IPC22" s="2950"/>
      <c r="IPD22" s="2950"/>
      <c r="IPE22" s="2950"/>
      <c r="IPF22" s="2950"/>
      <c r="IPG22" s="2950"/>
      <c r="IPH22" s="2950"/>
      <c r="IPI22" s="2950"/>
      <c r="IPJ22" s="2950"/>
      <c r="IPK22" s="2950"/>
      <c r="IPL22" s="2950"/>
      <c r="IPM22" s="2950"/>
      <c r="IPN22" s="2950"/>
      <c r="IPO22" s="2950"/>
      <c r="IPP22" s="2950"/>
      <c r="IPQ22" s="2950"/>
      <c r="IPR22" s="2950"/>
      <c r="IPS22" s="2950"/>
      <c r="IPT22" s="2950"/>
      <c r="IPU22" s="2950"/>
      <c r="IPV22" s="2950"/>
      <c r="IPW22" s="2950"/>
      <c r="IPX22" s="2950"/>
      <c r="IPY22" s="2950"/>
      <c r="IPZ22" s="2950"/>
      <c r="IQA22" s="2950"/>
      <c r="IQB22" s="2950"/>
      <c r="IQC22" s="2950"/>
      <c r="IQD22" s="2950"/>
      <c r="IQE22" s="2950"/>
      <c r="IQF22" s="2950"/>
      <c r="IQG22" s="2950"/>
      <c r="IQH22" s="2950"/>
      <c r="IQI22" s="2950"/>
      <c r="IQJ22" s="2950"/>
      <c r="IQK22" s="2950"/>
      <c r="IQL22" s="2950"/>
      <c r="IQM22" s="2950"/>
      <c r="IQN22" s="2950"/>
      <c r="IQO22" s="2950"/>
      <c r="IQP22" s="2950"/>
      <c r="IQQ22" s="2950"/>
      <c r="IQR22" s="2950"/>
      <c r="IQS22" s="2950"/>
      <c r="IQT22" s="2950"/>
      <c r="IQU22" s="2950"/>
      <c r="IQV22" s="2950"/>
      <c r="IQW22" s="2950"/>
      <c r="IQX22" s="2950"/>
      <c r="IQY22" s="2950"/>
      <c r="IQZ22" s="2950"/>
      <c r="IRA22" s="2950"/>
      <c r="IRB22" s="2950"/>
      <c r="IRC22" s="2950"/>
      <c r="IRD22" s="2950"/>
      <c r="IRE22" s="2950"/>
      <c r="IRF22" s="2950"/>
      <c r="IRG22" s="2950"/>
      <c r="IRH22" s="2950"/>
      <c r="IRI22" s="2950"/>
      <c r="IRJ22" s="2950"/>
      <c r="IRK22" s="2950"/>
      <c r="IRL22" s="2950"/>
      <c r="IRM22" s="2950"/>
      <c r="IRN22" s="2950"/>
      <c r="IRO22" s="2950"/>
      <c r="IRP22" s="2950"/>
      <c r="IRQ22" s="2950"/>
      <c r="IRR22" s="2950"/>
      <c r="IRS22" s="2950"/>
      <c r="IRT22" s="2950"/>
      <c r="IRU22" s="2950"/>
      <c r="IRV22" s="2950"/>
      <c r="IRW22" s="2950"/>
      <c r="IRX22" s="2950"/>
      <c r="IRY22" s="2950"/>
      <c r="IRZ22" s="2950"/>
      <c r="ISA22" s="2950"/>
      <c r="ISB22" s="2950"/>
      <c r="ISC22" s="2950"/>
      <c r="ISD22" s="2950"/>
      <c r="ISE22" s="2950"/>
      <c r="ISF22" s="2950"/>
      <c r="ISG22" s="2950"/>
      <c r="ISH22" s="2950"/>
      <c r="ISI22" s="2950"/>
      <c r="ISJ22" s="2950"/>
      <c r="ISK22" s="2950"/>
      <c r="ISL22" s="2950"/>
      <c r="ISM22" s="2950"/>
      <c r="ISN22" s="2950"/>
      <c r="ISO22" s="2950"/>
      <c r="ISP22" s="2950"/>
      <c r="ISQ22" s="2950"/>
      <c r="ISR22" s="2950"/>
      <c r="ISS22" s="2950"/>
      <c r="IST22" s="2950"/>
      <c r="ISU22" s="2950"/>
      <c r="ISV22" s="2950"/>
      <c r="ISW22" s="2950"/>
      <c r="ISX22" s="2950"/>
      <c r="ISY22" s="2950"/>
      <c r="ISZ22" s="2950"/>
      <c r="ITA22" s="2950"/>
      <c r="ITB22" s="2950"/>
      <c r="ITC22" s="2950"/>
      <c r="ITD22" s="2950"/>
      <c r="ITE22" s="2950"/>
      <c r="ITF22" s="2950"/>
      <c r="ITG22" s="2950"/>
      <c r="ITH22" s="2950"/>
      <c r="ITI22" s="2950"/>
      <c r="ITJ22" s="2950"/>
      <c r="ITK22" s="2950"/>
      <c r="ITL22" s="2950"/>
      <c r="ITM22" s="2950"/>
      <c r="ITN22" s="2950"/>
      <c r="ITO22" s="2950"/>
      <c r="ITP22" s="2950"/>
      <c r="ITQ22" s="2950"/>
      <c r="ITR22" s="2950"/>
      <c r="ITS22" s="2950"/>
      <c r="ITT22" s="2950"/>
      <c r="ITU22" s="2950"/>
      <c r="ITV22" s="2950"/>
      <c r="ITW22" s="2950"/>
      <c r="ITX22" s="2950"/>
      <c r="ITY22" s="2950"/>
      <c r="ITZ22" s="2950"/>
      <c r="IUA22" s="2950"/>
      <c r="IUB22" s="2950"/>
      <c r="IUC22" s="2950"/>
      <c r="IUD22" s="2950"/>
      <c r="IUE22" s="2950"/>
      <c r="IUF22" s="2950"/>
      <c r="IUG22" s="2950"/>
      <c r="IUH22" s="2950"/>
      <c r="IUI22" s="2950"/>
      <c r="IUJ22" s="2950"/>
      <c r="IUK22" s="2950"/>
      <c r="IUL22" s="2950"/>
      <c r="IUM22" s="2950"/>
      <c r="IUN22" s="2950"/>
      <c r="IUO22" s="2950"/>
      <c r="IUP22" s="2950"/>
      <c r="IUQ22" s="2950"/>
      <c r="IUR22" s="2950"/>
      <c r="IUS22" s="2950"/>
      <c r="IUT22" s="2950"/>
      <c r="IUU22" s="2950"/>
      <c r="IUV22" s="2950"/>
      <c r="IUW22" s="2950"/>
      <c r="IUX22" s="2950"/>
      <c r="IUY22" s="2950"/>
      <c r="IUZ22" s="2950"/>
      <c r="IVA22" s="2950"/>
      <c r="IVB22" s="2950"/>
      <c r="IVC22" s="2950"/>
      <c r="IVD22" s="2950"/>
      <c r="IVE22" s="2950"/>
      <c r="IVF22" s="2950"/>
      <c r="IVG22" s="2950"/>
      <c r="IVH22" s="2950"/>
      <c r="IVI22" s="2950"/>
      <c r="IVJ22" s="2950"/>
      <c r="IVK22" s="2950"/>
      <c r="IVL22" s="2950"/>
      <c r="IVM22" s="2950"/>
      <c r="IVN22" s="2950"/>
      <c r="IVO22" s="2950"/>
      <c r="IVP22" s="2950"/>
      <c r="IVQ22" s="2950"/>
      <c r="IVR22" s="2950"/>
      <c r="IVS22" s="2950"/>
      <c r="IVT22" s="2950"/>
      <c r="IVU22" s="2950"/>
      <c r="IVV22" s="2950"/>
      <c r="IVW22" s="2950"/>
      <c r="IVX22" s="2950"/>
      <c r="IVY22" s="2950"/>
      <c r="IVZ22" s="2950"/>
      <c r="IWA22" s="2950"/>
      <c r="IWB22" s="2950"/>
      <c r="IWC22" s="2950"/>
      <c r="IWD22" s="2950"/>
      <c r="IWE22" s="2950"/>
      <c r="IWF22" s="2950"/>
      <c r="IWG22" s="2950"/>
      <c r="IWH22" s="2950"/>
      <c r="IWI22" s="2950"/>
      <c r="IWJ22" s="2950"/>
      <c r="IWK22" s="2950"/>
      <c r="IWL22" s="2950"/>
      <c r="IWM22" s="2950"/>
      <c r="IWN22" s="2950"/>
      <c r="IWO22" s="2950"/>
      <c r="IWP22" s="2950"/>
      <c r="IWQ22" s="2950"/>
      <c r="IWR22" s="2950"/>
      <c r="IWS22" s="2950"/>
      <c r="IWT22" s="2950"/>
      <c r="IWU22" s="2950"/>
      <c r="IWV22" s="2950"/>
      <c r="IWW22" s="2950"/>
      <c r="IWX22" s="2950"/>
      <c r="IWY22" s="2950"/>
      <c r="IWZ22" s="2950"/>
      <c r="IXA22" s="2950"/>
      <c r="IXB22" s="2950"/>
      <c r="IXC22" s="2950"/>
      <c r="IXD22" s="2950"/>
      <c r="IXE22" s="2950"/>
      <c r="IXF22" s="2950"/>
      <c r="IXG22" s="2950"/>
      <c r="IXH22" s="2950"/>
      <c r="IXI22" s="2950"/>
      <c r="IXJ22" s="2950"/>
      <c r="IXK22" s="2950"/>
      <c r="IXL22" s="2950"/>
      <c r="IXM22" s="2950"/>
      <c r="IXN22" s="2950"/>
      <c r="IXO22" s="2950"/>
      <c r="IXP22" s="2950"/>
      <c r="IXQ22" s="2950"/>
      <c r="IXR22" s="2950"/>
      <c r="IXS22" s="2950"/>
      <c r="IXT22" s="2950"/>
      <c r="IXU22" s="2950"/>
      <c r="IXV22" s="2950"/>
      <c r="IXW22" s="2950"/>
      <c r="IXX22" s="2950"/>
      <c r="IXY22" s="2950"/>
      <c r="IXZ22" s="2950"/>
      <c r="IYA22" s="2950"/>
      <c r="IYB22" s="2950"/>
      <c r="IYC22" s="2950"/>
      <c r="IYD22" s="2950"/>
      <c r="IYE22" s="2950"/>
      <c r="IYF22" s="2950"/>
      <c r="IYG22" s="2950"/>
      <c r="IYH22" s="2950"/>
      <c r="IYI22" s="2950"/>
      <c r="IYJ22" s="2950"/>
      <c r="IYK22" s="2950"/>
      <c r="IYL22" s="2950"/>
      <c r="IYM22" s="2950"/>
      <c r="IYN22" s="2950"/>
      <c r="IYO22" s="2950"/>
      <c r="IYP22" s="2950"/>
      <c r="IYQ22" s="2950"/>
      <c r="IYR22" s="2950"/>
      <c r="IYS22" s="2950"/>
      <c r="IYT22" s="2950"/>
      <c r="IYU22" s="2950"/>
      <c r="IYV22" s="2950"/>
      <c r="IYW22" s="2950"/>
      <c r="IYX22" s="2950"/>
      <c r="IYY22" s="2950"/>
      <c r="IYZ22" s="2950"/>
      <c r="IZA22" s="2950"/>
      <c r="IZB22" s="2950"/>
      <c r="IZC22" s="2950"/>
      <c r="IZD22" s="2950"/>
      <c r="IZE22" s="2950"/>
      <c r="IZF22" s="2950"/>
      <c r="IZG22" s="2950"/>
      <c r="IZH22" s="2950"/>
      <c r="IZI22" s="2950"/>
      <c r="IZJ22" s="2950"/>
      <c r="IZK22" s="2950"/>
      <c r="IZL22" s="2950"/>
      <c r="IZM22" s="2950"/>
      <c r="IZN22" s="2950"/>
      <c r="IZO22" s="2950"/>
      <c r="IZP22" s="2950"/>
      <c r="IZQ22" s="2950"/>
      <c r="IZR22" s="2950"/>
      <c r="IZS22" s="2950"/>
      <c r="IZT22" s="2950"/>
      <c r="IZU22" s="2950"/>
      <c r="IZV22" s="2950"/>
      <c r="IZW22" s="2950"/>
      <c r="IZX22" s="2950"/>
      <c r="IZY22" s="2950"/>
      <c r="IZZ22" s="2950"/>
      <c r="JAA22" s="2950"/>
      <c r="JAB22" s="2950"/>
      <c r="JAC22" s="2950"/>
      <c r="JAD22" s="2950"/>
      <c r="JAE22" s="2950"/>
      <c r="JAF22" s="2950"/>
      <c r="JAG22" s="2950"/>
      <c r="JAH22" s="2950"/>
      <c r="JAI22" s="2950"/>
      <c r="JAJ22" s="2950"/>
      <c r="JAK22" s="2950"/>
      <c r="JAL22" s="2950"/>
      <c r="JAM22" s="2950"/>
      <c r="JAN22" s="2950"/>
      <c r="JAO22" s="2950"/>
      <c r="JAP22" s="2950"/>
      <c r="JAQ22" s="2950"/>
      <c r="JAR22" s="2950"/>
      <c r="JAS22" s="2950"/>
      <c r="JAT22" s="2950"/>
      <c r="JAU22" s="2950"/>
      <c r="JAV22" s="2950"/>
      <c r="JAW22" s="2950"/>
      <c r="JAX22" s="2950"/>
      <c r="JAY22" s="2950"/>
      <c r="JAZ22" s="2950"/>
      <c r="JBA22" s="2950"/>
      <c r="JBB22" s="2950"/>
      <c r="JBC22" s="2950"/>
      <c r="JBD22" s="2950"/>
      <c r="JBE22" s="2950"/>
      <c r="JBF22" s="2950"/>
      <c r="JBG22" s="2950"/>
      <c r="JBH22" s="2950"/>
      <c r="JBI22" s="2950"/>
      <c r="JBJ22" s="2950"/>
      <c r="JBK22" s="2950"/>
      <c r="JBL22" s="2950"/>
      <c r="JBM22" s="2950"/>
      <c r="JBN22" s="2950"/>
      <c r="JBO22" s="2950"/>
      <c r="JBP22" s="2950"/>
      <c r="JBQ22" s="2950"/>
      <c r="JBR22" s="2950"/>
      <c r="JBS22" s="2950"/>
      <c r="JBT22" s="2950"/>
      <c r="JBU22" s="2950"/>
      <c r="JBV22" s="2950"/>
      <c r="JBW22" s="2950"/>
      <c r="JBX22" s="2950"/>
      <c r="JBY22" s="2950"/>
      <c r="JBZ22" s="2950"/>
      <c r="JCA22" s="2950"/>
      <c r="JCB22" s="2950"/>
      <c r="JCC22" s="2950"/>
      <c r="JCD22" s="2950"/>
      <c r="JCE22" s="2950"/>
      <c r="JCF22" s="2950"/>
      <c r="JCG22" s="2950"/>
      <c r="JCH22" s="2950"/>
      <c r="JCI22" s="2950"/>
      <c r="JCJ22" s="2950"/>
      <c r="JCK22" s="2950"/>
      <c r="JCL22" s="2950"/>
      <c r="JCM22" s="2950"/>
      <c r="JCN22" s="2950"/>
      <c r="JCO22" s="2950"/>
      <c r="JCP22" s="2950"/>
      <c r="JCQ22" s="2950"/>
      <c r="JCR22" s="2950"/>
      <c r="JCS22" s="2950"/>
      <c r="JCT22" s="2950"/>
      <c r="JCU22" s="2950"/>
      <c r="JCV22" s="2950"/>
      <c r="JCW22" s="2950"/>
      <c r="JCX22" s="2950"/>
      <c r="JCY22" s="2950"/>
      <c r="JCZ22" s="2950"/>
      <c r="JDA22" s="2950"/>
      <c r="JDB22" s="2950"/>
      <c r="JDC22" s="2950"/>
      <c r="JDD22" s="2950"/>
      <c r="JDE22" s="2950"/>
      <c r="JDF22" s="2950"/>
      <c r="JDG22" s="2950"/>
      <c r="JDH22" s="2950"/>
      <c r="JDI22" s="2950"/>
      <c r="JDJ22" s="2950"/>
      <c r="JDK22" s="2950"/>
      <c r="JDL22" s="2950"/>
      <c r="JDM22" s="2950"/>
      <c r="JDN22" s="2950"/>
      <c r="JDO22" s="2950"/>
      <c r="JDP22" s="2950"/>
      <c r="JDQ22" s="2950"/>
      <c r="JDR22" s="2950"/>
      <c r="JDS22" s="2950"/>
      <c r="JDT22" s="2950"/>
      <c r="JDU22" s="2950"/>
      <c r="JDV22" s="2950"/>
      <c r="JDW22" s="2950"/>
      <c r="JDX22" s="2950"/>
      <c r="JDY22" s="2950"/>
      <c r="JDZ22" s="2950"/>
      <c r="JEA22" s="2950"/>
      <c r="JEB22" s="2950"/>
      <c r="JEC22" s="2950"/>
      <c r="JED22" s="2950"/>
      <c r="JEE22" s="2950"/>
      <c r="JEF22" s="2950"/>
      <c r="JEG22" s="2950"/>
      <c r="JEH22" s="2950"/>
      <c r="JEI22" s="2950"/>
      <c r="JEJ22" s="2950"/>
      <c r="JEK22" s="2950"/>
      <c r="JEL22" s="2950"/>
      <c r="JEM22" s="2950"/>
      <c r="JEN22" s="2950"/>
      <c r="JEO22" s="2950"/>
      <c r="JEP22" s="2950"/>
      <c r="JEQ22" s="2950"/>
      <c r="JER22" s="2950"/>
      <c r="JES22" s="2950"/>
      <c r="JET22" s="2950"/>
      <c r="JEU22" s="2950"/>
      <c r="JEV22" s="2950"/>
      <c r="JEW22" s="2950"/>
      <c r="JEX22" s="2950"/>
      <c r="JEY22" s="2950"/>
      <c r="JEZ22" s="2950"/>
      <c r="JFA22" s="2950"/>
      <c r="JFB22" s="2950"/>
      <c r="JFC22" s="2950"/>
      <c r="JFD22" s="2950"/>
      <c r="JFE22" s="2950"/>
      <c r="JFF22" s="2950"/>
      <c r="JFG22" s="2950"/>
      <c r="JFH22" s="2950"/>
      <c r="JFI22" s="2950"/>
      <c r="JFJ22" s="2950"/>
      <c r="JFK22" s="2950"/>
      <c r="JFL22" s="2950"/>
      <c r="JFM22" s="2950"/>
      <c r="JFN22" s="2950"/>
      <c r="JFO22" s="2950"/>
      <c r="JFP22" s="2950"/>
      <c r="JFQ22" s="2950"/>
      <c r="JFR22" s="2950"/>
      <c r="JFS22" s="2950"/>
      <c r="JFT22" s="2950"/>
      <c r="JFU22" s="2950"/>
      <c r="JFV22" s="2950"/>
      <c r="JFW22" s="2950"/>
      <c r="JFX22" s="2950"/>
      <c r="JFY22" s="2950"/>
      <c r="JFZ22" s="2950"/>
      <c r="JGA22" s="2950"/>
      <c r="JGB22" s="2950"/>
      <c r="JGC22" s="2950"/>
      <c r="JGD22" s="2950"/>
      <c r="JGE22" s="2950"/>
      <c r="JGF22" s="2950"/>
      <c r="JGG22" s="2950"/>
      <c r="JGH22" s="2950"/>
      <c r="JGI22" s="2950"/>
      <c r="JGJ22" s="2950"/>
      <c r="JGK22" s="2950"/>
      <c r="JGL22" s="2950"/>
      <c r="JGM22" s="2950"/>
      <c r="JGN22" s="2950"/>
      <c r="JGO22" s="2950"/>
      <c r="JGP22" s="2950"/>
      <c r="JGQ22" s="2950"/>
      <c r="JGR22" s="2950"/>
      <c r="JGS22" s="2950"/>
      <c r="JGT22" s="2950"/>
      <c r="JGU22" s="2950"/>
      <c r="JGV22" s="2950"/>
      <c r="JGW22" s="2950"/>
      <c r="JGX22" s="2950"/>
      <c r="JGY22" s="2950"/>
      <c r="JGZ22" s="2950"/>
      <c r="JHA22" s="2950"/>
      <c r="JHB22" s="2950"/>
      <c r="JHC22" s="2950"/>
      <c r="JHD22" s="2950"/>
      <c r="JHE22" s="2950"/>
      <c r="JHF22" s="2950"/>
      <c r="JHG22" s="2950"/>
      <c r="JHH22" s="2950"/>
      <c r="JHI22" s="2950"/>
      <c r="JHJ22" s="2950"/>
      <c r="JHK22" s="2950"/>
      <c r="JHL22" s="2950"/>
      <c r="JHM22" s="2950"/>
      <c r="JHN22" s="2950"/>
      <c r="JHO22" s="2950"/>
      <c r="JHP22" s="2950"/>
      <c r="JHQ22" s="2950"/>
      <c r="JHR22" s="2950"/>
      <c r="JHS22" s="2950"/>
      <c r="JHT22" s="2950"/>
      <c r="JHU22" s="2950"/>
      <c r="JHV22" s="2950"/>
      <c r="JHW22" s="2950"/>
      <c r="JHX22" s="2950"/>
      <c r="JHY22" s="2950"/>
      <c r="JHZ22" s="2950"/>
      <c r="JIA22" s="2950"/>
      <c r="JIB22" s="2950"/>
      <c r="JIC22" s="2950"/>
      <c r="JID22" s="2950"/>
      <c r="JIE22" s="2950"/>
      <c r="JIF22" s="2950"/>
      <c r="JIG22" s="2950"/>
      <c r="JIH22" s="2950"/>
      <c r="JII22" s="2950"/>
      <c r="JIJ22" s="2950"/>
      <c r="JIK22" s="2950"/>
      <c r="JIL22" s="2950"/>
      <c r="JIM22" s="2950"/>
      <c r="JIN22" s="2950"/>
      <c r="JIO22" s="2950"/>
      <c r="JIP22" s="2950"/>
      <c r="JIQ22" s="2950"/>
      <c r="JIR22" s="2950"/>
      <c r="JIS22" s="2950"/>
      <c r="JIT22" s="2950"/>
      <c r="JIU22" s="2950"/>
      <c r="JIV22" s="2950"/>
      <c r="JIW22" s="2950"/>
      <c r="JIX22" s="2950"/>
      <c r="JIY22" s="2950"/>
      <c r="JIZ22" s="2950"/>
      <c r="JJA22" s="2950"/>
      <c r="JJB22" s="2950"/>
      <c r="JJC22" s="2950"/>
      <c r="JJD22" s="2950"/>
      <c r="JJE22" s="2950"/>
      <c r="JJF22" s="2950"/>
      <c r="JJG22" s="2950"/>
      <c r="JJH22" s="2950"/>
      <c r="JJI22" s="2950"/>
      <c r="JJJ22" s="2950"/>
      <c r="JJK22" s="2950"/>
      <c r="JJL22" s="2950"/>
      <c r="JJM22" s="2950"/>
      <c r="JJN22" s="2950"/>
      <c r="JJO22" s="2950"/>
      <c r="JJP22" s="2950"/>
      <c r="JJQ22" s="2950"/>
      <c r="JJR22" s="2950"/>
      <c r="JJS22" s="2950"/>
      <c r="JJT22" s="2950"/>
      <c r="JJU22" s="2950"/>
      <c r="JJV22" s="2950"/>
      <c r="JJW22" s="2950"/>
      <c r="JJX22" s="2950"/>
      <c r="JJY22" s="2950"/>
      <c r="JJZ22" s="2950"/>
      <c r="JKA22" s="2950"/>
      <c r="JKB22" s="2950"/>
      <c r="JKC22" s="2950"/>
      <c r="JKD22" s="2950"/>
      <c r="JKE22" s="2950"/>
      <c r="JKF22" s="2950"/>
      <c r="JKG22" s="2950"/>
      <c r="JKH22" s="2950"/>
      <c r="JKI22" s="2950"/>
      <c r="JKJ22" s="2950"/>
      <c r="JKK22" s="2950"/>
      <c r="JKL22" s="2950"/>
      <c r="JKM22" s="2950"/>
      <c r="JKN22" s="2950"/>
      <c r="JKO22" s="2950"/>
      <c r="JKP22" s="2950"/>
      <c r="JKQ22" s="2950"/>
      <c r="JKR22" s="2950"/>
      <c r="JKS22" s="2950"/>
      <c r="JKT22" s="2950"/>
      <c r="JKU22" s="2950"/>
      <c r="JKV22" s="2950"/>
      <c r="JKW22" s="2950"/>
      <c r="JKX22" s="2950"/>
      <c r="JKY22" s="2950"/>
      <c r="JKZ22" s="2950"/>
      <c r="JLA22" s="2950"/>
      <c r="JLB22" s="2950"/>
      <c r="JLC22" s="2950"/>
      <c r="JLD22" s="2950"/>
      <c r="JLE22" s="2950"/>
      <c r="JLF22" s="2950"/>
      <c r="JLG22" s="2950"/>
      <c r="JLH22" s="2950"/>
      <c r="JLI22" s="2950"/>
      <c r="JLJ22" s="2950"/>
      <c r="JLK22" s="2950"/>
      <c r="JLL22" s="2950"/>
      <c r="JLM22" s="2950"/>
      <c r="JLN22" s="2950"/>
      <c r="JLO22" s="2950"/>
      <c r="JLP22" s="2950"/>
      <c r="JLQ22" s="2950"/>
      <c r="JLR22" s="2950"/>
      <c r="JLS22" s="2950"/>
      <c r="JLT22" s="2950"/>
      <c r="JLU22" s="2950"/>
      <c r="JLV22" s="2950"/>
      <c r="JLW22" s="2950"/>
      <c r="JLX22" s="2950"/>
      <c r="JLY22" s="2950"/>
      <c r="JLZ22" s="2950"/>
      <c r="JMA22" s="2950"/>
      <c r="JMB22" s="2950"/>
      <c r="JMC22" s="2950"/>
      <c r="JMD22" s="2950"/>
      <c r="JME22" s="2950"/>
      <c r="JMF22" s="2950"/>
      <c r="JMG22" s="2950"/>
      <c r="JMH22" s="2950"/>
      <c r="JMI22" s="2950"/>
      <c r="JMJ22" s="2950"/>
      <c r="JMK22" s="2950"/>
      <c r="JML22" s="2950"/>
      <c r="JMM22" s="2950"/>
      <c r="JMN22" s="2950"/>
      <c r="JMO22" s="2950"/>
      <c r="JMP22" s="2950"/>
      <c r="JMQ22" s="2950"/>
      <c r="JMR22" s="2950"/>
      <c r="JMS22" s="2950"/>
      <c r="JMT22" s="2950"/>
      <c r="JMU22" s="2950"/>
      <c r="JMV22" s="2950"/>
      <c r="JMW22" s="2950"/>
      <c r="JMX22" s="2950"/>
      <c r="JMY22" s="2950"/>
      <c r="JMZ22" s="2950"/>
      <c r="JNA22" s="2950"/>
      <c r="JNB22" s="2950"/>
      <c r="JNC22" s="2950"/>
      <c r="JND22" s="2950"/>
      <c r="JNE22" s="2950"/>
      <c r="JNF22" s="2950"/>
      <c r="JNG22" s="2950"/>
      <c r="JNH22" s="2950"/>
      <c r="JNI22" s="2950"/>
      <c r="JNJ22" s="2950"/>
      <c r="JNK22" s="2950"/>
      <c r="JNL22" s="2950"/>
      <c r="JNM22" s="2950"/>
      <c r="JNN22" s="2950"/>
      <c r="JNO22" s="2950"/>
      <c r="JNP22" s="2950"/>
      <c r="JNQ22" s="2950"/>
      <c r="JNR22" s="2950"/>
      <c r="JNS22" s="2950"/>
      <c r="JNT22" s="2950"/>
      <c r="JNU22" s="2950"/>
      <c r="JNV22" s="2950"/>
      <c r="JNW22" s="2950"/>
      <c r="JNX22" s="2950"/>
      <c r="JNY22" s="2950"/>
      <c r="JNZ22" s="2950"/>
      <c r="JOA22" s="2950"/>
      <c r="JOB22" s="2950"/>
      <c r="JOC22" s="2950"/>
      <c r="JOD22" s="2950"/>
      <c r="JOE22" s="2950"/>
      <c r="JOF22" s="2950"/>
      <c r="JOG22" s="2950"/>
      <c r="JOH22" s="2950"/>
      <c r="JOI22" s="2950"/>
      <c r="JOJ22" s="2950"/>
      <c r="JOK22" s="2950"/>
      <c r="JOL22" s="2950"/>
      <c r="JOM22" s="2950"/>
      <c r="JON22" s="2950"/>
      <c r="JOO22" s="2950"/>
      <c r="JOP22" s="2950"/>
      <c r="JOQ22" s="2950"/>
      <c r="JOR22" s="2950"/>
      <c r="JOS22" s="2950"/>
      <c r="JOT22" s="2950"/>
      <c r="JOU22" s="2950"/>
      <c r="JOV22" s="2950"/>
      <c r="JOW22" s="2950"/>
      <c r="JOX22" s="2950"/>
      <c r="JOY22" s="2950"/>
      <c r="JOZ22" s="2950"/>
      <c r="JPA22" s="2950"/>
      <c r="JPB22" s="2950"/>
      <c r="JPC22" s="2950"/>
      <c r="JPD22" s="2950"/>
      <c r="JPE22" s="2950"/>
      <c r="JPF22" s="2950"/>
      <c r="JPG22" s="2950"/>
      <c r="JPH22" s="2950"/>
      <c r="JPI22" s="2950"/>
      <c r="JPJ22" s="2950"/>
      <c r="JPK22" s="2950"/>
      <c r="JPL22" s="2950"/>
      <c r="JPM22" s="2950"/>
      <c r="JPN22" s="2950"/>
      <c r="JPO22" s="2950"/>
      <c r="JPP22" s="2950"/>
      <c r="JPQ22" s="2950"/>
      <c r="JPR22" s="2950"/>
      <c r="JPS22" s="2950"/>
      <c r="JPT22" s="2950"/>
      <c r="JPU22" s="2950"/>
      <c r="JPV22" s="2950"/>
      <c r="JPW22" s="2950"/>
      <c r="JPX22" s="2950"/>
      <c r="JPY22" s="2950"/>
      <c r="JPZ22" s="2950"/>
      <c r="JQA22" s="2950"/>
      <c r="JQB22" s="2950"/>
      <c r="JQC22" s="2950"/>
      <c r="JQD22" s="2950"/>
      <c r="JQE22" s="2950"/>
      <c r="JQF22" s="2950"/>
      <c r="JQG22" s="2950"/>
      <c r="JQH22" s="2950"/>
      <c r="JQI22" s="2950"/>
      <c r="JQJ22" s="2950"/>
      <c r="JQK22" s="2950"/>
      <c r="JQL22" s="2950"/>
      <c r="JQM22" s="2950"/>
      <c r="JQN22" s="2950"/>
      <c r="JQO22" s="2950"/>
      <c r="JQP22" s="2950"/>
      <c r="JQQ22" s="2950"/>
      <c r="JQR22" s="2950"/>
      <c r="JQS22" s="2950"/>
      <c r="JQT22" s="2950"/>
      <c r="JQU22" s="2950"/>
      <c r="JQV22" s="2950"/>
      <c r="JQW22" s="2950"/>
      <c r="JQX22" s="2950"/>
      <c r="JQY22" s="2950"/>
      <c r="JQZ22" s="2950"/>
      <c r="JRA22" s="2950"/>
      <c r="JRB22" s="2950"/>
      <c r="JRC22" s="2950"/>
      <c r="JRD22" s="2950"/>
      <c r="JRE22" s="2950"/>
      <c r="JRF22" s="2950"/>
      <c r="JRG22" s="2950"/>
      <c r="JRH22" s="2950"/>
      <c r="JRI22" s="2950"/>
      <c r="JRJ22" s="2950"/>
      <c r="JRK22" s="2950"/>
      <c r="JRL22" s="2950"/>
      <c r="JRM22" s="2950"/>
      <c r="JRN22" s="2950"/>
      <c r="JRO22" s="2950"/>
      <c r="JRP22" s="2950"/>
      <c r="JRQ22" s="2950"/>
      <c r="JRR22" s="2950"/>
      <c r="JRS22" s="2950"/>
      <c r="JRT22" s="2950"/>
      <c r="JRU22" s="2950"/>
      <c r="JRV22" s="2950"/>
      <c r="JRW22" s="2950"/>
      <c r="JRX22" s="2950"/>
      <c r="JRY22" s="2950"/>
      <c r="JRZ22" s="2950"/>
      <c r="JSA22" s="2950"/>
      <c r="JSB22" s="2950"/>
      <c r="JSC22" s="2950"/>
      <c r="JSD22" s="2950"/>
      <c r="JSE22" s="2950"/>
      <c r="JSF22" s="2950"/>
      <c r="JSG22" s="2950"/>
      <c r="JSH22" s="2950"/>
      <c r="JSI22" s="2950"/>
      <c r="JSJ22" s="2950"/>
      <c r="JSK22" s="2950"/>
      <c r="JSL22" s="2950"/>
      <c r="JSM22" s="2950"/>
      <c r="JSN22" s="2950"/>
      <c r="JSO22" s="2950"/>
      <c r="JSP22" s="2950"/>
      <c r="JSQ22" s="2950"/>
      <c r="JSR22" s="2950"/>
      <c r="JSS22" s="2950"/>
      <c r="JST22" s="2950"/>
      <c r="JSU22" s="2950"/>
      <c r="JSV22" s="2950"/>
      <c r="JSW22" s="2950"/>
      <c r="JSX22" s="2950"/>
      <c r="JSY22" s="2950"/>
      <c r="JSZ22" s="2950"/>
      <c r="JTA22" s="2950"/>
      <c r="JTB22" s="2950"/>
      <c r="JTC22" s="2950"/>
      <c r="JTD22" s="2950"/>
      <c r="JTE22" s="2950"/>
      <c r="JTF22" s="2950"/>
      <c r="JTG22" s="2950"/>
      <c r="JTH22" s="2950"/>
      <c r="JTI22" s="2950"/>
      <c r="JTJ22" s="2950"/>
      <c r="JTK22" s="2950"/>
      <c r="JTL22" s="2950"/>
      <c r="JTM22" s="2950"/>
      <c r="JTN22" s="2950"/>
      <c r="JTO22" s="2950"/>
      <c r="JTP22" s="2950"/>
      <c r="JTQ22" s="2950"/>
      <c r="JTR22" s="2950"/>
      <c r="JTS22" s="2950"/>
      <c r="JTT22" s="2950"/>
      <c r="JTU22" s="2950"/>
      <c r="JTV22" s="2950"/>
      <c r="JTW22" s="2950"/>
      <c r="JTX22" s="2950"/>
      <c r="JTY22" s="2950"/>
      <c r="JTZ22" s="2950"/>
      <c r="JUA22" s="2950"/>
      <c r="JUB22" s="2950"/>
      <c r="JUC22" s="2950"/>
      <c r="JUD22" s="2950"/>
      <c r="JUE22" s="2950"/>
      <c r="JUF22" s="2950"/>
      <c r="JUG22" s="2950"/>
      <c r="JUH22" s="2950"/>
      <c r="JUI22" s="2950"/>
      <c r="JUJ22" s="2950"/>
      <c r="JUK22" s="2950"/>
      <c r="JUL22" s="2950"/>
      <c r="JUM22" s="2950"/>
      <c r="JUN22" s="2950"/>
      <c r="JUO22" s="2950"/>
      <c r="JUP22" s="2950"/>
      <c r="JUQ22" s="2950"/>
      <c r="JUR22" s="2950"/>
      <c r="JUS22" s="2950"/>
      <c r="JUT22" s="2950"/>
      <c r="JUU22" s="2950"/>
      <c r="JUV22" s="2950"/>
      <c r="JUW22" s="2950"/>
      <c r="JUX22" s="2950"/>
      <c r="JUY22" s="2950"/>
      <c r="JUZ22" s="2950"/>
      <c r="JVA22" s="2950"/>
      <c r="JVB22" s="2950"/>
      <c r="JVC22" s="2950"/>
      <c r="JVD22" s="2950"/>
      <c r="JVE22" s="2950"/>
      <c r="JVF22" s="2950"/>
      <c r="JVG22" s="2950"/>
      <c r="JVH22" s="2950"/>
      <c r="JVI22" s="2950"/>
      <c r="JVJ22" s="2950"/>
      <c r="JVK22" s="2950"/>
      <c r="JVL22" s="2950"/>
      <c r="JVM22" s="2950"/>
      <c r="JVN22" s="2950"/>
      <c r="JVO22" s="2950"/>
      <c r="JVP22" s="2950"/>
      <c r="JVQ22" s="2950"/>
      <c r="JVR22" s="2950"/>
      <c r="JVS22" s="2950"/>
      <c r="JVT22" s="2950"/>
      <c r="JVU22" s="2950"/>
      <c r="JVV22" s="2950"/>
      <c r="JVW22" s="2950"/>
      <c r="JVX22" s="2950"/>
      <c r="JVY22" s="2950"/>
      <c r="JVZ22" s="2950"/>
      <c r="JWA22" s="2950"/>
      <c r="JWB22" s="2950"/>
      <c r="JWC22" s="2950"/>
      <c r="JWD22" s="2950"/>
      <c r="JWE22" s="2950"/>
      <c r="JWF22" s="2950"/>
      <c r="JWG22" s="2950"/>
      <c r="JWH22" s="2950"/>
      <c r="JWI22" s="2950"/>
      <c r="JWJ22" s="2950"/>
      <c r="JWK22" s="2950"/>
      <c r="JWL22" s="2950"/>
      <c r="JWM22" s="2950"/>
      <c r="JWN22" s="2950"/>
      <c r="JWO22" s="2950"/>
      <c r="JWP22" s="2950"/>
      <c r="JWQ22" s="2950"/>
      <c r="JWR22" s="2950"/>
      <c r="JWS22" s="2950"/>
      <c r="JWT22" s="2950"/>
      <c r="JWU22" s="2950"/>
      <c r="JWV22" s="2950"/>
      <c r="JWW22" s="2950"/>
      <c r="JWX22" s="2950"/>
      <c r="JWY22" s="2950"/>
      <c r="JWZ22" s="2950"/>
      <c r="JXA22" s="2950"/>
      <c r="JXB22" s="2950"/>
      <c r="JXC22" s="2950"/>
      <c r="JXD22" s="2950"/>
      <c r="JXE22" s="2950"/>
      <c r="JXF22" s="2950"/>
      <c r="JXG22" s="2950"/>
      <c r="JXH22" s="2950"/>
      <c r="JXI22" s="2950"/>
      <c r="JXJ22" s="2950"/>
      <c r="JXK22" s="2950"/>
      <c r="JXL22" s="2950"/>
      <c r="JXM22" s="2950"/>
      <c r="JXN22" s="2950"/>
      <c r="JXO22" s="2950"/>
      <c r="JXP22" s="2950"/>
      <c r="JXQ22" s="2950"/>
      <c r="JXR22" s="2950"/>
      <c r="JXS22" s="2950"/>
      <c r="JXT22" s="2950"/>
      <c r="JXU22" s="2950"/>
      <c r="JXV22" s="2950"/>
      <c r="JXW22" s="2950"/>
      <c r="JXX22" s="2950"/>
      <c r="JXY22" s="2950"/>
      <c r="JXZ22" s="2950"/>
      <c r="JYA22" s="2950"/>
      <c r="JYB22" s="2950"/>
      <c r="JYC22" s="2950"/>
      <c r="JYD22" s="2950"/>
      <c r="JYE22" s="2950"/>
      <c r="JYF22" s="2950"/>
      <c r="JYG22" s="2950"/>
      <c r="JYH22" s="2950"/>
      <c r="JYI22" s="2950"/>
      <c r="JYJ22" s="2950"/>
      <c r="JYK22" s="2950"/>
      <c r="JYL22" s="2950"/>
      <c r="JYM22" s="2950"/>
      <c r="JYN22" s="2950"/>
      <c r="JYO22" s="2950"/>
      <c r="JYP22" s="2950"/>
      <c r="JYQ22" s="2950"/>
      <c r="JYR22" s="2950"/>
      <c r="JYS22" s="2950"/>
      <c r="JYT22" s="2950"/>
      <c r="JYU22" s="2950"/>
      <c r="JYV22" s="2950"/>
      <c r="JYW22" s="2950"/>
      <c r="JYX22" s="2950"/>
      <c r="JYY22" s="2950"/>
      <c r="JYZ22" s="2950"/>
      <c r="JZA22" s="2950"/>
      <c r="JZB22" s="2950"/>
      <c r="JZC22" s="2950"/>
      <c r="JZD22" s="2950"/>
      <c r="JZE22" s="2950"/>
      <c r="JZF22" s="2950"/>
      <c r="JZG22" s="2950"/>
      <c r="JZH22" s="2950"/>
      <c r="JZI22" s="2950"/>
      <c r="JZJ22" s="2950"/>
      <c r="JZK22" s="2950"/>
      <c r="JZL22" s="2950"/>
      <c r="JZM22" s="2950"/>
      <c r="JZN22" s="2950"/>
      <c r="JZO22" s="2950"/>
      <c r="JZP22" s="2950"/>
      <c r="JZQ22" s="2950"/>
      <c r="JZR22" s="2950"/>
      <c r="JZS22" s="2950"/>
      <c r="JZT22" s="2950"/>
      <c r="JZU22" s="2950"/>
      <c r="JZV22" s="2950"/>
      <c r="JZW22" s="2950"/>
      <c r="JZX22" s="2950"/>
      <c r="JZY22" s="2950"/>
      <c r="JZZ22" s="2950"/>
      <c r="KAA22" s="2950"/>
      <c r="KAB22" s="2950"/>
      <c r="KAC22" s="2950"/>
      <c r="KAD22" s="2950"/>
      <c r="KAE22" s="2950"/>
      <c r="KAF22" s="2950"/>
      <c r="KAG22" s="2950"/>
      <c r="KAH22" s="2950"/>
      <c r="KAI22" s="2950"/>
      <c r="KAJ22" s="2950"/>
      <c r="KAK22" s="2950"/>
      <c r="KAL22" s="2950"/>
      <c r="KAM22" s="2950"/>
      <c r="KAN22" s="2950"/>
      <c r="KAO22" s="2950"/>
      <c r="KAP22" s="2950"/>
      <c r="KAQ22" s="2950"/>
      <c r="KAR22" s="2950"/>
      <c r="KAS22" s="2950"/>
      <c r="KAT22" s="2950"/>
      <c r="KAU22" s="2950"/>
      <c r="KAV22" s="2950"/>
      <c r="KAW22" s="2950"/>
      <c r="KAX22" s="2950"/>
      <c r="KAY22" s="2950"/>
      <c r="KAZ22" s="2950"/>
      <c r="KBA22" s="2950"/>
      <c r="KBB22" s="2950"/>
      <c r="KBC22" s="2950"/>
      <c r="KBD22" s="2950"/>
      <c r="KBE22" s="2950"/>
      <c r="KBF22" s="2950"/>
      <c r="KBG22" s="2950"/>
      <c r="KBH22" s="2950"/>
      <c r="KBI22" s="2950"/>
      <c r="KBJ22" s="2950"/>
      <c r="KBK22" s="2950"/>
      <c r="KBL22" s="2950"/>
      <c r="KBM22" s="2950"/>
      <c r="KBN22" s="2950"/>
      <c r="KBO22" s="2950"/>
      <c r="KBP22" s="2950"/>
      <c r="KBQ22" s="2950"/>
      <c r="KBR22" s="2950"/>
      <c r="KBS22" s="2950"/>
      <c r="KBT22" s="2950"/>
      <c r="KBU22" s="2950"/>
      <c r="KBV22" s="2950"/>
      <c r="KBW22" s="2950"/>
      <c r="KBX22" s="2950"/>
      <c r="KBY22" s="2950"/>
      <c r="KBZ22" s="2950"/>
      <c r="KCA22" s="2950"/>
      <c r="KCB22" s="2950"/>
      <c r="KCC22" s="2950"/>
      <c r="KCD22" s="2950"/>
      <c r="KCE22" s="2950"/>
      <c r="KCF22" s="2950"/>
      <c r="KCG22" s="2950"/>
      <c r="KCH22" s="2950"/>
      <c r="KCI22" s="2950"/>
      <c r="KCJ22" s="2950"/>
      <c r="KCK22" s="2950"/>
      <c r="KCL22" s="2950"/>
      <c r="KCM22" s="2950"/>
      <c r="KCN22" s="2950"/>
      <c r="KCO22" s="2950"/>
      <c r="KCP22" s="2950"/>
      <c r="KCQ22" s="2950"/>
      <c r="KCR22" s="2950"/>
      <c r="KCS22" s="2950"/>
      <c r="KCT22" s="2950"/>
      <c r="KCU22" s="2950"/>
      <c r="KCV22" s="2950"/>
      <c r="KCW22" s="2950"/>
      <c r="KCX22" s="2950"/>
      <c r="KCY22" s="2950"/>
      <c r="KCZ22" s="2950"/>
      <c r="KDA22" s="2950"/>
      <c r="KDB22" s="2950"/>
      <c r="KDC22" s="2950"/>
      <c r="KDD22" s="2950"/>
      <c r="KDE22" s="2950"/>
      <c r="KDF22" s="2950"/>
      <c r="KDG22" s="2950"/>
      <c r="KDH22" s="2950"/>
      <c r="KDI22" s="2950"/>
      <c r="KDJ22" s="2950"/>
      <c r="KDK22" s="2950"/>
      <c r="KDL22" s="2950"/>
      <c r="KDM22" s="2950"/>
      <c r="KDN22" s="2950"/>
      <c r="KDO22" s="2950"/>
      <c r="KDP22" s="2950"/>
      <c r="KDQ22" s="2950"/>
      <c r="KDR22" s="2950"/>
      <c r="KDS22" s="2950"/>
      <c r="KDT22" s="2950"/>
      <c r="KDU22" s="2950"/>
      <c r="KDV22" s="2950"/>
      <c r="KDW22" s="2950"/>
      <c r="KDX22" s="2950"/>
      <c r="KDY22" s="2950"/>
      <c r="KDZ22" s="2950"/>
      <c r="KEA22" s="2950"/>
      <c r="KEB22" s="2950"/>
      <c r="KEC22" s="2950"/>
      <c r="KED22" s="2950"/>
      <c r="KEE22" s="2950"/>
      <c r="KEF22" s="2950"/>
      <c r="KEG22" s="2950"/>
      <c r="KEH22" s="2950"/>
      <c r="KEI22" s="2950"/>
      <c r="KEJ22" s="2950"/>
      <c r="KEK22" s="2950"/>
      <c r="KEL22" s="2950"/>
      <c r="KEM22" s="2950"/>
      <c r="KEN22" s="2950"/>
      <c r="KEO22" s="2950"/>
      <c r="KEP22" s="2950"/>
      <c r="KEQ22" s="2950"/>
      <c r="KER22" s="2950"/>
      <c r="KES22" s="2950"/>
      <c r="KET22" s="2950"/>
      <c r="KEU22" s="2950"/>
      <c r="KEV22" s="2950"/>
      <c r="KEW22" s="2950"/>
      <c r="KEX22" s="2950"/>
      <c r="KEY22" s="2950"/>
      <c r="KEZ22" s="2950"/>
      <c r="KFA22" s="2950"/>
      <c r="KFB22" s="2950"/>
      <c r="KFC22" s="2950"/>
      <c r="KFD22" s="2950"/>
      <c r="KFE22" s="2950"/>
      <c r="KFF22" s="2950"/>
      <c r="KFG22" s="2950"/>
      <c r="KFH22" s="2950"/>
      <c r="KFI22" s="2950"/>
      <c r="KFJ22" s="2950"/>
      <c r="KFK22" s="2950"/>
      <c r="KFL22" s="2950"/>
      <c r="KFM22" s="2950"/>
      <c r="KFN22" s="2950"/>
      <c r="KFO22" s="2950"/>
      <c r="KFP22" s="2950"/>
      <c r="KFQ22" s="2950"/>
      <c r="KFR22" s="2950"/>
      <c r="KFS22" s="2950"/>
      <c r="KFT22" s="2950"/>
      <c r="KFU22" s="2950"/>
      <c r="KFV22" s="2950"/>
      <c r="KFW22" s="2950"/>
      <c r="KFX22" s="2950"/>
      <c r="KFY22" s="2950"/>
      <c r="KFZ22" s="2950"/>
      <c r="KGA22" s="2950"/>
      <c r="KGB22" s="2950"/>
      <c r="KGC22" s="2950"/>
      <c r="KGD22" s="2950"/>
      <c r="KGE22" s="2950"/>
      <c r="KGF22" s="2950"/>
      <c r="KGG22" s="2950"/>
      <c r="KGH22" s="2950"/>
      <c r="KGI22" s="2950"/>
      <c r="KGJ22" s="2950"/>
      <c r="KGK22" s="2950"/>
      <c r="KGL22" s="2950"/>
      <c r="KGM22" s="2950"/>
      <c r="KGN22" s="2950"/>
      <c r="KGO22" s="2950"/>
      <c r="KGP22" s="2950"/>
      <c r="KGQ22" s="2950"/>
      <c r="KGR22" s="2950"/>
      <c r="KGS22" s="2950"/>
      <c r="KGT22" s="2950"/>
      <c r="KGU22" s="2950"/>
      <c r="KGV22" s="2950"/>
      <c r="KGW22" s="2950"/>
      <c r="KGX22" s="2950"/>
      <c r="KGY22" s="2950"/>
      <c r="KGZ22" s="2950"/>
      <c r="KHA22" s="2950"/>
      <c r="KHB22" s="2950"/>
      <c r="KHC22" s="2950"/>
      <c r="KHD22" s="2950"/>
      <c r="KHE22" s="2950"/>
      <c r="KHF22" s="2950"/>
      <c r="KHG22" s="2950"/>
      <c r="KHH22" s="2950"/>
      <c r="KHI22" s="2950"/>
      <c r="KHJ22" s="2950"/>
      <c r="KHK22" s="2950"/>
      <c r="KHL22" s="2950"/>
      <c r="KHM22" s="2950"/>
      <c r="KHN22" s="2950"/>
      <c r="KHO22" s="2950"/>
      <c r="KHP22" s="2950"/>
      <c r="KHQ22" s="2950"/>
      <c r="KHR22" s="2950"/>
      <c r="KHS22" s="2950"/>
      <c r="KHT22" s="2950"/>
      <c r="KHU22" s="2950"/>
      <c r="KHV22" s="2950"/>
      <c r="KHW22" s="2950"/>
      <c r="KHX22" s="2950"/>
      <c r="KHY22" s="2950"/>
      <c r="KHZ22" s="2950"/>
      <c r="KIA22" s="2950"/>
      <c r="KIB22" s="2950"/>
      <c r="KIC22" s="2950"/>
      <c r="KID22" s="2950"/>
      <c r="KIE22" s="2950"/>
      <c r="KIF22" s="2950"/>
      <c r="KIG22" s="2950"/>
      <c r="KIH22" s="2950"/>
      <c r="KII22" s="2950"/>
      <c r="KIJ22" s="2950"/>
      <c r="KIK22" s="2950"/>
      <c r="KIL22" s="2950"/>
      <c r="KIM22" s="2950"/>
      <c r="KIN22" s="2950"/>
      <c r="KIO22" s="2950"/>
      <c r="KIP22" s="2950"/>
      <c r="KIQ22" s="2950"/>
      <c r="KIR22" s="2950"/>
      <c r="KIS22" s="2950"/>
      <c r="KIT22" s="2950"/>
      <c r="KIU22" s="2950"/>
      <c r="KIV22" s="2950"/>
      <c r="KIW22" s="2950"/>
      <c r="KIX22" s="2950"/>
      <c r="KIY22" s="2950"/>
      <c r="KIZ22" s="2950"/>
      <c r="KJA22" s="2950"/>
      <c r="KJB22" s="2950"/>
      <c r="KJC22" s="2950"/>
      <c r="KJD22" s="2950"/>
      <c r="KJE22" s="2950"/>
      <c r="KJF22" s="2950"/>
      <c r="KJG22" s="2950"/>
      <c r="KJH22" s="2950"/>
      <c r="KJI22" s="2950"/>
      <c r="KJJ22" s="2950"/>
      <c r="KJK22" s="2950"/>
      <c r="KJL22" s="2950"/>
      <c r="KJM22" s="2950"/>
      <c r="KJN22" s="2950"/>
      <c r="KJO22" s="2950"/>
      <c r="KJP22" s="2950"/>
      <c r="KJQ22" s="2950"/>
      <c r="KJR22" s="2950"/>
      <c r="KJS22" s="2950"/>
      <c r="KJT22" s="2950"/>
      <c r="KJU22" s="2950"/>
      <c r="KJV22" s="2950"/>
      <c r="KJW22" s="2950"/>
      <c r="KJX22" s="2950"/>
      <c r="KJY22" s="2950"/>
      <c r="KJZ22" s="2950"/>
      <c r="KKA22" s="2950"/>
      <c r="KKB22" s="2950"/>
      <c r="KKC22" s="2950"/>
      <c r="KKD22" s="2950"/>
      <c r="KKE22" s="2950"/>
      <c r="KKF22" s="2950"/>
      <c r="KKG22" s="2950"/>
      <c r="KKH22" s="2950"/>
      <c r="KKI22" s="2950"/>
      <c r="KKJ22" s="2950"/>
      <c r="KKK22" s="2950"/>
      <c r="KKL22" s="2950"/>
      <c r="KKM22" s="2950"/>
      <c r="KKN22" s="2950"/>
      <c r="KKO22" s="2950"/>
      <c r="KKP22" s="2950"/>
      <c r="KKQ22" s="2950"/>
      <c r="KKR22" s="2950"/>
      <c r="KKS22" s="2950"/>
      <c r="KKT22" s="2950"/>
      <c r="KKU22" s="2950"/>
      <c r="KKV22" s="2950"/>
      <c r="KKW22" s="2950"/>
      <c r="KKX22" s="2950"/>
      <c r="KKY22" s="2950"/>
      <c r="KKZ22" s="2950"/>
      <c r="KLA22" s="2950"/>
      <c r="KLB22" s="2950"/>
      <c r="KLC22" s="2950"/>
      <c r="KLD22" s="2950"/>
      <c r="KLE22" s="2950"/>
      <c r="KLF22" s="2950"/>
      <c r="KLG22" s="2950"/>
      <c r="KLH22" s="2950"/>
      <c r="KLI22" s="2950"/>
      <c r="KLJ22" s="2950"/>
      <c r="KLK22" s="2950"/>
      <c r="KLL22" s="2950"/>
      <c r="KLM22" s="2950"/>
      <c r="KLN22" s="2950"/>
      <c r="KLO22" s="2950"/>
      <c r="KLP22" s="2950"/>
      <c r="KLQ22" s="2950"/>
      <c r="KLR22" s="2950"/>
      <c r="KLS22" s="2950"/>
      <c r="KLT22" s="2950"/>
      <c r="KLU22" s="2950"/>
      <c r="KLV22" s="2950"/>
      <c r="KLW22" s="2950"/>
      <c r="KLX22" s="2950"/>
      <c r="KLY22" s="2950"/>
      <c r="KLZ22" s="2950"/>
      <c r="KMA22" s="2950"/>
      <c r="KMB22" s="2950"/>
      <c r="KMC22" s="2950"/>
      <c r="KMD22" s="2950"/>
      <c r="KME22" s="2950"/>
      <c r="KMF22" s="2950"/>
      <c r="KMG22" s="2950"/>
      <c r="KMH22" s="2950"/>
      <c r="KMI22" s="2950"/>
      <c r="KMJ22" s="2950"/>
      <c r="KMK22" s="2950"/>
      <c r="KML22" s="2950"/>
      <c r="KMM22" s="2950"/>
      <c r="KMN22" s="2950"/>
      <c r="KMO22" s="2950"/>
      <c r="KMP22" s="2950"/>
      <c r="KMQ22" s="2950"/>
      <c r="KMR22" s="2950"/>
      <c r="KMS22" s="2950"/>
      <c r="KMT22" s="2950"/>
      <c r="KMU22" s="2950"/>
      <c r="KMV22" s="2950"/>
      <c r="KMW22" s="2950"/>
      <c r="KMX22" s="2950"/>
      <c r="KMY22" s="2950"/>
      <c r="KMZ22" s="2950"/>
      <c r="KNA22" s="2950"/>
      <c r="KNB22" s="2950"/>
      <c r="KNC22" s="2950"/>
      <c r="KND22" s="2950"/>
      <c r="KNE22" s="2950"/>
      <c r="KNF22" s="2950"/>
      <c r="KNG22" s="2950"/>
      <c r="KNH22" s="2950"/>
      <c r="KNI22" s="2950"/>
      <c r="KNJ22" s="2950"/>
      <c r="KNK22" s="2950"/>
      <c r="KNL22" s="2950"/>
      <c r="KNM22" s="2950"/>
      <c r="KNN22" s="2950"/>
      <c r="KNO22" s="2950"/>
      <c r="KNP22" s="2950"/>
      <c r="KNQ22" s="2950"/>
      <c r="KNR22" s="2950"/>
      <c r="KNS22" s="2950"/>
      <c r="KNT22" s="2950"/>
      <c r="KNU22" s="2950"/>
      <c r="KNV22" s="2950"/>
      <c r="KNW22" s="2950"/>
      <c r="KNX22" s="2950"/>
      <c r="KNY22" s="2950"/>
      <c r="KNZ22" s="2950"/>
      <c r="KOA22" s="2950"/>
      <c r="KOB22" s="2950"/>
      <c r="KOC22" s="2950"/>
      <c r="KOD22" s="2950"/>
      <c r="KOE22" s="2950"/>
      <c r="KOF22" s="2950"/>
      <c r="KOG22" s="2950"/>
      <c r="KOH22" s="2950"/>
      <c r="KOI22" s="2950"/>
      <c r="KOJ22" s="2950"/>
      <c r="KOK22" s="2950"/>
      <c r="KOL22" s="2950"/>
      <c r="KOM22" s="2950"/>
      <c r="KON22" s="2950"/>
      <c r="KOO22" s="2950"/>
      <c r="KOP22" s="2950"/>
      <c r="KOQ22" s="2950"/>
      <c r="KOR22" s="2950"/>
      <c r="KOS22" s="2950"/>
      <c r="KOT22" s="2950"/>
      <c r="KOU22" s="2950"/>
      <c r="KOV22" s="2950"/>
      <c r="KOW22" s="2950"/>
      <c r="KOX22" s="2950"/>
      <c r="KOY22" s="2950"/>
      <c r="KOZ22" s="2950"/>
      <c r="KPA22" s="2950"/>
      <c r="KPB22" s="2950"/>
      <c r="KPC22" s="2950"/>
      <c r="KPD22" s="2950"/>
      <c r="KPE22" s="2950"/>
      <c r="KPF22" s="2950"/>
      <c r="KPG22" s="2950"/>
      <c r="KPH22" s="2950"/>
      <c r="KPI22" s="2950"/>
      <c r="KPJ22" s="2950"/>
      <c r="KPK22" s="2950"/>
      <c r="KPL22" s="2950"/>
      <c r="KPM22" s="2950"/>
      <c r="KPN22" s="2950"/>
      <c r="KPO22" s="2950"/>
      <c r="KPP22" s="2950"/>
      <c r="KPQ22" s="2950"/>
      <c r="KPR22" s="2950"/>
      <c r="KPS22" s="2950"/>
      <c r="KPT22" s="2950"/>
      <c r="KPU22" s="2950"/>
      <c r="KPV22" s="2950"/>
      <c r="KPW22" s="2950"/>
      <c r="KPX22" s="2950"/>
      <c r="KPY22" s="2950"/>
      <c r="KPZ22" s="2950"/>
      <c r="KQA22" s="2950"/>
      <c r="KQB22" s="2950"/>
      <c r="KQC22" s="2950"/>
      <c r="KQD22" s="2950"/>
      <c r="KQE22" s="2950"/>
      <c r="KQF22" s="2950"/>
      <c r="KQG22" s="2950"/>
      <c r="KQH22" s="2950"/>
      <c r="KQI22" s="2950"/>
      <c r="KQJ22" s="2950"/>
      <c r="KQK22" s="2950"/>
      <c r="KQL22" s="2950"/>
      <c r="KQM22" s="2950"/>
      <c r="KQN22" s="2950"/>
      <c r="KQO22" s="2950"/>
      <c r="KQP22" s="2950"/>
      <c r="KQQ22" s="2950"/>
      <c r="KQR22" s="2950"/>
      <c r="KQS22" s="2950"/>
      <c r="KQT22" s="2950"/>
      <c r="KQU22" s="2950"/>
      <c r="KQV22" s="2950"/>
      <c r="KQW22" s="2950"/>
      <c r="KQX22" s="2950"/>
      <c r="KQY22" s="2950"/>
      <c r="KQZ22" s="2950"/>
      <c r="KRA22" s="2950"/>
      <c r="KRB22" s="2950"/>
      <c r="KRC22" s="2950"/>
      <c r="KRD22" s="2950"/>
      <c r="KRE22" s="2950"/>
      <c r="KRF22" s="2950"/>
      <c r="KRG22" s="2950"/>
      <c r="KRH22" s="2950"/>
      <c r="KRI22" s="2950"/>
      <c r="KRJ22" s="2950"/>
      <c r="KRK22" s="2950"/>
      <c r="KRL22" s="2950"/>
      <c r="KRM22" s="2950"/>
      <c r="KRN22" s="2950"/>
      <c r="KRO22" s="2950"/>
      <c r="KRP22" s="2950"/>
      <c r="KRQ22" s="2950"/>
      <c r="KRR22" s="2950"/>
      <c r="KRS22" s="2950"/>
      <c r="KRT22" s="2950"/>
      <c r="KRU22" s="2950"/>
      <c r="KRV22" s="2950"/>
      <c r="KRW22" s="2950"/>
      <c r="KRX22" s="2950"/>
      <c r="KRY22" s="2950"/>
      <c r="KRZ22" s="2950"/>
      <c r="KSA22" s="2950"/>
      <c r="KSB22" s="2950"/>
      <c r="KSC22" s="2950"/>
      <c r="KSD22" s="2950"/>
      <c r="KSE22" s="2950"/>
      <c r="KSF22" s="2950"/>
      <c r="KSG22" s="2950"/>
      <c r="KSH22" s="2950"/>
      <c r="KSI22" s="2950"/>
      <c r="KSJ22" s="2950"/>
      <c r="KSK22" s="2950"/>
      <c r="KSL22" s="2950"/>
      <c r="KSM22" s="2950"/>
      <c r="KSN22" s="2950"/>
      <c r="KSO22" s="2950"/>
      <c r="KSP22" s="2950"/>
      <c r="KSQ22" s="2950"/>
      <c r="KSR22" s="2950"/>
      <c r="KSS22" s="2950"/>
      <c r="KST22" s="2950"/>
      <c r="KSU22" s="2950"/>
      <c r="KSV22" s="2950"/>
      <c r="KSW22" s="2950"/>
      <c r="KSX22" s="2950"/>
      <c r="KSY22" s="2950"/>
      <c r="KSZ22" s="2950"/>
      <c r="KTA22" s="2950"/>
      <c r="KTB22" s="2950"/>
      <c r="KTC22" s="2950"/>
      <c r="KTD22" s="2950"/>
      <c r="KTE22" s="2950"/>
      <c r="KTF22" s="2950"/>
      <c r="KTG22" s="2950"/>
      <c r="KTH22" s="2950"/>
      <c r="KTI22" s="2950"/>
      <c r="KTJ22" s="2950"/>
      <c r="KTK22" s="2950"/>
      <c r="KTL22" s="2950"/>
      <c r="KTM22" s="2950"/>
      <c r="KTN22" s="2950"/>
      <c r="KTO22" s="2950"/>
      <c r="KTP22" s="2950"/>
      <c r="KTQ22" s="2950"/>
      <c r="KTR22" s="2950"/>
      <c r="KTS22" s="2950"/>
      <c r="KTT22" s="2950"/>
      <c r="KTU22" s="2950"/>
      <c r="KTV22" s="2950"/>
      <c r="KTW22" s="2950"/>
      <c r="KTX22" s="2950"/>
      <c r="KTY22" s="2950"/>
      <c r="KTZ22" s="2950"/>
      <c r="KUA22" s="2950"/>
      <c r="KUB22" s="2950"/>
      <c r="KUC22" s="2950"/>
      <c r="KUD22" s="2950"/>
      <c r="KUE22" s="2950"/>
      <c r="KUF22" s="2950"/>
      <c r="KUG22" s="2950"/>
      <c r="KUH22" s="2950"/>
      <c r="KUI22" s="2950"/>
      <c r="KUJ22" s="2950"/>
      <c r="KUK22" s="2950"/>
      <c r="KUL22" s="2950"/>
      <c r="KUM22" s="2950"/>
      <c r="KUN22" s="2950"/>
      <c r="KUO22" s="2950"/>
      <c r="KUP22" s="2950"/>
      <c r="KUQ22" s="2950"/>
      <c r="KUR22" s="2950"/>
      <c r="KUS22" s="2950"/>
      <c r="KUT22" s="2950"/>
      <c r="KUU22" s="2950"/>
      <c r="KUV22" s="2950"/>
      <c r="KUW22" s="2950"/>
      <c r="KUX22" s="2950"/>
      <c r="KUY22" s="2950"/>
      <c r="KUZ22" s="2950"/>
      <c r="KVA22" s="2950"/>
      <c r="KVB22" s="2950"/>
      <c r="KVC22" s="2950"/>
      <c r="KVD22" s="2950"/>
      <c r="KVE22" s="2950"/>
      <c r="KVF22" s="2950"/>
      <c r="KVG22" s="2950"/>
      <c r="KVH22" s="2950"/>
      <c r="KVI22" s="2950"/>
      <c r="KVJ22" s="2950"/>
      <c r="KVK22" s="2950"/>
      <c r="KVL22" s="2950"/>
      <c r="KVM22" s="2950"/>
      <c r="KVN22" s="2950"/>
      <c r="KVO22" s="2950"/>
      <c r="KVP22" s="2950"/>
      <c r="KVQ22" s="2950"/>
      <c r="KVR22" s="2950"/>
      <c r="KVS22" s="2950"/>
      <c r="KVT22" s="2950"/>
      <c r="KVU22" s="2950"/>
      <c r="KVV22" s="2950"/>
      <c r="KVW22" s="2950"/>
      <c r="KVX22" s="2950"/>
      <c r="KVY22" s="2950"/>
      <c r="KVZ22" s="2950"/>
      <c r="KWA22" s="2950"/>
      <c r="KWB22" s="2950"/>
      <c r="KWC22" s="2950"/>
      <c r="KWD22" s="2950"/>
      <c r="KWE22" s="2950"/>
      <c r="KWF22" s="2950"/>
      <c r="KWG22" s="2950"/>
      <c r="KWH22" s="2950"/>
      <c r="KWI22" s="2950"/>
      <c r="KWJ22" s="2950"/>
      <c r="KWK22" s="2950"/>
      <c r="KWL22" s="2950"/>
      <c r="KWM22" s="2950"/>
      <c r="KWN22" s="2950"/>
      <c r="KWO22" s="2950"/>
      <c r="KWP22" s="2950"/>
      <c r="KWQ22" s="2950"/>
      <c r="KWR22" s="2950"/>
      <c r="KWS22" s="2950"/>
      <c r="KWT22" s="2950"/>
      <c r="KWU22" s="2950"/>
      <c r="KWV22" s="2950"/>
      <c r="KWW22" s="2950"/>
      <c r="KWX22" s="2950"/>
      <c r="KWY22" s="2950"/>
      <c r="KWZ22" s="2950"/>
      <c r="KXA22" s="2950"/>
      <c r="KXB22" s="2950"/>
      <c r="KXC22" s="2950"/>
      <c r="KXD22" s="2950"/>
      <c r="KXE22" s="2950"/>
      <c r="KXF22" s="2950"/>
      <c r="KXG22" s="2950"/>
      <c r="KXH22" s="2950"/>
      <c r="KXI22" s="2950"/>
      <c r="KXJ22" s="2950"/>
      <c r="KXK22" s="2950"/>
      <c r="KXL22" s="2950"/>
      <c r="KXM22" s="2950"/>
      <c r="KXN22" s="2950"/>
      <c r="KXO22" s="2950"/>
      <c r="KXP22" s="2950"/>
      <c r="KXQ22" s="2950"/>
      <c r="KXR22" s="2950"/>
      <c r="KXS22" s="2950"/>
      <c r="KXT22" s="2950"/>
      <c r="KXU22" s="2950"/>
      <c r="KXV22" s="2950"/>
      <c r="KXW22" s="2950"/>
      <c r="KXX22" s="2950"/>
      <c r="KXY22" s="2950"/>
      <c r="KXZ22" s="2950"/>
      <c r="KYA22" s="2950"/>
      <c r="KYB22" s="2950"/>
      <c r="KYC22" s="2950"/>
      <c r="KYD22" s="2950"/>
      <c r="KYE22" s="2950"/>
      <c r="KYF22" s="2950"/>
      <c r="KYG22" s="2950"/>
      <c r="KYH22" s="2950"/>
      <c r="KYI22" s="2950"/>
      <c r="KYJ22" s="2950"/>
      <c r="KYK22" s="2950"/>
      <c r="KYL22" s="2950"/>
      <c r="KYM22" s="2950"/>
      <c r="KYN22" s="2950"/>
      <c r="KYO22" s="2950"/>
      <c r="KYP22" s="2950"/>
      <c r="KYQ22" s="2950"/>
      <c r="KYR22" s="2950"/>
      <c r="KYS22" s="2950"/>
      <c r="KYT22" s="2950"/>
      <c r="KYU22" s="2950"/>
      <c r="KYV22" s="2950"/>
      <c r="KYW22" s="2950"/>
      <c r="KYX22" s="2950"/>
      <c r="KYY22" s="2950"/>
      <c r="KYZ22" s="2950"/>
      <c r="KZA22" s="2950"/>
      <c r="KZB22" s="2950"/>
      <c r="KZC22" s="2950"/>
      <c r="KZD22" s="2950"/>
      <c r="KZE22" s="2950"/>
      <c r="KZF22" s="2950"/>
      <c r="KZG22" s="2950"/>
      <c r="KZH22" s="2950"/>
      <c r="KZI22" s="2950"/>
      <c r="KZJ22" s="2950"/>
      <c r="KZK22" s="2950"/>
      <c r="KZL22" s="2950"/>
      <c r="KZM22" s="2950"/>
      <c r="KZN22" s="2950"/>
      <c r="KZO22" s="2950"/>
      <c r="KZP22" s="2950"/>
      <c r="KZQ22" s="2950"/>
      <c r="KZR22" s="2950"/>
      <c r="KZS22" s="2950"/>
      <c r="KZT22" s="2950"/>
      <c r="KZU22" s="2950"/>
      <c r="KZV22" s="2950"/>
      <c r="KZW22" s="2950"/>
      <c r="KZX22" s="2950"/>
      <c r="KZY22" s="2950"/>
      <c r="KZZ22" s="2950"/>
      <c r="LAA22" s="2950"/>
      <c r="LAB22" s="2950"/>
      <c r="LAC22" s="2950"/>
      <c r="LAD22" s="2950"/>
      <c r="LAE22" s="2950"/>
      <c r="LAF22" s="2950"/>
      <c r="LAG22" s="2950"/>
      <c r="LAH22" s="2950"/>
      <c r="LAI22" s="2950"/>
      <c r="LAJ22" s="2950"/>
      <c r="LAK22" s="2950"/>
      <c r="LAL22" s="2950"/>
      <c r="LAM22" s="2950"/>
      <c r="LAN22" s="2950"/>
      <c r="LAO22" s="2950"/>
      <c r="LAP22" s="2950"/>
      <c r="LAQ22" s="2950"/>
      <c r="LAR22" s="2950"/>
      <c r="LAS22" s="2950"/>
      <c r="LAT22" s="2950"/>
      <c r="LAU22" s="2950"/>
      <c r="LAV22" s="2950"/>
      <c r="LAW22" s="2950"/>
      <c r="LAX22" s="2950"/>
      <c r="LAY22" s="2950"/>
      <c r="LAZ22" s="2950"/>
      <c r="LBA22" s="2950"/>
      <c r="LBB22" s="2950"/>
      <c r="LBC22" s="2950"/>
      <c r="LBD22" s="2950"/>
      <c r="LBE22" s="2950"/>
      <c r="LBF22" s="2950"/>
      <c r="LBG22" s="2950"/>
      <c r="LBH22" s="2950"/>
      <c r="LBI22" s="2950"/>
      <c r="LBJ22" s="2950"/>
      <c r="LBK22" s="2950"/>
      <c r="LBL22" s="2950"/>
      <c r="LBM22" s="2950"/>
      <c r="LBN22" s="2950"/>
      <c r="LBO22" s="2950"/>
      <c r="LBP22" s="2950"/>
      <c r="LBQ22" s="2950"/>
      <c r="LBR22" s="2950"/>
      <c r="LBS22" s="2950"/>
      <c r="LBT22" s="2950"/>
      <c r="LBU22" s="2950"/>
      <c r="LBV22" s="2950"/>
      <c r="LBW22" s="2950"/>
      <c r="LBX22" s="2950"/>
      <c r="LBY22" s="2950"/>
      <c r="LBZ22" s="2950"/>
      <c r="LCA22" s="2950"/>
      <c r="LCB22" s="2950"/>
      <c r="LCC22" s="2950"/>
      <c r="LCD22" s="2950"/>
      <c r="LCE22" s="2950"/>
      <c r="LCF22" s="2950"/>
      <c r="LCG22" s="2950"/>
      <c r="LCH22" s="2950"/>
      <c r="LCI22" s="2950"/>
      <c r="LCJ22" s="2950"/>
      <c r="LCK22" s="2950"/>
      <c r="LCL22" s="2950"/>
      <c r="LCM22" s="2950"/>
      <c r="LCN22" s="2950"/>
      <c r="LCO22" s="2950"/>
      <c r="LCP22" s="2950"/>
      <c r="LCQ22" s="2950"/>
      <c r="LCR22" s="2950"/>
      <c r="LCS22" s="2950"/>
      <c r="LCT22" s="2950"/>
      <c r="LCU22" s="2950"/>
      <c r="LCV22" s="2950"/>
      <c r="LCW22" s="2950"/>
      <c r="LCX22" s="2950"/>
      <c r="LCY22" s="2950"/>
      <c r="LCZ22" s="2950"/>
      <c r="LDA22" s="2950"/>
      <c r="LDB22" s="2950"/>
      <c r="LDC22" s="2950"/>
      <c r="LDD22" s="2950"/>
      <c r="LDE22" s="2950"/>
      <c r="LDF22" s="2950"/>
      <c r="LDG22" s="2950"/>
      <c r="LDH22" s="2950"/>
      <c r="LDI22" s="2950"/>
      <c r="LDJ22" s="2950"/>
      <c r="LDK22" s="2950"/>
      <c r="LDL22" s="2950"/>
      <c r="LDM22" s="2950"/>
      <c r="LDN22" s="2950"/>
      <c r="LDO22" s="2950"/>
      <c r="LDP22" s="2950"/>
      <c r="LDQ22" s="2950"/>
      <c r="LDR22" s="2950"/>
      <c r="LDS22" s="2950"/>
      <c r="LDT22" s="2950"/>
      <c r="LDU22" s="2950"/>
      <c r="LDV22" s="2950"/>
      <c r="LDW22" s="2950"/>
      <c r="LDX22" s="2950"/>
      <c r="LDY22" s="2950"/>
      <c r="LDZ22" s="2950"/>
      <c r="LEA22" s="2950"/>
      <c r="LEB22" s="2950"/>
      <c r="LEC22" s="2950"/>
      <c r="LED22" s="2950"/>
      <c r="LEE22" s="2950"/>
      <c r="LEF22" s="2950"/>
      <c r="LEG22" s="2950"/>
      <c r="LEH22" s="2950"/>
      <c r="LEI22" s="2950"/>
      <c r="LEJ22" s="2950"/>
      <c r="LEK22" s="2950"/>
      <c r="LEL22" s="2950"/>
      <c r="LEM22" s="2950"/>
      <c r="LEN22" s="2950"/>
      <c r="LEO22" s="2950"/>
      <c r="LEP22" s="2950"/>
      <c r="LEQ22" s="2950"/>
      <c r="LER22" s="2950"/>
      <c r="LES22" s="2950"/>
      <c r="LET22" s="2950"/>
      <c r="LEU22" s="2950"/>
      <c r="LEV22" s="2950"/>
      <c r="LEW22" s="2950"/>
      <c r="LEX22" s="2950"/>
      <c r="LEY22" s="2950"/>
      <c r="LEZ22" s="2950"/>
      <c r="LFA22" s="2950"/>
      <c r="LFB22" s="2950"/>
      <c r="LFC22" s="2950"/>
      <c r="LFD22" s="2950"/>
      <c r="LFE22" s="2950"/>
      <c r="LFF22" s="2950"/>
      <c r="LFG22" s="2950"/>
      <c r="LFH22" s="2950"/>
      <c r="LFI22" s="2950"/>
      <c r="LFJ22" s="2950"/>
      <c r="LFK22" s="2950"/>
      <c r="LFL22" s="2950"/>
      <c r="LFM22" s="2950"/>
      <c r="LFN22" s="2950"/>
      <c r="LFO22" s="2950"/>
      <c r="LFP22" s="2950"/>
      <c r="LFQ22" s="2950"/>
      <c r="LFR22" s="2950"/>
      <c r="LFS22" s="2950"/>
      <c r="LFT22" s="2950"/>
      <c r="LFU22" s="2950"/>
      <c r="LFV22" s="2950"/>
      <c r="LFW22" s="2950"/>
      <c r="LFX22" s="2950"/>
      <c r="LFY22" s="2950"/>
      <c r="LFZ22" s="2950"/>
      <c r="LGA22" s="2950"/>
      <c r="LGB22" s="2950"/>
      <c r="LGC22" s="2950"/>
      <c r="LGD22" s="2950"/>
      <c r="LGE22" s="2950"/>
      <c r="LGF22" s="2950"/>
      <c r="LGG22" s="2950"/>
      <c r="LGH22" s="2950"/>
      <c r="LGI22" s="2950"/>
      <c r="LGJ22" s="2950"/>
      <c r="LGK22" s="2950"/>
      <c r="LGL22" s="2950"/>
      <c r="LGM22" s="2950"/>
      <c r="LGN22" s="2950"/>
      <c r="LGO22" s="2950"/>
      <c r="LGP22" s="2950"/>
      <c r="LGQ22" s="2950"/>
      <c r="LGR22" s="2950"/>
      <c r="LGS22" s="2950"/>
      <c r="LGT22" s="2950"/>
      <c r="LGU22" s="2950"/>
      <c r="LGV22" s="2950"/>
      <c r="LGW22" s="2950"/>
      <c r="LGX22" s="2950"/>
      <c r="LGY22" s="2950"/>
      <c r="LGZ22" s="2950"/>
      <c r="LHA22" s="2950"/>
      <c r="LHB22" s="2950"/>
      <c r="LHC22" s="2950"/>
      <c r="LHD22" s="2950"/>
      <c r="LHE22" s="2950"/>
      <c r="LHF22" s="2950"/>
      <c r="LHG22" s="2950"/>
      <c r="LHH22" s="2950"/>
      <c r="LHI22" s="2950"/>
      <c r="LHJ22" s="2950"/>
      <c r="LHK22" s="2950"/>
      <c r="LHL22" s="2950"/>
      <c r="LHM22" s="2950"/>
      <c r="LHN22" s="2950"/>
      <c r="LHO22" s="2950"/>
      <c r="LHP22" s="2950"/>
      <c r="LHQ22" s="2950"/>
      <c r="LHR22" s="2950"/>
      <c r="LHS22" s="2950"/>
      <c r="LHT22" s="2950"/>
      <c r="LHU22" s="2950"/>
      <c r="LHV22" s="2950"/>
      <c r="LHW22" s="2950"/>
      <c r="LHX22" s="2950"/>
      <c r="LHY22" s="2950"/>
      <c r="LHZ22" s="2950"/>
      <c r="LIA22" s="2950"/>
      <c r="LIB22" s="2950"/>
      <c r="LIC22" s="2950"/>
      <c r="LID22" s="2950"/>
      <c r="LIE22" s="2950"/>
      <c r="LIF22" s="2950"/>
      <c r="LIG22" s="2950"/>
      <c r="LIH22" s="2950"/>
      <c r="LII22" s="2950"/>
      <c r="LIJ22" s="2950"/>
      <c r="LIK22" s="2950"/>
      <c r="LIL22" s="2950"/>
      <c r="LIM22" s="2950"/>
      <c r="LIN22" s="2950"/>
      <c r="LIO22" s="2950"/>
      <c r="LIP22" s="2950"/>
      <c r="LIQ22" s="2950"/>
      <c r="LIR22" s="2950"/>
      <c r="LIS22" s="2950"/>
      <c r="LIT22" s="2950"/>
      <c r="LIU22" s="2950"/>
      <c r="LIV22" s="2950"/>
      <c r="LIW22" s="2950"/>
      <c r="LIX22" s="2950"/>
      <c r="LIY22" s="2950"/>
      <c r="LIZ22" s="2950"/>
      <c r="LJA22" s="2950"/>
      <c r="LJB22" s="2950"/>
      <c r="LJC22" s="2950"/>
      <c r="LJD22" s="2950"/>
      <c r="LJE22" s="2950"/>
      <c r="LJF22" s="2950"/>
      <c r="LJG22" s="2950"/>
      <c r="LJH22" s="2950"/>
      <c r="LJI22" s="2950"/>
      <c r="LJJ22" s="2950"/>
      <c r="LJK22" s="2950"/>
      <c r="LJL22" s="2950"/>
      <c r="LJM22" s="2950"/>
      <c r="LJN22" s="2950"/>
      <c r="LJO22" s="2950"/>
      <c r="LJP22" s="2950"/>
      <c r="LJQ22" s="2950"/>
      <c r="LJR22" s="2950"/>
      <c r="LJS22" s="2950"/>
      <c r="LJT22" s="2950"/>
      <c r="LJU22" s="2950"/>
      <c r="LJV22" s="2950"/>
      <c r="LJW22" s="2950"/>
      <c r="LJX22" s="2950"/>
      <c r="LJY22" s="2950"/>
      <c r="LJZ22" s="2950"/>
      <c r="LKA22" s="2950"/>
      <c r="LKB22" s="2950"/>
      <c r="LKC22" s="2950"/>
      <c r="LKD22" s="2950"/>
      <c r="LKE22" s="2950"/>
      <c r="LKF22" s="2950"/>
      <c r="LKG22" s="2950"/>
      <c r="LKH22" s="2950"/>
      <c r="LKI22" s="2950"/>
      <c r="LKJ22" s="2950"/>
      <c r="LKK22" s="2950"/>
      <c r="LKL22" s="2950"/>
      <c r="LKM22" s="2950"/>
      <c r="LKN22" s="2950"/>
      <c r="LKO22" s="2950"/>
      <c r="LKP22" s="2950"/>
      <c r="LKQ22" s="2950"/>
      <c r="LKR22" s="2950"/>
      <c r="LKS22" s="2950"/>
      <c r="LKT22" s="2950"/>
      <c r="LKU22" s="2950"/>
      <c r="LKV22" s="2950"/>
      <c r="LKW22" s="2950"/>
      <c r="LKX22" s="2950"/>
      <c r="LKY22" s="2950"/>
      <c r="LKZ22" s="2950"/>
      <c r="LLA22" s="2950"/>
      <c r="LLB22" s="2950"/>
      <c r="LLC22" s="2950"/>
      <c r="LLD22" s="2950"/>
      <c r="LLE22" s="2950"/>
      <c r="LLF22" s="2950"/>
      <c r="LLG22" s="2950"/>
      <c r="LLH22" s="2950"/>
      <c r="LLI22" s="2950"/>
      <c r="LLJ22" s="2950"/>
      <c r="LLK22" s="2950"/>
      <c r="LLL22" s="2950"/>
      <c r="LLM22" s="2950"/>
      <c r="LLN22" s="2950"/>
      <c r="LLO22" s="2950"/>
      <c r="LLP22" s="2950"/>
      <c r="LLQ22" s="2950"/>
      <c r="LLR22" s="2950"/>
      <c r="LLS22" s="2950"/>
      <c r="LLT22" s="2950"/>
      <c r="LLU22" s="2950"/>
      <c r="LLV22" s="2950"/>
      <c r="LLW22" s="2950"/>
      <c r="LLX22" s="2950"/>
      <c r="LLY22" s="2950"/>
      <c r="LLZ22" s="2950"/>
      <c r="LMA22" s="2950"/>
      <c r="LMB22" s="2950"/>
      <c r="LMC22" s="2950"/>
      <c r="LMD22" s="2950"/>
      <c r="LME22" s="2950"/>
      <c r="LMF22" s="2950"/>
      <c r="LMG22" s="2950"/>
      <c r="LMH22" s="2950"/>
      <c r="LMI22" s="2950"/>
      <c r="LMJ22" s="2950"/>
      <c r="LMK22" s="2950"/>
      <c r="LML22" s="2950"/>
      <c r="LMM22" s="2950"/>
      <c r="LMN22" s="2950"/>
      <c r="LMO22" s="2950"/>
      <c r="LMP22" s="2950"/>
      <c r="LMQ22" s="2950"/>
      <c r="LMR22" s="2950"/>
      <c r="LMS22" s="2950"/>
      <c r="LMT22" s="2950"/>
      <c r="LMU22" s="2950"/>
      <c r="LMV22" s="2950"/>
      <c r="LMW22" s="2950"/>
      <c r="LMX22" s="2950"/>
      <c r="LMY22" s="2950"/>
      <c r="LMZ22" s="2950"/>
      <c r="LNA22" s="2950"/>
      <c r="LNB22" s="2950"/>
      <c r="LNC22" s="2950"/>
      <c r="LND22" s="2950"/>
      <c r="LNE22" s="2950"/>
      <c r="LNF22" s="2950"/>
      <c r="LNG22" s="2950"/>
      <c r="LNH22" s="2950"/>
      <c r="LNI22" s="2950"/>
      <c r="LNJ22" s="2950"/>
      <c r="LNK22" s="2950"/>
      <c r="LNL22" s="2950"/>
      <c r="LNM22" s="2950"/>
      <c r="LNN22" s="2950"/>
      <c r="LNO22" s="2950"/>
      <c r="LNP22" s="2950"/>
      <c r="LNQ22" s="2950"/>
      <c r="LNR22" s="2950"/>
      <c r="LNS22" s="2950"/>
      <c r="LNT22" s="2950"/>
      <c r="LNU22" s="2950"/>
      <c r="LNV22" s="2950"/>
      <c r="LNW22" s="2950"/>
      <c r="LNX22" s="2950"/>
      <c r="LNY22" s="2950"/>
      <c r="LNZ22" s="2950"/>
      <c r="LOA22" s="2950"/>
      <c r="LOB22" s="2950"/>
      <c r="LOC22" s="2950"/>
      <c r="LOD22" s="2950"/>
      <c r="LOE22" s="2950"/>
      <c r="LOF22" s="2950"/>
      <c r="LOG22" s="2950"/>
      <c r="LOH22" s="2950"/>
      <c r="LOI22" s="2950"/>
      <c r="LOJ22" s="2950"/>
      <c r="LOK22" s="2950"/>
      <c r="LOL22" s="2950"/>
      <c r="LOM22" s="2950"/>
      <c r="LON22" s="2950"/>
      <c r="LOO22" s="2950"/>
      <c r="LOP22" s="2950"/>
      <c r="LOQ22" s="2950"/>
      <c r="LOR22" s="2950"/>
      <c r="LOS22" s="2950"/>
      <c r="LOT22" s="2950"/>
      <c r="LOU22" s="2950"/>
      <c r="LOV22" s="2950"/>
      <c r="LOW22" s="2950"/>
      <c r="LOX22" s="2950"/>
      <c r="LOY22" s="2950"/>
      <c r="LOZ22" s="2950"/>
      <c r="LPA22" s="2950"/>
      <c r="LPB22" s="2950"/>
      <c r="LPC22" s="2950"/>
      <c r="LPD22" s="2950"/>
      <c r="LPE22" s="2950"/>
      <c r="LPF22" s="2950"/>
      <c r="LPG22" s="2950"/>
      <c r="LPH22" s="2950"/>
      <c r="LPI22" s="2950"/>
      <c r="LPJ22" s="2950"/>
      <c r="LPK22" s="2950"/>
      <c r="LPL22" s="2950"/>
      <c r="LPM22" s="2950"/>
      <c r="LPN22" s="2950"/>
      <c r="LPO22" s="2950"/>
      <c r="LPP22" s="2950"/>
      <c r="LPQ22" s="2950"/>
      <c r="LPR22" s="2950"/>
      <c r="LPS22" s="2950"/>
      <c r="LPT22" s="2950"/>
      <c r="LPU22" s="2950"/>
      <c r="LPV22" s="2950"/>
      <c r="LPW22" s="2950"/>
      <c r="LPX22" s="2950"/>
      <c r="LPY22" s="2950"/>
      <c r="LPZ22" s="2950"/>
      <c r="LQA22" s="2950"/>
      <c r="LQB22" s="2950"/>
      <c r="LQC22" s="2950"/>
      <c r="LQD22" s="2950"/>
      <c r="LQE22" s="2950"/>
      <c r="LQF22" s="2950"/>
      <c r="LQG22" s="2950"/>
      <c r="LQH22" s="2950"/>
      <c r="LQI22" s="2950"/>
      <c r="LQJ22" s="2950"/>
      <c r="LQK22" s="2950"/>
      <c r="LQL22" s="2950"/>
      <c r="LQM22" s="2950"/>
      <c r="LQN22" s="2950"/>
      <c r="LQO22" s="2950"/>
      <c r="LQP22" s="2950"/>
      <c r="LQQ22" s="2950"/>
      <c r="LQR22" s="2950"/>
      <c r="LQS22" s="2950"/>
      <c r="LQT22" s="2950"/>
      <c r="LQU22" s="2950"/>
      <c r="LQV22" s="2950"/>
      <c r="LQW22" s="2950"/>
      <c r="LQX22" s="2950"/>
      <c r="LQY22" s="2950"/>
      <c r="LQZ22" s="2950"/>
      <c r="LRA22" s="2950"/>
      <c r="LRB22" s="2950"/>
      <c r="LRC22" s="2950"/>
      <c r="LRD22" s="2950"/>
      <c r="LRE22" s="2950"/>
      <c r="LRF22" s="2950"/>
      <c r="LRG22" s="2950"/>
      <c r="LRH22" s="2950"/>
      <c r="LRI22" s="2950"/>
      <c r="LRJ22" s="2950"/>
      <c r="LRK22" s="2950"/>
      <c r="LRL22" s="2950"/>
      <c r="LRM22" s="2950"/>
      <c r="LRN22" s="2950"/>
      <c r="LRO22" s="2950"/>
      <c r="LRP22" s="2950"/>
      <c r="LRQ22" s="2950"/>
      <c r="LRR22" s="2950"/>
      <c r="LRS22" s="2950"/>
      <c r="LRT22" s="2950"/>
      <c r="LRU22" s="2950"/>
      <c r="LRV22" s="2950"/>
      <c r="LRW22" s="2950"/>
      <c r="LRX22" s="2950"/>
      <c r="LRY22" s="2950"/>
      <c r="LRZ22" s="2950"/>
      <c r="LSA22" s="2950"/>
      <c r="LSB22" s="2950"/>
      <c r="LSC22" s="2950"/>
      <c r="LSD22" s="2950"/>
      <c r="LSE22" s="2950"/>
      <c r="LSF22" s="2950"/>
      <c r="LSG22" s="2950"/>
      <c r="LSH22" s="2950"/>
      <c r="LSI22" s="2950"/>
      <c r="LSJ22" s="2950"/>
      <c r="LSK22" s="2950"/>
      <c r="LSL22" s="2950"/>
      <c r="LSM22" s="2950"/>
      <c r="LSN22" s="2950"/>
      <c r="LSO22" s="2950"/>
      <c r="LSP22" s="2950"/>
      <c r="LSQ22" s="2950"/>
      <c r="LSR22" s="2950"/>
      <c r="LSS22" s="2950"/>
      <c r="LST22" s="2950"/>
      <c r="LSU22" s="2950"/>
      <c r="LSV22" s="2950"/>
      <c r="LSW22" s="2950"/>
      <c r="LSX22" s="2950"/>
      <c r="LSY22" s="2950"/>
      <c r="LSZ22" s="2950"/>
      <c r="LTA22" s="2950"/>
      <c r="LTB22" s="2950"/>
      <c r="LTC22" s="2950"/>
      <c r="LTD22" s="2950"/>
      <c r="LTE22" s="2950"/>
      <c r="LTF22" s="2950"/>
      <c r="LTG22" s="2950"/>
      <c r="LTH22" s="2950"/>
      <c r="LTI22" s="2950"/>
      <c r="LTJ22" s="2950"/>
      <c r="LTK22" s="2950"/>
      <c r="LTL22" s="2950"/>
      <c r="LTM22" s="2950"/>
      <c r="LTN22" s="2950"/>
      <c r="LTO22" s="2950"/>
      <c r="LTP22" s="2950"/>
      <c r="LTQ22" s="2950"/>
      <c r="LTR22" s="2950"/>
      <c r="LTS22" s="2950"/>
      <c r="LTT22" s="2950"/>
      <c r="LTU22" s="2950"/>
      <c r="LTV22" s="2950"/>
      <c r="LTW22" s="2950"/>
      <c r="LTX22" s="2950"/>
      <c r="LTY22" s="2950"/>
      <c r="LTZ22" s="2950"/>
      <c r="LUA22" s="2950"/>
      <c r="LUB22" s="2950"/>
      <c r="LUC22" s="2950"/>
      <c r="LUD22" s="2950"/>
      <c r="LUE22" s="2950"/>
      <c r="LUF22" s="2950"/>
      <c r="LUG22" s="2950"/>
      <c r="LUH22" s="2950"/>
      <c r="LUI22" s="2950"/>
      <c r="LUJ22" s="2950"/>
      <c r="LUK22" s="2950"/>
      <c r="LUL22" s="2950"/>
      <c r="LUM22" s="2950"/>
      <c r="LUN22" s="2950"/>
      <c r="LUO22" s="2950"/>
      <c r="LUP22" s="2950"/>
      <c r="LUQ22" s="2950"/>
      <c r="LUR22" s="2950"/>
      <c r="LUS22" s="2950"/>
      <c r="LUT22" s="2950"/>
      <c r="LUU22" s="2950"/>
      <c r="LUV22" s="2950"/>
      <c r="LUW22" s="2950"/>
      <c r="LUX22" s="2950"/>
      <c r="LUY22" s="2950"/>
      <c r="LUZ22" s="2950"/>
      <c r="LVA22" s="2950"/>
      <c r="LVB22" s="2950"/>
      <c r="LVC22" s="2950"/>
      <c r="LVD22" s="2950"/>
      <c r="LVE22" s="2950"/>
      <c r="LVF22" s="2950"/>
      <c r="LVG22" s="2950"/>
      <c r="LVH22" s="2950"/>
      <c r="LVI22" s="2950"/>
      <c r="LVJ22" s="2950"/>
      <c r="LVK22" s="2950"/>
      <c r="LVL22" s="2950"/>
      <c r="LVM22" s="2950"/>
      <c r="LVN22" s="2950"/>
      <c r="LVO22" s="2950"/>
      <c r="LVP22" s="2950"/>
      <c r="LVQ22" s="2950"/>
      <c r="LVR22" s="2950"/>
      <c r="LVS22" s="2950"/>
      <c r="LVT22" s="2950"/>
      <c r="LVU22" s="2950"/>
      <c r="LVV22" s="2950"/>
      <c r="LVW22" s="2950"/>
      <c r="LVX22" s="2950"/>
      <c r="LVY22" s="2950"/>
      <c r="LVZ22" s="2950"/>
      <c r="LWA22" s="2950"/>
      <c r="LWB22" s="2950"/>
      <c r="LWC22" s="2950"/>
      <c r="LWD22" s="2950"/>
      <c r="LWE22" s="2950"/>
      <c r="LWF22" s="2950"/>
      <c r="LWG22" s="2950"/>
      <c r="LWH22" s="2950"/>
      <c r="LWI22" s="2950"/>
      <c r="LWJ22" s="2950"/>
      <c r="LWK22" s="2950"/>
      <c r="LWL22" s="2950"/>
      <c r="LWM22" s="2950"/>
      <c r="LWN22" s="2950"/>
      <c r="LWO22" s="2950"/>
      <c r="LWP22" s="2950"/>
      <c r="LWQ22" s="2950"/>
      <c r="LWR22" s="2950"/>
      <c r="LWS22" s="2950"/>
      <c r="LWT22" s="2950"/>
      <c r="LWU22" s="2950"/>
      <c r="LWV22" s="2950"/>
      <c r="LWW22" s="2950"/>
      <c r="LWX22" s="2950"/>
      <c r="LWY22" s="2950"/>
      <c r="LWZ22" s="2950"/>
      <c r="LXA22" s="2950"/>
      <c r="LXB22" s="2950"/>
      <c r="LXC22" s="2950"/>
      <c r="LXD22" s="2950"/>
      <c r="LXE22" s="2950"/>
      <c r="LXF22" s="2950"/>
      <c r="LXG22" s="2950"/>
      <c r="LXH22" s="2950"/>
      <c r="LXI22" s="2950"/>
      <c r="LXJ22" s="2950"/>
      <c r="LXK22" s="2950"/>
      <c r="LXL22" s="2950"/>
      <c r="LXM22" s="2950"/>
      <c r="LXN22" s="2950"/>
      <c r="LXO22" s="2950"/>
      <c r="LXP22" s="2950"/>
      <c r="LXQ22" s="2950"/>
      <c r="LXR22" s="2950"/>
      <c r="LXS22" s="2950"/>
      <c r="LXT22" s="2950"/>
      <c r="LXU22" s="2950"/>
      <c r="LXV22" s="2950"/>
      <c r="LXW22" s="2950"/>
      <c r="LXX22" s="2950"/>
      <c r="LXY22" s="2950"/>
      <c r="LXZ22" s="2950"/>
      <c r="LYA22" s="2950"/>
      <c r="LYB22" s="2950"/>
      <c r="LYC22" s="2950"/>
      <c r="LYD22" s="2950"/>
      <c r="LYE22" s="2950"/>
      <c r="LYF22" s="2950"/>
      <c r="LYG22" s="2950"/>
      <c r="LYH22" s="2950"/>
      <c r="LYI22" s="2950"/>
      <c r="LYJ22" s="2950"/>
      <c r="LYK22" s="2950"/>
      <c r="LYL22" s="2950"/>
      <c r="LYM22" s="2950"/>
      <c r="LYN22" s="2950"/>
      <c r="LYO22" s="2950"/>
      <c r="LYP22" s="2950"/>
      <c r="LYQ22" s="2950"/>
      <c r="LYR22" s="2950"/>
      <c r="LYS22" s="2950"/>
      <c r="LYT22" s="2950"/>
      <c r="LYU22" s="2950"/>
      <c r="LYV22" s="2950"/>
      <c r="LYW22" s="2950"/>
      <c r="LYX22" s="2950"/>
      <c r="LYY22" s="2950"/>
      <c r="LYZ22" s="2950"/>
      <c r="LZA22" s="2950"/>
      <c r="LZB22" s="2950"/>
      <c r="LZC22" s="2950"/>
      <c r="LZD22" s="2950"/>
      <c r="LZE22" s="2950"/>
      <c r="LZF22" s="2950"/>
      <c r="LZG22" s="2950"/>
      <c r="LZH22" s="2950"/>
      <c r="LZI22" s="2950"/>
      <c r="LZJ22" s="2950"/>
      <c r="LZK22" s="2950"/>
      <c r="LZL22" s="2950"/>
      <c r="LZM22" s="2950"/>
      <c r="LZN22" s="2950"/>
      <c r="LZO22" s="2950"/>
      <c r="LZP22" s="2950"/>
      <c r="LZQ22" s="2950"/>
      <c r="LZR22" s="2950"/>
      <c r="LZS22" s="2950"/>
      <c r="LZT22" s="2950"/>
      <c r="LZU22" s="2950"/>
      <c r="LZV22" s="2950"/>
      <c r="LZW22" s="2950"/>
      <c r="LZX22" s="2950"/>
      <c r="LZY22" s="2950"/>
      <c r="LZZ22" s="2950"/>
      <c r="MAA22" s="2950"/>
      <c r="MAB22" s="2950"/>
      <c r="MAC22" s="2950"/>
      <c r="MAD22" s="2950"/>
      <c r="MAE22" s="2950"/>
      <c r="MAF22" s="2950"/>
      <c r="MAG22" s="2950"/>
      <c r="MAH22" s="2950"/>
      <c r="MAI22" s="2950"/>
      <c r="MAJ22" s="2950"/>
      <c r="MAK22" s="2950"/>
      <c r="MAL22" s="2950"/>
      <c r="MAM22" s="2950"/>
      <c r="MAN22" s="2950"/>
      <c r="MAO22" s="2950"/>
      <c r="MAP22" s="2950"/>
      <c r="MAQ22" s="2950"/>
      <c r="MAR22" s="2950"/>
      <c r="MAS22" s="2950"/>
      <c r="MAT22" s="2950"/>
      <c r="MAU22" s="2950"/>
      <c r="MAV22" s="2950"/>
      <c r="MAW22" s="2950"/>
      <c r="MAX22" s="2950"/>
      <c r="MAY22" s="2950"/>
      <c r="MAZ22" s="2950"/>
      <c r="MBA22" s="2950"/>
      <c r="MBB22" s="2950"/>
      <c r="MBC22" s="2950"/>
      <c r="MBD22" s="2950"/>
      <c r="MBE22" s="2950"/>
      <c r="MBF22" s="2950"/>
      <c r="MBG22" s="2950"/>
      <c r="MBH22" s="2950"/>
      <c r="MBI22" s="2950"/>
      <c r="MBJ22" s="2950"/>
      <c r="MBK22" s="2950"/>
      <c r="MBL22" s="2950"/>
      <c r="MBM22" s="2950"/>
      <c r="MBN22" s="2950"/>
      <c r="MBO22" s="2950"/>
      <c r="MBP22" s="2950"/>
      <c r="MBQ22" s="2950"/>
      <c r="MBR22" s="2950"/>
      <c r="MBS22" s="2950"/>
      <c r="MBT22" s="2950"/>
      <c r="MBU22" s="2950"/>
      <c r="MBV22" s="2950"/>
      <c r="MBW22" s="2950"/>
      <c r="MBX22" s="2950"/>
      <c r="MBY22" s="2950"/>
      <c r="MBZ22" s="2950"/>
      <c r="MCA22" s="2950"/>
      <c r="MCB22" s="2950"/>
      <c r="MCC22" s="2950"/>
      <c r="MCD22" s="2950"/>
      <c r="MCE22" s="2950"/>
      <c r="MCF22" s="2950"/>
      <c r="MCG22" s="2950"/>
      <c r="MCH22" s="2950"/>
      <c r="MCI22" s="2950"/>
      <c r="MCJ22" s="2950"/>
      <c r="MCK22" s="2950"/>
      <c r="MCL22" s="2950"/>
      <c r="MCM22" s="2950"/>
      <c r="MCN22" s="2950"/>
      <c r="MCO22" s="2950"/>
      <c r="MCP22" s="2950"/>
      <c r="MCQ22" s="2950"/>
      <c r="MCR22" s="2950"/>
      <c r="MCS22" s="2950"/>
      <c r="MCT22" s="2950"/>
      <c r="MCU22" s="2950"/>
      <c r="MCV22" s="2950"/>
      <c r="MCW22" s="2950"/>
      <c r="MCX22" s="2950"/>
      <c r="MCY22" s="2950"/>
      <c r="MCZ22" s="2950"/>
      <c r="MDA22" s="2950"/>
      <c r="MDB22" s="2950"/>
      <c r="MDC22" s="2950"/>
      <c r="MDD22" s="2950"/>
      <c r="MDE22" s="2950"/>
      <c r="MDF22" s="2950"/>
      <c r="MDG22" s="2950"/>
      <c r="MDH22" s="2950"/>
      <c r="MDI22" s="2950"/>
      <c r="MDJ22" s="2950"/>
      <c r="MDK22" s="2950"/>
      <c r="MDL22" s="2950"/>
      <c r="MDM22" s="2950"/>
      <c r="MDN22" s="2950"/>
      <c r="MDO22" s="2950"/>
      <c r="MDP22" s="2950"/>
      <c r="MDQ22" s="2950"/>
      <c r="MDR22" s="2950"/>
      <c r="MDS22" s="2950"/>
      <c r="MDT22" s="2950"/>
      <c r="MDU22" s="2950"/>
      <c r="MDV22" s="2950"/>
      <c r="MDW22" s="2950"/>
      <c r="MDX22" s="2950"/>
      <c r="MDY22" s="2950"/>
      <c r="MDZ22" s="2950"/>
      <c r="MEA22" s="2950"/>
      <c r="MEB22" s="2950"/>
      <c r="MEC22" s="2950"/>
      <c r="MED22" s="2950"/>
      <c r="MEE22" s="2950"/>
      <c r="MEF22" s="2950"/>
      <c r="MEG22" s="2950"/>
      <c r="MEH22" s="2950"/>
      <c r="MEI22" s="2950"/>
      <c r="MEJ22" s="2950"/>
      <c r="MEK22" s="2950"/>
      <c r="MEL22" s="2950"/>
      <c r="MEM22" s="2950"/>
      <c r="MEN22" s="2950"/>
      <c r="MEO22" s="2950"/>
      <c r="MEP22" s="2950"/>
      <c r="MEQ22" s="2950"/>
      <c r="MER22" s="2950"/>
      <c r="MES22" s="2950"/>
      <c r="MET22" s="2950"/>
      <c r="MEU22" s="2950"/>
      <c r="MEV22" s="2950"/>
      <c r="MEW22" s="2950"/>
      <c r="MEX22" s="2950"/>
      <c r="MEY22" s="2950"/>
      <c r="MEZ22" s="2950"/>
      <c r="MFA22" s="2950"/>
      <c r="MFB22" s="2950"/>
      <c r="MFC22" s="2950"/>
      <c r="MFD22" s="2950"/>
      <c r="MFE22" s="2950"/>
      <c r="MFF22" s="2950"/>
      <c r="MFG22" s="2950"/>
      <c r="MFH22" s="2950"/>
      <c r="MFI22" s="2950"/>
      <c r="MFJ22" s="2950"/>
      <c r="MFK22" s="2950"/>
      <c r="MFL22" s="2950"/>
      <c r="MFM22" s="2950"/>
      <c r="MFN22" s="2950"/>
      <c r="MFO22" s="2950"/>
      <c r="MFP22" s="2950"/>
      <c r="MFQ22" s="2950"/>
      <c r="MFR22" s="2950"/>
      <c r="MFS22" s="2950"/>
      <c r="MFT22" s="2950"/>
      <c r="MFU22" s="2950"/>
      <c r="MFV22" s="2950"/>
      <c r="MFW22" s="2950"/>
      <c r="MFX22" s="2950"/>
      <c r="MFY22" s="2950"/>
      <c r="MFZ22" s="2950"/>
      <c r="MGA22" s="2950"/>
      <c r="MGB22" s="2950"/>
      <c r="MGC22" s="2950"/>
      <c r="MGD22" s="2950"/>
      <c r="MGE22" s="2950"/>
      <c r="MGF22" s="2950"/>
      <c r="MGG22" s="2950"/>
      <c r="MGH22" s="2950"/>
      <c r="MGI22" s="2950"/>
      <c r="MGJ22" s="2950"/>
      <c r="MGK22" s="2950"/>
      <c r="MGL22" s="2950"/>
      <c r="MGM22" s="2950"/>
      <c r="MGN22" s="2950"/>
      <c r="MGO22" s="2950"/>
      <c r="MGP22" s="2950"/>
      <c r="MGQ22" s="2950"/>
      <c r="MGR22" s="2950"/>
      <c r="MGS22" s="2950"/>
      <c r="MGT22" s="2950"/>
      <c r="MGU22" s="2950"/>
      <c r="MGV22" s="2950"/>
      <c r="MGW22" s="2950"/>
      <c r="MGX22" s="2950"/>
      <c r="MGY22" s="2950"/>
      <c r="MGZ22" s="2950"/>
      <c r="MHA22" s="2950"/>
      <c r="MHB22" s="2950"/>
      <c r="MHC22" s="2950"/>
      <c r="MHD22" s="2950"/>
      <c r="MHE22" s="2950"/>
      <c r="MHF22" s="2950"/>
      <c r="MHG22" s="2950"/>
      <c r="MHH22" s="2950"/>
      <c r="MHI22" s="2950"/>
      <c r="MHJ22" s="2950"/>
      <c r="MHK22" s="2950"/>
      <c r="MHL22" s="2950"/>
      <c r="MHM22" s="2950"/>
      <c r="MHN22" s="2950"/>
      <c r="MHO22" s="2950"/>
      <c r="MHP22" s="2950"/>
      <c r="MHQ22" s="2950"/>
      <c r="MHR22" s="2950"/>
      <c r="MHS22" s="2950"/>
      <c r="MHT22" s="2950"/>
      <c r="MHU22" s="2950"/>
      <c r="MHV22" s="2950"/>
      <c r="MHW22" s="2950"/>
      <c r="MHX22" s="2950"/>
      <c r="MHY22" s="2950"/>
      <c r="MHZ22" s="2950"/>
      <c r="MIA22" s="2950"/>
      <c r="MIB22" s="2950"/>
      <c r="MIC22" s="2950"/>
      <c r="MID22" s="2950"/>
      <c r="MIE22" s="2950"/>
      <c r="MIF22" s="2950"/>
      <c r="MIG22" s="2950"/>
      <c r="MIH22" s="2950"/>
      <c r="MII22" s="2950"/>
      <c r="MIJ22" s="2950"/>
      <c r="MIK22" s="2950"/>
      <c r="MIL22" s="2950"/>
      <c r="MIM22" s="2950"/>
      <c r="MIN22" s="2950"/>
      <c r="MIO22" s="2950"/>
      <c r="MIP22" s="2950"/>
      <c r="MIQ22" s="2950"/>
      <c r="MIR22" s="2950"/>
      <c r="MIS22" s="2950"/>
      <c r="MIT22" s="2950"/>
      <c r="MIU22" s="2950"/>
      <c r="MIV22" s="2950"/>
      <c r="MIW22" s="2950"/>
      <c r="MIX22" s="2950"/>
      <c r="MIY22" s="2950"/>
      <c r="MIZ22" s="2950"/>
      <c r="MJA22" s="2950"/>
      <c r="MJB22" s="2950"/>
      <c r="MJC22" s="2950"/>
      <c r="MJD22" s="2950"/>
      <c r="MJE22" s="2950"/>
      <c r="MJF22" s="2950"/>
      <c r="MJG22" s="2950"/>
      <c r="MJH22" s="2950"/>
      <c r="MJI22" s="2950"/>
      <c r="MJJ22" s="2950"/>
      <c r="MJK22" s="2950"/>
      <c r="MJL22" s="2950"/>
      <c r="MJM22" s="2950"/>
      <c r="MJN22" s="2950"/>
      <c r="MJO22" s="2950"/>
      <c r="MJP22" s="2950"/>
      <c r="MJQ22" s="2950"/>
      <c r="MJR22" s="2950"/>
      <c r="MJS22" s="2950"/>
      <c r="MJT22" s="2950"/>
      <c r="MJU22" s="2950"/>
      <c r="MJV22" s="2950"/>
      <c r="MJW22" s="2950"/>
      <c r="MJX22" s="2950"/>
      <c r="MJY22" s="2950"/>
      <c r="MJZ22" s="2950"/>
      <c r="MKA22" s="2950"/>
      <c r="MKB22" s="2950"/>
      <c r="MKC22" s="2950"/>
      <c r="MKD22" s="2950"/>
      <c r="MKE22" s="2950"/>
      <c r="MKF22" s="2950"/>
      <c r="MKG22" s="2950"/>
      <c r="MKH22" s="2950"/>
      <c r="MKI22" s="2950"/>
      <c r="MKJ22" s="2950"/>
      <c r="MKK22" s="2950"/>
      <c r="MKL22" s="2950"/>
      <c r="MKM22" s="2950"/>
      <c r="MKN22" s="2950"/>
      <c r="MKO22" s="2950"/>
      <c r="MKP22" s="2950"/>
      <c r="MKQ22" s="2950"/>
      <c r="MKR22" s="2950"/>
      <c r="MKS22" s="2950"/>
      <c r="MKT22" s="2950"/>
      <c r="MKU22" s="2950"/>
      <c r="MKV22" s="2950"/>
      <c r="MKW22" s="2950"/>
      <c r="MKX22" s="2950"/>
      <c r="MKY22" s="2950"/>
      <c r="MKZ22" s="2950"/>
      <c r="MLA22" s="2950"/>
      <c r="MLB22" s="2950"/>
      <c r="MLC22" s="2950"/>
      <c r="MLD22" s="2950"/>
      <c r="MLE22" s="2950"/>
      <c r="MLF22" s="2950"/>
      <c r="MLG22" s="2950"/>
      <c r="MLH22" s="2950"/>
      <c r="MLI22" s="2950"/>
      <c r="MLJ22" s="2950"/>
      <c r="MLK22" s="2950"/>
      <c r="MLL22" s="2950"/>
      <c r="MLM22" s="2950"/>
      <c r="MLN22" s="2950"/>
      <c r="MLO22" s="2950"/>
      <c r="MLP22" s="2950"/>
      <c r="MLQ22" s="2950"/>
      <c r="MLR22" s="2950"/>
      <c r="MLS22" s="2950"/>
      <c r="MLT22" s="2950"/>
      <c r="MLU22" s="2950"/>
      <c r="MLV22" s="2950"/>
      <c r="MLW22" s="2950"/>
      <c r="MLX22" s="2950"/>
      <c r="MLY22" s="2950"/>
      <c r="MLZ22" s="2950"/>
      <c r="MMA22" s="2950"/>
      <c r="MMB22" s="2950"/>
      <c r="MMC22" s="2950"/>
      <c r="MMD22" s="2950"/>
      <c r="MME22" s="2950"/>
      <c r="MMF22" s="2950"/>
      <c r="MMG22" s="2950"/>
      <c r="MMH22" s="2950"/>
      <c r="MMI22" s="2950"/>
      <c r="MMJ22" s="2950"/>
      <c r="MMK22" s="2950"/>
      <c r="MML22" s="2950"/>
      <c r="MMM22" s="2950"/>
      <c r="MMN22" s="2950"/>
      <c r="MMO22" s="2950"/>
      <c r="MMP22" s="2950"/>
      <c r="MMQ22" s="2950"/>
      <c r="MMR22" s="2950"/>
      <c r="MMS22" s="2950"/>
      <c r="MMT22" s="2950"/>
      <c r="MMU22" s="2950"/>
      <c r="MMV22" s="2950"/>
      <c r="MMW22" s="2950"/>
      <c r="MMX22" s="2950"/>
      <c r="MMY22" s="2950"/>
      <c r="MMZ22" s="2950"/>
      <c r="MNA22" s="2950"/>
      <c r="MNB22" s="2950"/>
      <c r="MNC22" s="2950"/>
      <c r="MND22" s="2950"/>
      <c r="MNE22" s="2950"/>
      <c r="MNF22" s="2950"/>
      <c r="MNG22" s="2950"/>
      <c r="MNH22" s="2950"/>
      <c r="MNI22" s="2950"/>
      <c r="MNJ22" s="2950"/>
      <c r="MNK22" s="2950"/>
      <c r="MNL22" s="2950"/>
      <c r="MNM22" s="2950"/>
      <c r="MNN22" s="2950"/>
      <c r="MNO22" s="2950"/>
      <c r="MNP22" s="2950"/>
      <c r="MNQ22" s="2950"/>
      <c r="MNR22" s="2950"/>
      <c r="MNS22" s="2950"/>
      <c r="MNT22" s="2950"/>
      <c r="MNU22" s="2950"/>
      <c r="MNV22" s="2950"/>
      <c r="MNW22" s="2950"/>
      <c r="MNX22" s="2950"/>
      <c r="MNY22" s="2950"/>
      <c r="MNZ22" s="2950"/>
      <c r="MOA22" s="2950"/>
      <c r="MOB22" s="2950"/>
      <c r="MOC22" s="2950"/>
      <c r="MOD22" s="2950"/>
      <c r="MOE22" s="2950"/>
      <c r="MOF22" s="2950"/>
      <c r="MOG22" s="2950"/>
      <c r="MOH22" s="2950"/>
      <c r="MOI22" s="2950"/>
      <c r="MOJ22" s="2950"/>
      <c r="MOK22" s="2950"/>
      <c r="MOL22" s="2950"/>
      <c r="MOM22" s="2950"/>
      <c r="MON22" s="2950"/>
      <c r="MOO22" s="2950"/>
      <c r="MOP22" s="2950"/>
      <c r="MOQ22" s="2950"/>
      <c r="MOR22" s="2950"/>
      <c r="MOS22" s="2950"/>
      <c r="MOT22" s="2950"/>
      <c r="MOU22" s="2950"/>
      <c r="MOV22" s="2950"/>
      <c r="MOW22" s="2950"/>
      <c r="MOX22" s="2950"/>
      <c r="MOY22" s="2950"/>
      <c r="MOZ22" s="2950"/>
      <c r="MPA22" s="2950"/>
      <c r="MPB22" s="2950"/>
      <c r="MPC22" s="2950"/>
      <c r="MPD22" s="2950"/>
      <c r="MPE22" s="2950"/>
      <c r="MPF22" s="2950"/>
      <c r="MPG22" s="2950"/>
      <c r="MPH22" s="2950"/>
      <c r="MPI22" s="2950"/>
      <c r="MPJ22" s="2950"/>
      <c r="MPK22" s="2950"/>
      <c r="MPL22" s="2950"/>
      <c r="MPM22" s="2950"/>
      <c r="MPN22" s="2950"/>
      <c r="MPO22" s="2950"/>
      <c r="MPP22" s="2950"/>
      <c r="MPQ22" s="2950"/>
      <c r="MPR22" s="2950"/>
      <c r="MPS22" s="2950"/>
      <c r="MPT22" s="2950"/>
      <c r="MPU22" s="2950"/>
      <c r="MPV22" s="2950"/>
      <c r="MPW22" s="2950"/>
      <c r="MPX22" s="2950"/>
      <c r="MPY22" s="2950"/>
      <c r="MPZ22" s="2950"/>
      <c r="MQA22" s="2950"/>
      <c r="MQB22" s="2950"/>
      <c r="MQC22" s="2950"/>
      <c r="MQD22" s="2950"/>
      <c r="MQE22" s="2950"/>
      <c r="MQF22" s="2950"/>
      <c r="MQG22" s="2950"/>
      <c r="MQH22" s="2950"/>
      <c r="MQI22" s="2950"/>
      <c r="MQJ22" s="2950"/>
      <c r="MQK22" s="2950"/>
      <c r="MQL22" s="2950"/>
      <c r="MQM22" s="2950"/>
      <c r="MQN22" s="2950"/>
      <c r="MQO22" s="2950"/>
      <c r="MQP22" s="2950"/>
      <c r="MQQ22" s="2950"/>
      <c r="MQR22" s="2950"/>
      <c r="MQS22" s="2950"/>
      <c r="MQT22" s="2950"/>
      <c r="MQU22" s="2950"/>
      <c r="MQV22" s="2950"/>
      <c r="MQW22" s="2950"/>
      <c r="MQX22" s="2950"/>
      <c r="MQY22" s="2950"/>
      <c r="MQZ22" s="2950"/>
      <c r="MRA22" s="2950"/>
      <c r="MRB22" s="2950"/>
      <c r="MRC22" s="2950"/>
      <c r="MRD22" s="2950"/>
      <c r="MRE22" s="2950"/>
      <c r="MRF22" s="2950"/>
      <c r="MRG22" s="2950"/>
      <c r="MRH22" s="2950"/>
      <c r="MRI22" s="2950"/>
      <c r="MRJ22" s="2950"/>
      <c r="MRK22" s="2950"/>
      <c r="MRL22" s="2950"/>
      <c r="MRM22" s="2950"/>
      <c r="MRN22" s="2950"/>
      <c r="MRO22" s="2950"/>
      <c r="MRP22" s="2950"/>
      <c r="MRQ22" s="2950"/>
      <c r="MRR22" s="2950"/>
      <c r="MRS22" s="2950"/>
      <c r="MRT22" s="2950"/>
      <c r="MRU22" s="2950"/>
      <c r="MRV22" s="2950"/>
      <c r="MRW22" s="2950"/>
      <c r="MRX22" s="2950"/>
      <c r="MRY22" s="2950"/>
      <c r="MRZ22" s="2950"/>
      <c r="MSA22" s="2950"/>
      <c r="MSB22" s="2950"/>
      <c r="MSC22" s="2950"/>
      <c r="MSD22" s="2950"/>
      <c r="MSE22" s="2950"/>
      <c r="MSF22" s="2950"/>
      <c r="MSG22" s="2950"/>
      <c r="MSH22" s="2950"/>
      <c r="MSI22" s="2950"/>
      <c r="MSJ22" s="2950"/>
      <c r="MSK22" s="2950"/>
      <c r="MSL22" s="2950"/>
      <c r="MSM22" s="2950"/>
      <c r="MSN22" s="2950"/>
      <c r="MSO22" s="2950"/>
      <c r="MSP22" s="2950"/>
      <c r="MSQ22" s="2950"/>
      <c r="MSR22" s="2950"/>
      <c r="MSS22" s="2950"/>
      <c r="MST22" s="2950"/>
      <c r="MSU22" s="2950"/>
      <c r="MSV22" s="2950"/>
      <c r="MSW22" s="2950"/>
      <c r="MSX22" s="2950"/>
      <c r="MSY22" s="2950"/>
      <c r="MSZ22" s="2950"/>
      <c r="MTA22" s="2950"/>
      <c r="MTB22" s="2950"/>
      <c r="MTC22" s="2950"/>
      <c r="MTD22" s="2950"/>
      <c r="MTE22" s="2950"/>
      <c r="MTF22" s="2950"/>
      <c r="MTG22" s="2950"/>
      <c r="MTH22" s="2950"/>
      <c r="MTI22" s="2950"/>
      <c r="MTJ22" s="2950"/>
      <c r="MTK22" s="2950"/>
      <c r="MTL22" s="2950"/>
      <c r="MTM22" s="2950"/>
      <c r="MTN22" s="2950"/>
      <c r="MTO22" s="2950"/>
      <c r="MTP22" s="2950"/>
      <c r="MTQ22" s="2950"/>
      <c r="MTR22" s="2950"/>
      <c r="MTS22" s="2950"/>
      <c r="MTT22" s="2950"/>
      <c r="MTU22" s="2950"/>
      <c r="MTV22" s="2950"/>
      <c r="MTW22" s="2950"/>
      <c r="MTX22" s="2950"/>
      <c r="MTY22" s="2950"/>
      <c r="MTZ22" s="2950"/>
      <c r="MUA22" s="2950"/>
      <c r="MUB22" s="2950"/>
      <c r="MUC22" s="2950"/>
      <c r="MUD22" s="2950"/>
      <c r="MUE22" s="2950"/>
      <c r="MUF22" s="2950"/>
      <c r="MUG22" s="2950"/>
      <c r="MUH22" s="2950"/>
      <c r="MUI22" s="2950"/>
      <c r="MUJ22" s="2950"/>
      <c r="MUK22" s="2950"/>
      <c r="MUL22" s="2950"/>
      <c r="MUM22" s="2950"/>
      <c r="MUN22" s="2950"/>
      <c r="MUO22" s="2950"/>
      <c r="MUP22" s="2950"/>
      <c r="MUQ22" s="2950"/>
      <c r="MUR22" s="2950"/>
      <c r="MUS22" s="2950"/>
      <c r="MUT22" s="2950"/>
      <c r="MUU22" s="2950"/>
      <c r="MUV22" s="2950"/>
      <c r="MUW22" s="2950"/>
      <c r="MUX22" s="2950"/>
      <c r="MUY22" s="2950"/>
      <c r="MUZ22" s="2950"/>
      <c r="MVA22" s="2950"/>
      <c r="MVB22" s="2950"/>
      <c r="MVC22" s="2950"/>
      <c r="MVD22" s="2950"/>
      <c r="MVE22" s="2950"/>
      <c r="MVF22" s="2950"/>
      <c r="MVG22" s="2950"/>
      <c r="MVH22" s="2950"/>
      <c r="MVI22" s="2950"/>
      <c r="MVJ22" s="2950"/>
      <c r="MVK22" s="2950"/>
      <c r="MVL22" s="2950"/>
      <c r="MVM22" s="2950"/>
      <c r="MVN22" s="2950"/>
      <c r="MVO22" s="2950"/>
      <c r="MVP22" s="2950"/>
      <c r="MVQ22" s="2950"/>
      <c r="MVR22" s="2950"/>
      <c r="MVS22" s="2950"/>
      <c r="MVT22" s="2950"/>
      <c r="MVU22" s="2950"/>
      <c r="MVV22" s="2950"/>
      <c r="MVW22" s="2950"/>
      <c r="MVX22" s="2950"/>
      <c r="MVY22" s="2950"/>
      <c r="MVZ22" s="2950"/>
      <c r="MWA22" s="2950"/>
      <c r="MWB22" s="2950"/>
      <c r="MWC22" s="2950"/>
      <c r="MWD22" s="2950"/>
      <c r="MWE22" s="2950"/>
      <c r="MWF22" s="2950"/>
      <c r="MWG22" s="2950"/>
      <c r="MWH22" s="2950"/>
      <c r="MWI22" s="2950"/>
      <c r="MWJ22" s="2950"/>
      <c r="MWK22" s="2950"/>
      <c r="MWL22" s="2950"/>
      <c r="MWM22" s="2950"/>
      <c r="MWN22" s="2950"/>
      <c r="MWO22" s="2950"/>
      <c r="MWP22" s="2950"/>
      <c r="MWQ22" s="2950"/>
      <c r="MWR22" s="2950"/>
      <c r="MWS22" s="2950"/>
      <c r="MWT22" s="2950"/>
      <c r="MWU22" s="2950"/>
      <c r="MWV22" s="2950"/>
      <c r="MWW22" s="2950"/>
      <c r="MWX22" s="2950"/>
      <c r="MWY22" s="2950"/>
      <c r="MWZ22" s="2950"/>
      <c r="MXA22" s="2950"/>
      <c r="MXB22" s="2950"/>
      <c r="MXC22" s="2950"/>
      <c r="MXD22" s="2950"/>
      <c r="MXE22" s="2950"/>
      <c r="MXF22" s="2950"/>
      <c r="MXG22" s="2950"/>
      <c r="MXH22" s="2950"/>
      <c r="MXI22" s="2950"/>
      <c r="MXJ22" s="2950"/>
      <c r="MXK22" s="2950"/>
      <c r="MXL22" s="2950"/>
      <c r="MXM22" s="2950"/>
      <c r="MXN22" s="2950"/>
      <c r="MXO22" s="2950"/>
      <c r="MXP22" s="2950"/>
      <c r="MXQ22" s="2950"/>
      <c r="MXR22" s="2950"/>
      <c r="MXS22" s="2950"/>
      <c r="MXT22" s="2950"/>
      <c r="MXU22" s="2950"/>
      <c r="MXV22" s="2950"/>
      <c r="MXW22" s="2950"/>
      <c r="MXX22" s="2950"/>
      <c r="MXY22" s="2950"/>
      <c r="MXZ22" s="2950"/>
      <c r="MYA22" s="2950"/>
      <c r="MYB22" s="2950"/>
      <c r="MYC22" s="2950"/>
      <c r="MYD22" s="2950"/>
      <c r="MYE22" s="2950"/>
      <c r="MYF22" s="2950"/>
      <c r="MYG22" s="2950"/>
      <c r="MYH22" s="2950"/>
      <c r="MYI22" s="2950"/>
      <c r="MYJ22" s="2950"/>
      <c r="MYK22" s="2950"/>
      <c r="MYL22" s="2950"/>
      <c r="MYM22" s="2950"/>
      <c r="MYN22" s="2950"/>
      <c r="MYO22" s="2950"/>
      <c r="MYP22" s="2950"/>
      <c r="MYQ22" s="2950"/>
      <c r="MYR22" s="2950"/>
      <c r="MYS22" s="2950"/>
      <c r="MYT22" s="2950"/>
      <c r="MYU22" s="2950"/>
      <c r="MYV22" s="2950"/>
      <c r="MYW22" s="2950"/>
      <c r="MYX22" s="2950"/>
      <c r="MYY22" s="2950"/>
      <c r="MYZ22" s="2950"/>
      <c r="MZA22" s="2950"/>
      <c r="MZB22" s="2950"/>
      <c r="MZC22" s="2950"/>
      <c r="MZD22" s="2950"/>
      <c r="MZE22" s="2950"/>
      <c r="MZF22" s="2950"/>
      <c r="MZG22" s="2950"/>
      <c r="MZH22" s="2950"/>
      <c r="MZI22" s="2950"/>
      <c r="MZJ22" s="2950"/>
      <c r="MZK22" s="2950"/>
      <c r="MZL22" s="2950"/>
      <c r="MZM22" s="2950"/>
      <c r="MZN22" s="2950"/>
      <c r="MZO22" s="2950"/>
      <c r="MZP22" s="2950"/>
      <c r="MZQ22" s="2950"/>
      <c r="MZR22" s="2950"/>
      <c r="MZS22" s="2950"/>
      <c r="MZT22" s="2950"/>
      <c r="MZU22" s="2950"/>
      <c r="MZV22" s="2950"/>
      <c r="MZW22" s="2950"/>
      <c r="MZX22" s="2950"/>
      <c r="MZY22" s="2950"/>
      <c r="MZZ22" s="2950"/>
      <c r="NAA22" s="2950"/>
      <c r="NAB22" s="2950"/>
      <c r="NAC22" s="2950"/>
      <c r="NAD22" s="2950"/>
      <c r="NAE22" s="2950"/>
      <c r="NAF22" s="2950"/>
      <c r="NAG22" s="2950"/>
      <c r="NAH22" s="2950"/>
      <c r="NAI22" s="2950"/>
      <c r="NAJ22" s="2950"/>
      <c r="NAK22" s="2950"/>
      <c r="NAL22" s="2950"/>
      <c r="NAM22" s="2950"/>
      <c r="NAN22" s="2950"/>
      <c r="NAO22" s="2950"/>
      <c r="NAP22" s="2950"/>
      <c r="NAQ22" s="2950"/>
      <c r="NAR22" s="2950"/>
      <c r="NAS22" s="2950"/>
      <c r="NAT22" s="2950"/>
      <c r="NAU22" s="2950"/>
      <c r="NAV22" s="2950"/>
      <c r="NAW22" s="2950"/>
      <c r="NAX22" s="2950"/>
      <c r="NAY22" s="2950"/>
      <c r="NAZ22" s="2950"/>
      <c r="NBA22" s="2950"/>
      <c r="NBB22" s="2950"/>
      <c r="NBC22" s="2950"/>
      <c r="NBD22" s="2950"/>
      <c r="NBE22" s="2950"/>
      <c r="NBF22" s="2950"/>
      <c r="NBG22" s="2950"/>
      <c r="NBH22" s="2950"/>
      <c r="NBI22" s="2950"/>
      <c r="NBJ22" s="2950"/>
      <c r="NBK22" s="2950"/>
      <c r="NBL22" s="2950"/>
      <c r="NBM22" s="2950"/>
      <c r="NBN22" s="2950"/>
      <c r="NBO22" s="2950"/>
      <c r="NBP22" s="2950"/>
      <c r="NBQ22" s="2950"/>
      <c r="NBR22" s="2950"/>
      <c r="NBS22" s="2950"/>
      <c r="NBT22" s="2950"/>
      <c r="NBU22" s="2950"/>
      <c r="NBV22" s="2950"/>
      <c r="NBW22" s="2950"/>
      <c r="NBX22" s="2950"/>
      <c r="NBY22" s="2950"/>
      <c r="NBZ22" s="2950"/>
      <c r="NCA22" s="2950"/>
      <c r="NCB22" s="2950"/>
      <c r="NCC22" s="2950"/>
      <c r="NCD22" s="2950"/>
      <c r="NCE22" s="2950"/>
      <c r="NCF22" s="2950"/>
      <c r="NCG22" s="2950"/>
      <c r="NCH22" s="2950"/>
      <c r="NCI22" s="2950"/>
      <c r="NCJ22" s="2950"/>
      <c r="NCK22" s="2950"/>
      <c r="NCL22" s="2950"/>
      <c r="NCM22" s="2950"/>
      <c r="NCN22" s="2950"/>
      <c r="NCO22" s="2950"/>
      <c r="NCP22" s="2950"/>
      <c r="NCQ22" s="2950"/>
      <c r="NCR22" s="2950"/>
      <c r="NCS22" s="2950"/>
      <c r="NCT22" s="2950"/>
      <c r="NCU22" s="2950"/>
      <c r="NCV22" s="2950"/>
      <c r="NCW22" s="2950"/>
      <c r="NCX22" s="2950"/>
      <c r="NCY22" s="2950"/>
      <c r="NCZ22" s="2950"/>
      <c r="NDA22" s="2950"/>
      <c r="NDB22" s="2950"/>
      <c r="NDC22" s="2950"/>
      <c r="NDD22" s="2950"/>
      <c r="NDE22" s="2950"/>
      <c r="NDF22" s="2950"/>
      <c r="NDG22" s="2950"/>
      <c r="NDH22" s="2950"/>
      <c r="NDI22" s="2950"/>
      <c r="NDJ22" s="2950"/>
      <c r="NDK22" s="2950"/>
      <c r="NDL22" s="2950"/>
      <c r="NDM22" s="2950"/>
      <c r="NDN22" s="2950"/>
      <c r="NDO22" s="2950"/>
      <c r="NDP22" s="2950"/>
      <c r="NDQ22" s="2950"/>
      <c r="NDR22" s="2950"/>
      <c r="NDS22" s="2950"/>
      <c r="NDT22" s="2950"/>
      <c r="NDU22" s="2950"/>
      <c r="NDV22" s="2950"/>
      <c r="NDW22" s="2950"/>
      <c r="NDX22" s="2950"/>
      <c r="NDY22" s="2950"/>
      <c r="NDZ22" s="2950"/>
      <c r="NEA22" s="2950"/>
      <c r="NEB22" s="2950"/>
      <c r="NEC22" s="2950"/>
      <c r="NED22" s="2950"/>
      <c r="NEE22" s="2950"/>
      <c r="NEF22" s="2950"/>
      <c r="NEG22" s="2950"/>
      <c r="NEH22" s="2950"/>
      <c r="NEI22" s="2950"/>
      <c r="NEJ22" s="2950"/>
      <c r="NEK22" s="2950"/>
      <c r="NEL22" s="2950"/>
      <c r="NEM22" s="2950"/>
      <c r="NEN22" s="2950"/>
      <c r="NEO22" s="2950"/>
      <c r="NEP22" s="2950"/>
      <c r="NEQ22" s="2950"/>
      <c r="NER22" s="2950"/>
      <c r="NES22" s="2950"/>
      <c r="NET22" s="2950"/>
      <c r="NEU22" s="2950"/>
      <c r="NEV22" s="2950"/>
      <c r="NEW22" s="2950"/>
      <c r="NEX22" s="2950"/>
      <c r="NEY22" s="2950"/>
      <c r="NEZ22" s="2950"/>
      <c r="NFA22" s="2950"/>
      <c r="NFB22" s="2950"/>
      <c r="NFC22" s="2950"/>
      <c r="NFD22" s="2950"/>
      <c r="NFE22" s="2950"/>
      <c r="NFF22" s="2950"/>
      <c r="NFG22" s="2950"/>
      <c r="NFH22" s="2950"/>
      <c r="NFI22" s="2950"/>
      <c r="NFJ22" s="2950"/>
      <c r="NFK22" s="2950"/>
      <c r="NFL22" s="2950"/>
      <c r="NFM22" s="2950"/>
      <c r="NFN22" s="2950"/>
      <c r="NFO22" s="2950"/>
      <c r="NFP22" s="2950"/>
      <c r="NFQ22" s="2950"/>
      <c r="NFR22" s="2950"/>
      <c r="NFS22" s="2950"/>
      <c r="NFT22" s="2950"/>
      <c r="NFU22" s="2950"/>
      <c r="NFV22" s="2950"/>
      <c r="NFW22" s="2950"/>
      <c r="NFX22" s="2950"/>
      <c r="NFY22" s="2950"/>
      <c r="NFZ22" s="2950"/>
      <c r="NGA22" s="2950"/>
      <c r="NGB22" s="2950"/>
      <c r="NGC22" s="2950"/>
      <c r="NGD22" s="2950"/>
      <c r="NGE22" s="2950"/>
      <c r="NGF22" s="2950"/>
      <c r="NGG22" s="2950"/>
      <c r="NGH22" s="2950"/>
      <c r="NGI22" s="2950"/>
      <c r="NGJ22" s="2950"/>
      <c r="NGK22" s="2950"/>
      <c r="NGL22" s="2950"/>
      <c r="NGM22" s="2950"/>
      <c r="NGN22" s="2950"/>
      <c r="NGO22" s="2950"/>
      <c r="NGP22" s="2950"/>
      <c r="NGQ22" s="2950"/>
      <c r="NGR22" s="2950"/>
      <c r="NGS22" s="2950"/>
      <c r="NGT22" s="2950"/>
      <c r="NGU22" s="2950"/>
      <c r="NGV22" s="2950"/>
      <c r="NGW22" s="2950"/>
      <c r="NGX22" s="2950"/>
      <c r="NGY22" s="2950"/>
      <c r="NGZ22" s="2950"/>
      <c r="NHA22" s="2950"/>
      <c r="NHB22" s="2950"/>
      <c r="NHC22" s="2950"/>
      <c r="NHD22" s="2950"/>
      <c r="NHE22" s="2950"/>
      <c r="NHF22" s="2950"/>
      <c r="NHG22" s="2950"/>
      <c r="NHH22" s="2950"/>
      <c r="NHI22" s="2950"/>
      <c r="NHJ22" s="2950"/>
      <c r="NHK22" s="2950"/>
      <c r="NHL22" s="2950"/>
      <c r="NHM22" s="2950"/>
      <c r="NHN22" s="2950"/>
      <c r="NHO22" s="2950"/>
      <c r="NHP22" s="2950"/>
      <c r="NHQ22" s="2950"/>
      <c r="NHR22" s="2950"/>
      <c r="NHS22" s="2950"/>
      <c r="NHT22" s="2950"/>
      <c r="NHU22" s="2950"/>
      <c r="NHV22" s="2950"/>
      <c r="NHW22" s="2950"/>
      <c r="NHX22" s="2950"/>
      <c r="NHY22" s="2950"/>
      <c r="NHZ22" s="2950"/>
      <c r="NIA22" s="2950"/>
      <c r="NIB22" s="2950"/>
      <c r="NIC22" s="2950"/>
      <c r="NID22" s="2950"/>
      <c r="NIE22" s="2950"/>
      <c r="NIF22" s="2950"/>
      <c r="NIG22" s="2950"/>
      <c r="NIH22" s="2950"/>
      <c r="NII22" s="2950"/>
      <c r="NIJ22" s="2950"/>
      <c r="NIK22" s="2950"/>
      <c r="NIL22" s="2950"/>
      <c r="NIM22" s="2950"/>
      <c r="NIN22" s="2950"/>
      <c r="NIO22" s="2950"/>
      <c r="NIP22" s="2950"/>
      <c r="NIQ22" s="2950"/>
      <c r="NIR22" s="2950"/>
      <c r="NIS22" s="2950"/>
      <c r="NIT22" s="2950"/>
      <c r="NIU22" s="2950"/>
      <c r="NIV22" s="2950"/>
      <c r="NIW22" s="2950"/>
      <c r="NIX22" s="2950"/>
      <c r="NIY22" s="2950"/>
      <c r="NIZ22" s="2950"/>
      <c r="NJA22" s="2950"/>
      <c r="NJB22" s="2950"/>
      <c r="NJC22" s="2950"/>
      <c r="NJD22" s="2950"/>
      <c r="NJE22" s="2950"/>
      <c r="NJF22" s="2950"/>
      <c r="NJG22" s="2950"/>
      <c r="NJH22" s="2950"/>
      <c r="NJI22" s="2950"/>
      <c r="NJJ22" s="2950"/>
      <c r="NJK22" s="2950"/>
      <c r="NJL22" s="2950"/>
      <c r="NJM22" s="2950"/>
      <c r="NJN22" s="2950"/>
      <c r="NJO22" s="2950"/>
      <c r="NJP22" s="2950"/>
      <c r="NJQ22" s="2950"/>
      <c r="NJR22" s="2950"/>
      <c r="NJS22" s="2950"/>
      <c r="NJT22" s="2950"/>
      <c r="NJU22" s="2950"/>
      <c r="NJV22" s="2950"/>
      <c r="NJW22" s="2950"/>
      <c r="NJX22" s="2950"/>
      <c r="NJY22" s="2950"/>
      <c r="NJZ22" s="2950"/>
      <c r="NKA22" s="2950"/>
      <c r="NKB22" s="2950"/>
      <c r="NKC22" s="2950"/>
      <c r="NKD22" s="2950"/>
      <c r="NKE22" s="2950"/>
      <c r="NKF22" s="2950"/>
      <c r="NKG22" s="2950"/>
      <c r="NKH22" s="2950"/>
      <c r="NKI22" s="2950"/>
      <c r="NKJ22" s="2950"/>
      <c r="NKK22" s="2950"/>
      <c r="NKL22" s="2950"/>
      <c r="NKM22" s="2950"/>
      <c r="NKN22" s="2950"/>
      <c r="NKO22" s="2950"/>
      <c r="NKP22" s="2950"/>
      <c r="NKQ22" s="2950"/>
      <c r="NKR22" s="2950"/>
      <c r="NKS22" s="2950"/>
      <c r="NKT22" s="2950"/>
      <c r="NKU22" s="2950"/>
      <c r="NKV22" s="2950"/>
      <c r="NKW22" s="2950"/>
      <c r="NKX22" s="2950"/>
      <c r="NKY22" s="2950"/>
      <c r="NKZ22" s="2950"/>
      <c r="NLA22" s="2950"/>
      <c r="NLB22" s="2950"/>
      <c r="NLC22" s="2950"/>
      <c r="NLD22" s="2950"/>
      <c r="NLE22" s="2950"/>
      <c r="NLF22" s="2950"/>
      <c r="NLG22" s="2950"/>
      <c r="NLH22" s="2950"/>
      <c r="NLI22" s="2950"/>
      <c r="NLJ22" s="2950"/>
      <c r="NLK22" s="2950"/>
      <c r="NLL22" s="2950"/>
      <c r="NLM22" s="2950"/>
      <c r="NLN22" s="2950"/>
      <c r="NLO22" s="2950"/>
      <c r="NLP22" s="2950"/>
      <c r="NLQ22" s="2950"/>
      <c r="NLR22" s="2950"/>
      <c r="NLS22" s="2950"/>
      <c r="NLT22" s="2950"/>
      <c r="NLU22" s="2950"/>
      <c r="NLV22" s="2950"/>
      <c r="NLW22" s="2950"/>
      <c r="NLX22" s="2950"/>
      <c r="NLY22" s="2950"/>
      <c r="NLZ22" s="2950"/>
      <c r="NMA22" s="2950"/>
      <c r="NMB22" s="2950"/>
      <c r="NMC22" s="2950"/>
      <c r="NMD22" s="2950"/>
      <c r="NME22" s="2950"/>
      <c r="NMF22" s="2950"/>
      <c r="NMG22" s="2950"/>
      <c r="NMH22" s="2950"/>
      <c r="NMI22" s="2950"/>
      <c r="NMJ22" s="2950"/>
      <c r="NMK22" s="2950"/>
      <c r="NML22" s="2950"/>
      <c r="NMM22" s="2950"/>
      <c r="NMN22" s="2950"/>
      <c r="NMO22" s="2950"/>
      <c r="NMP22" s="2950"/>
      <c r="NMQ22" s="2950"/>
      <c r="NMR22" s="2950"/>
      <c r="NMS22" s="2950"/>
      <c r="NMT22" s="2950"/>
      <c r="NMU22" s="2950"/>
      <c r="NMV22" s="2950"/>
      <c r="NMW22" s="2950"/>
      <c r="NMX22" s="2950"/>
      <c r="NMY22" s="2950"/>
      <c r="NMZ22" s="2950"/>
      <c r="NNA22" s="2950"/>
      <c r="NNB22" s="2950"/>
      <c r="NNC22" s="2950"/>
      <c r="NND22" s="2950"/>
      <c r="NNE22" s="2950"/>
      <c r="NNF22" s="2950"/>
      <c r="NNG22" s="2950"/>
      <c r="NNH22" s="2950"/>
      <c r="NNI22" s="2950"/>
      <c r="NNJ22" s="2950"/>
      <c r="NNK22" s="2950"/>
      <c r="NNL22" s="2950"/>
      <c r="NNM22" s="2950"/>
      <c r="NNN22" s="2950"/>
      <c r="NNO22" s="2950"/>
      <c r="NNP22" s="2950"/>
      <c r="NNQ22" s="2950"/>
      <c r="NNR22" s="2950"/>
      <c r="NNS22" s="2950"/>
      <c r="NNT22" s="2950"/>
      <c r="NNU22" s="2950"/>
      <c r="NNV22" s="2950"/>
      <c r="NNW22" s="2950"/>
      <c r="NNX22" s="2950"/>
      <c r="NNY22" s="2950"/>
      <c r="NNZ22" s="2950"/>
      <c r="NOA22" s="2950"/>
      <c r="NOB22" s="2950"/>
      <c r="NOC22" s="2950"/>
      <c r="NOD22" s="2950"/>
      <c r="NOE22" s="2950"/>
      <c r="NOF22" s="2950"/>
      <c r="NOG22" s="2950"/>
      <c r="NOH22" s="2950"/>
      <c r="NOI22" s="2950"/>
      <c r="NOJ22" s="2950"/>
      <c r="NOK22" s="2950"/>
      <c r="NOL22" s="2950"/>
      <c r="NOM22" s="2950"/>
      <c r="NON22" s="2950"/>
      <c r="NOO22" s="2950"/>
      <c r="NOP22" s="2950"/>
      <c r="NOQ22" s="2950"/>
      <c r="NOR22" s="2950"/>
      <c r="NOS22" s="2950"/>
      <c r="NOT22" s="2950"/>
      <c r="NOU22" s="2950"/>
      <c r="NOV22" s="2950"/>
      <c r="NOW22" s="2950"/>
      <c r="NOX22" s="2950"/>
      <c r="NOY22" s="2950"/>
      <c r="NOZ22" s="2950"/>
      <c r="NPA22" s="2950"/>
      <c r="NPB22" s="2950"/>
      <c r="NPC22" s="2950"/>
      <c r="NPD22" s="2950"/>
      <c r="NPE22" s="2950"/>
      <c r="NPF22" s="2950"/>
      <c r="NPG22" s="2950"/>
      <c r="NPH22" s="2950"/>
      <c r="NPI22" s="2950"/>
      <c r="NPJ22" s="2950"/>
      <c r="NPK22" s="2950"/>
      <c r="NPL22" s="2950"/>
      <c r="NPM22" s="2950"/>
      <c r="NPN22" s="2950"/>
      <c r="NPO22" s="2950"/>
      <c r="NPP22" s="2950"/>
      <c r="NPQ22" s="2950"/>
      <c r="NPR22" s="2950"/>
      <c r="NPS22" s="2950"/>
      <c r="NPT22" s="2950"/>
      <c r="NPU22" s="2950"/>
      <c r="NPV22" s="2950"/>
      <c r="NPW22" s="2950"/>
      <c r="NPX22" s="2950"/>
      <c r="NPY22" s="2950"/>
      <c r="NPZ22" s="2950"/>
      <c r="NQA22" s="2950"/>
      <c r="NQB22" s="2950"/>
      <c r="NQC22" s="2950"/>
      <c r="NQD22" s="2950"/>
      <c r="NQE22" s="2950"/>
      <c r="NQF22" s="2950"/>
      <c r="NQG22" s="2950"/>
      <c r="NQH22" s="2950"/>
      <c r="NQI22" s="2950"/>
      <c r="NQJ22" s="2950"/>
      <c r="NQK22" s="2950"/>
      <c r="NQL22" s="2950"/>
      <c r="NQM22" s="2950"/>
      <c r="NQN22" s="2950"/>
      <c r="NQO22" s="2950"/>
      <c r="NQP22" s="2950"/>
      <c r="NQQ22" s="2950"/>
      <c r="NQR22" s="2950"/>
      <c r="NQS22" s="2950"/>
      <c r="NQT22" s="2950"/>
      <c r="NQU22" s="2950"/>
      <c r="NQV22" s="2950"/>
      <c r="NQW22" s="2950"/>
      <c r="NQX22" s="2950"/>
      <c r="NQY22" s="2950"/>
      <c r="NQZ22" s="2950"/>
      <c r="NRA22" s="2950"/>
      <c r="NRB22" s="2950"/>
      <c r="NRC22" s="2950"/>
      <c r="NRD22" s="2950"/>
      <c r="NRE22" s="2950"/>
      <c r="NRF22" s="2950"/>
      <c r="NRG22" s="2950"/>
      <c r="NRH22" s="2950"/>
      <c r="NRI22" s="2950"/>
      <c r="NRJ22" s="2950"/>
      <c r="NRK22" s="2950"/>
      <c r="NRL22" s="2950"/>
      <c r="NRM22" s="2950"/>
      <c r="NRN22" s="2950"/>
      <c r="NRO22" s="2950"/>
      <c r="NRP22" s="2950"/>
      <c r="NRQ22" s="2950"/>
      <c r="NRR22" s="2950"/>
      <c r="NRS22" s="2950"/>
      <c r="NRT22" s="2950"/>
      <c r="NRU22" s="2950"/>
      <c r="NRV22" s="2950"/>
      <c r="NRW22" s="2950"/>
      <c r="NRX22" s="2950"/>
      <c r="NRY22" s="2950"/>
      <c r="NRZ22" s="2950"/>
      <c r="NSA22" s="2950"/>
      <c r="NSB22" s="2950"/>
      <c r="NSC22" s="2950"/>
      <c r="NSD22" s="2950"/>
      <c r="NSE22" s="2950"/>
      <c r="NSF22" s="2950"/>
      <c r="NSG22" s="2950"/>
      <c r="NSH22" s="2950"/>
      <c r="NSI22" s="2950"/>
      <c r="NSJ22" s="2950"/>
      <c r="NSK22" s="2950"/>
      <c r="NSL22" s="2950"/>
      <c r="NSM22" s="2950"/>
      <c r="NSN22" s="2950"/>
      <c r="NSO22" s="2950"/>
      <c r="NSP22" s="2950"/>
      <c r="NSQ22" s="2950"/>
      <c r="NSR22" s="2950"/>
      <c r="NSS22" s="2950"/>
      <c r="NST22" s="2950"/>
      <c r="NSU22" s="2950"/>
      <c r="NSV22" s="2950"/>
      <c r="NSW22" s="2950"/>
      <c r="NSX22" s="2950"/>
      <c r="NSY22" s="2950"/>
      <c r="NSZ22" s="2950"/>
      <c r="NTA22" s="2950"/>
      <c r="NTB22" s="2950"/>
      <c r="NTC22" s="2950"/>
      <c r="NTD22" s="2950"/>
      <c r="NTE22" s="2950"/>
      <c r="NTF22" s="2950"/>
      <c r="NTG22" s="2950"/>
      <c r="NTH22" s="2950"/>
      <c r="NTI22" s="2950"/>
      <c r="NTJ22" s="2950"/>
      <c r="NTK22" s="2950"/>
      <c r="NTL22" s="2950"/>
      <c r="NTM22" s="2950"/>
      <c r="NTN22" s="2950"/>
      <c r="NTO22" s="2950"/>
      <c r="NTP22" s="2950"/>
      <c r="NTQ22" s="2950"/>
      <c r="NTR22" s="2950"/>
      <c r="NTS22" s="2950"/>
      <c r="NTT22" s="2950"/>
      <c r="NTU22" s="2950"/>
      <c r="NTV22" s="2950"/>
      <c r="NTW22" s="2950"/>
      <c r="NTX22" s="2950"/>
      <c r="NTY22" s="2950"/>
      <c r="NTZ22" s="2950"/>
      <c r="NUA22" s="2950"/>
      <c r="NUB22" s="2950"/>
      <c r="NUC22" s="2950"/>
      <c r="NUD22" s="2950"/>
      <c r="NUE22" s="2950"/>
      <c r="NUF22" s="2950"/>
      <c r="NUG22" s="2950"/>
      <c r="NUH22" s="2950"/>
      <c r="NUI22" s="2950"/>
      <c r="NUJ22" s="2950"/>
      <c r="NUK22" s="2950"/>
      <c r="NUL22" s="2950"/>
      <c r="NUM22" s="2950"/>
      <c r="NUN22" s="2950"/>
      <c r="NUO22" s="2950"/>
      <c r="NUP22" s="2950"/>
      <c r="NUQ22" s="2950"/>
      <c r="NUR22" s="2950"/>
      <c r="NUS22" s="2950"/>
      <c r="NUT22" s="2950"/>
      <c r="NUU22" s="2950"/>
      <c r="NUV22" s="2950"/>
      <c r="NUW22" s="2950"/>
      <c r="NUX22" s="2950"/>
      <c r="NUY22" s="2950"/>
      <c r="NUZ22" s="2950"/>
      <c r="NVA22" s="2950"/>
      <c r="NVB22" s="2950"/>
      <c r="NVC22" s="2950"/>
      <c r="NVD22" s="2950"/>
      <c r="NVE22" s="2950"/>
      <c r="NVF22" s="2950"/>
      <c r="NVG22" s="2950"/>
      <c r="NVH22" s="2950"/>
      <c r="NVI22" s="2950"/>
      <c r="NVJ22" s="2950"/>
      <c r="NVK22" s="2950"/>
      <c r="NVL22" s="2950"/>
      <c r="NVM22" s="2950"/>
      <c r="NVN22" s="2950"/>
      <c r="NVO22" s="2950"/>
      <c r="NVP22" s="2950"/>
      <c r="NVQ22" s="2950"/>
      <c r="NVR22" s="2950"/>
      <c r="NVS22" s="2950"/>
      <c r="NVT22" s="2950"/>
      <c r="NVU22" s="2950"/>
      <c r="NVV22" s="2950"/>
      <c r="NVW22" s="2950"/>
      <c r="NVX22" s="2950"/>
      <c r="NVY22" s="2950"/>
      <c r="NVZ22" s="2950"/>
      <c r="NWA22" s="2950"/>
      <c r="NWB22" s="2950"/>
      <c r="NWC22" s="2950"/>
      <c r="NWD22" s="2950"/>
      <c r="NWE22" s="2950"/>
      <c r="NWF22" s="2950"/>
      <c r="NWG22" s="2950"/>
      <c r="NWH22" s="2950"/>
      <c r="NWI22" s="2950"/>
      <c r="NWJ22" s="2950"/>
      <c r="NWK22" s="2950"/>
      <c r="NWL22" s="2950"/>
      <c r="NWM22" s="2950"/>
      <c r="NWN22" s="2950"/>
      <c r="NWO22" s="2950"/>
      <c r="NWP22" s="2950"/>
      <c r="NWQ22" s="2950"/>
      <c r="NWR22" s="2950"/>
      <c r="NWS22" s="2950"/>
      <c r="NWT22" s="2950"/>
      <c r="NWU22" s="2950"/>
      <c r="NWV22" s="2950"/>
      <c r="NWW22" s="2950"/>
      <c r="NWX22" s="2950"/>
      <c r="NWY22" s="2950"/>
      <c r="NWZ22" s="2950"/>
      <c r="NXA22" s="2950"/>
      <c r="NXB22" s="2950"/>
      <c r="NXC22" s="2950"/>
      <c r="NXD22" s="2950"/>
      <c r="NXE22" s="2950"/>
      <c r="NXF22" s="2950"/>
      <c r="NXG22" s="2950"/>
      <c r="NXH22" s="2950"/>
      <c r="NXI22" s="2950"/>
      <c r="NXJ22" s="2950"/>
      <c r="NXK22" s="2950"/>
      <c r="NXL22" s="2950"/>
      <c r="NXM22" s="2950"/>
      <c r="NXN22" s="2950"/>
      <c r="NXO22" s="2950"/>
      <c r="NXP22" s="2950"/>
      <c r="NXQ22" s="2950"/>
      <c r="NXR22" s="2950"/>
      <c r="NXS22" s="2950"/>
      <c r="NXT22" s="2950"/>
      <c r="NXU22" s="2950"/>
      <c r="NXV22" s="2950"/>
      <c r="NXW22" s="2950"/>
      <c r="NXX22" s="2950"/>
      <c r="NXY22" s="2950"/>
      <c r="NXZ22" s="2950"/>
      <c r="NYA22" s="2950"/>
      <c r="NYB22" s="2950"/>
      <c r="NYC22" s="2950"/>
      <c r="NYD22" s="2950"/>
      <c r="NYE22" s="2950"/>
      <c r="NYF22" s="2950"/>
      <c r="NYG22" s="2950"/>
      <c r="NYH22" s="2950"/>
      <c r="NYI22" s="2950"/>
      <c r="NYJ22" s="2950"/>
      <c r="NYK22" s="2950"/>
      <c r="NYL22" s="2950"/>
      <c r="NYM22" s="2950"/>
      <c r="NYN22" s="2950"/>
      <c r="NYO22" s="2950"/>
      <c r="NYP22" s="2950"/>
      <c r="NYQ22" s="2950"/>
      <c r="NYR22" s="2950"/>
      <c r="NYS22" s="2950"/>
      <c r="NYT22" s="2950"/>
      <c r="NYU22" s="2950"/>
      <c r="NYV22" s="2950"/>
      <c r="NYW22" s="2950"/>
      <c r="NYX22" s="2950"/>
      <c r="NYY22" s="2950"/>
      <c r="NYZ22" s="2950"/>
      <c r="NZA22" s="2950"/>
      <c r="NZB22" s="2950"/>
      <c r="NZC22" s="2950"/>
      <c r="NZD22" s="2950"/>
      <c r="NZE22" s="2950"/>
      <c r="NZF22" s="2950"/>
      <c r="NZG22" s="2950"/>
      <c r="NZH22" s="2950"/>
      <c r="NZI22" s="2950"/>
      <c r="NZJ22" s="2950"/>
      <c r="NZK22" s="2950"/>
      <c r="NZL22" s="2950"/>
      <c r="NZM22" s="2950"/>
      <c r="NZN22" s="2950"/>
      <c r="NZO22" s="2950"/>
      <c r="NZP22" s="2950"/>
      <c r="NZQ22" s="2950"/>
      <c r="NZR22" s="2950"/>
      <c r="NZS22" s="2950"/>
      <c r="NZT22" s="2950"/>
      <c r="NZU22" s="2950"/>
      <c r="NZV22" s="2950"/>
      <c r="NZW22" s="2950"/>
      <c r="NZX22" s="2950"/>
      <c r="NZY22" s="2950"/>
      <c r="NZZ22" s="2950"/>
      <c r="OAA22" s="2950"/>
      <c r="OAB22" s="2950"/>
      <c r="OAC22" s="2950"/>
      <c r="OAD22" s="2950"/>
      <c r="OAE22" s="2950"/>
      <c r="OAF22" s="2950"/>
      <c r="OAG22" s="2950"/>
      <c r="OAH22" s="2950"/>
      <c r="OAI22" s="2950"/>
      <c r="OAJ22" s="2950"/>
      <c r="OAK22" s="2950"/>
      <c r="OAL22" s="2950"/>
      <c r="OAM22" s="2950"/>
      <c r="OAN22" s="2950"/>
      <c r="OAO22" s="2950"/>
      <c r="OAP22" s="2950"/>
      <c r="OAQ22" s="2950"/>
      <c r="OAR22" s="2950"/>
      <c r="OAS22" s="2950"/>
      <c r="OAT22" s="2950"/>
      <c r="OAU22" s="2950"/>
      <c r="OAV22" s="2950"/>
      <c r="OAW22" s="2950"/>
      <c r="OAX22" s="2950"/>
      <c r="OAY22" s="2950"/>
      <c r="OAZ22" s="2950"/>
      <c r="OBA22" s="2950"/>
      <c r="OBB22" s="2950"/>
      <c r="OBC22" s="2950"/>
      <c r="OBD22" s="2950"/>
      <c r="OBE22" s="2950"/>
      <c r="OBF22" s="2950"/>
      <c r="OBG22" s="2950"/>
      <c r="OBH22" s="2950"/>
      <c r="OBI22" s="2950"/>
      <c r="OBJ22" s="2950"/>
      <c r="OBK22" s="2950"/>
      <c r="OBL22" s="2950"/>
      <c r="OBM22" s="2950"/>
      <c r="OBN22" s="2950"/>
      <c r="OBO22" s="2950"/>
      <c r="OBP22" s="2950"/>
      <c r="OBQ22" s="2950"/>
      <c r="OBR22" s="2950"/>
      <c r="OBS22" s="2950"/>
      <c r="OBT22" s="2950"/>
      <c r="OBU22" s="2950"/>
      <c r="OBV22" s="2950"/>
      <c r="OBW22" s="2950"/>
      <c r="OBX22" s="2950"/>
      <c r="OBY22" s="2950"/>
      <c r="OBZ22" s="2950"/>
      <c r="OCA22" s="2950"/>
      <c r="OCB22" s="2950"/>
      <c r="OCC22" s="2950"/>
      <c r="OCD22" s="2950"/>
      <c r="OCE22" s="2950"/>
      <c r="OCF22" s="2950"/>
      <c r="OCG22" s="2950"/>
      <c r="OCH22" s="2950"/>
      <c r="OCI22" s="2950"/>
      <c r="OCJ22" s="2950"/>
      <c r="OCK22" s="2950"/>
      <c r="OCL22" s="2950"/>
      <c r="OCM22" s="2950"/>
      <c r="OCN22" s="2950"/>
      <c r="OCO22" s="2950"/>
      <c r="OCP22" s="2950"/>
      <c r="OCQ22" s="2950"/>
      <c r="OCR22" s="2950"/>
      <c r="OCS22" s="2950"/>
      <c r="OCT22" s="2950"/>
      <c r="OCU22" s="2950"/>
      <c r="OCV22" s="2950"/>
      <c r="OCW22" s="2950"/>
      <c r="OCX22" s="2950"/>
      <c r="OCY22" s="2950"/>
      <c r="OCZ22" s="2950"/>
      <c r="ODA22" s="2950"/>
      <c r="ODB22" s="2950"/>
      <c r="ODC22" s="2950"/>
      <c r="ODD22" s="2950"/>
      <c r="ODE22" s="2950"/>
      <c r="ODF22" s="2950"/>
      <c r="ODG22" s="2950"/>
      <c r="ODH22" s="2950"/>
      <c r="ODI22" s="2950"/>
      <c r="ODJ22" s="2950"/>
      <c r="ODK22" s="2950"/>
      <c r="ODL22" s="2950"/>
      <c r="ODM22" s="2950"/>
      <c r="ODN22" s="2950"/>
      <c r="ODO22" s="2950"/>
      <c r="ODP22" s="2950"/>
      <c r="ODQ22" s="2950"/>
      <c r="ODR22" s="2950"/>
      <c r="ODS22" s="2950"/>
      <c r="ODT22" s="2950"/>
      <c r="ODU22" s="2950"/>
      <c r="ODV22" s="2950"/>
      <c r="ODW22" s="2950"/>
      <c r="ODX22" s="2950"/>
      <c r="ODY22" s="2950"/>
      <c r="ODZ22" s="2950"/>
      <c r="OEA22" s="2950"/>
      <c r="OEB22" s="2950"/>
      <c r="OEC22" s="2950"/>
      <c r="OED22" s="2950"/>
      <c r="OEE22" s="2950"/>
      <c r="OEF22" s="2950"/>
      <c r="OEG22" s="2950"/>
      <c r="OEH22" s="2950"/>
      <c r="OEI22" s="2950"/>
      <c r="OEJ22" s="2950"/>
      <c r="OEK22" s="2950"/>
      <c r="OEL22" s="2950"/>
      <c r="OEM22" s="2950"/>
      <c r="OEN22" s="2950"/>
      <c r="OEO22" s="2950"/>
      <c r="OEP22" s="2950"/>
      <c r="OEQ22" s="2950"/>
      <c r="OER22" s="2950"/>
      <c r="OES22" s="2950"/>
      <c r="OET22" s="2950"/>
      <c r="OEU22" s="2950"/>
      <c r="OEV22" s="2950"/>
      <c r="OEW22" s="2950"/>
      <c r="OEX22" s="2950"/>
      <c r="OEY22" s="2950"/>
      <c r="OEZ22" s="2950"/>
      <c r="OFA22" s="2950"/>
      <c r="OFB22" s="2950"/>
      <c r="OFC22" s="2950"/>
      <c r="OFD22" s="2950"/>
      <c r="OFE22" s="2950"/>
      <c r="OFF22" s="2950"/>
      <c r="OFG22" s="2950"/>
      <c r="OFH22" s="2950"/>
      <c r="OFI22" s="2950"/>
      <c r="OFJ22" s="2950"/>
      <c r="OFK22" s="2950"/>
      <c r="OFL22" s="2950"/>
      <c r="OFM22" s="2950"/>
      <c r="OFN22" s="2950"/>
      <c r="OFO22" s="2950"/>
      <c r="OFP22" s="2950"/>
      <c r="OFQ22" s="2950"/>
      <c r="OFR22" s="2950"/>
      <c r="OFS22" s="2950"/>
      <c r="OFT22" s="2950"/>
      <c r="OFU22" s="2950"/>
      <c r="OFV22" s="2950"/>
      <c r="OFW22" s="2950"/>
      <c r="OFX22" s="2950"/>
      <c r="OFY22" s="2950"/>
      <c r="OFZ22" s="2950"/>
      <c r="OGA22" s="2950"/>
      <c r="OGB22" s="2950"/>
      <c r="OGC22" s="2950"/>
      <c r="OGD22" s="2950"/>
      <c r="OGE22" s="2950"/>
      <c r="OGF22" s="2950"/>
      <c r="OGG22" s="2950"/>
      <c r="OGH22" s="2950"/>
      <c r="OGI22" s="2950"/>
      <c r="OGJ22" s="2950"/>
      <c r="OGK22" s="2950"/>
      <c r="OGL22" s="2950"/>
      <c r="OGM22" s="2950"/>
      <c r="OGN22" s="2950"/>
      <c r="OGO22" s="2950"/>
      <c r="OGP22" s="2950"/>
      <c r="OGQ22" s="2950"/>
      <c r="OGR22" s="2950"/>
      <c r="OGS22" s="2950"/>
      <c r="OGT22" s="2950"/>
      <c r="OGU22" s="2950"/>
      <c r="OGV22" s="2950"/>
      <c r="OGW22" s="2950"/>
      <c r="OGX22" s="2950"/>
      <c r="OGY22" s="2950"/>
      <c r="OGZ22" s="2950"/>
      <c r="OHA22" s="2950"/>
      <c r="OHB22" s="2950"/>
      <c r="OHC22" s="2950"/>
      <c r="OHD22" s="2950"/>
      <c r="OHE22" s="2950"/>
      <c r="OHF22" s="2950"/>
      <c r="OHG22" s="2950"/>
      <c r="OHH22" s="2950"/>
      <c r="OHI22" s="2950"/>
      <c r="OHJ22" s="2950"/>
      <c r="OHK22" s="2950"/>
      <c r="OHL22" s="2950"/>
      <c r="OHM22" s="2950"/>
      <c r="OHN22" s="2950"/>
      <c r="OHO22" s="2950"/>
      <c r="OHP22" s="2950"/>
      <c r="OHQ22" s="2950"/>
      <c r="OHR22" s="2950"/>
      <c r="OHS22" s="2950"/>
      <c r="OHT22" s="2950"/>
      <c r="OHU22" s="2950"/>
      <c r="OHV22" s="2950"/>
      <c r="OHW22" s="2950"/>
      <c r="OHX22" s="2950"/>
      <c r="OHY22" s="2950"/>
      <c r="OHZ22" s="2950"/>
      <c r="OIA22" s="2950"/>
      <c r="OIB22" s="2950"/>
      <c r="OIC22" s="2950"/>
      <c r="OID22" s="2950"/>
      <c r="OIE22" s="2950"/>
      <c r="OIF22" s="2950"/>
      <c r="OIG22" s="2950"/>
      <c r="OIH22" s="2950"/>
      <c r="OII22" s="2950"/>
      <c r="OIJ22" s="2950"/>
      <c r="OIK22" s="2950"/>
      <c r="OIL22" s="2950"/>
      <c r="OIM22" s="2950"/>
      <c r="OIN22" s="2950"/>
      <c r="OIO22" s="2950"/>
      <c r="OIP22" s="2950"/>
      <c r="OIQ22" s="2950"/>
      <c r="OIR22" s="2950"/>
      <c r="OIS22" s="2950"/>
      <c r="OIT22" s="2950"/>
      <c r="OIU22" s="2950"/>
      <c r="OIV22" s="2950"/>
      <c r="OIW22" s="2950"/>
      <c r="OIX22" s="2950"/>
      <c r="OIY22" s="2950"/>
      <c r="OIZ22" s="2950"/>
      <c r="OJA22" s="2950"/>
      <c r="OJB22" s="2950"/>
      <c r="OJC22" s="2950"/>
      <c r="OJD22" s="2950"/>
      <c r="OJE22" s="2950"/>
      <c r="OJF22" s="2950"/>
      <c r="OJG22" s="2950"/>
      <c r="OJH22" s="2950"/>
      <c r="OJI22" s="2950"/>
      <c r="OJJ22" s="2950"/>
      <c r="OJK22" s="2950"/>
      <c r="OJL22" s="2950"/>
      <c r="OJM22" s="2950"/>
      <c r="OJN22" s="2950"/>
      <c r="OJO22" s="2950"/>
      <c r="OJP22" s="2950"/>
      <c r="OJQ22" s="2950"/>
      <c r="OJR22" s="2950"/>
      <c r="OJS22" s="2950"/>
      <c r="OJT22" s="2950"/>
      <c r="OJU22" s="2950"/>
      <c r="OJV22" s="2950"/>
      <c r="OJW22" s="2950"/>
      <c r="OJX22" s="2950"/>
      <c r="OJY22" s="2950"/>
      <c r="OJZ22" s="2950"/>
      <c r="OKA22" s="2950"/>
      <c r="OKB22" s="2950"/>
      <c r="OKC22" s="2950"/>
      <c r="OKD22" s="2950"/>
      <c r="OKE22" s="2950"/>
      <c r="OKF22" s="2950"/>
      <c r="OKG22" s="2950"/>
      <c r="OKH22" s="2950"/>
      <c r="OKI22" s="2950"/>
      <c r="OKJ22" s="2950"/>
      <c r="OKK22" s="2950"/>
      <c r="OKL22" s="2950"/>
      <c r="OKM22" s="2950"/>
      <c r="OKN22" s="2950"/>
      <c r="OKO22" s="2950"/>
      <c r="OKP22" s="2950"/>
      <c r="OKQ22" s="2950"/>
      <c r="OKR22" s="2950"/>
      <c r="OKS22" s="2950"/>
      <c r="OKT22" s="2950"/>
      <c r="OKU22" s="2950"/>
      <c r="OKV22" s="2950"/>
      <c r="OKW22" s="2950"/>
      <c r="OKX22" s="2950"/>
      <c r="OKY22" s="2950"/>
      <c r="OKZ22" s="2950"/>
      <c r="OLA22" s="2950"/>
      <c r="OLB22" s="2950"/>
      <c r="OLC22" s="2950"/>
      <c r="OLD22" s="2950"/>
      <c r="OLE22" s="2950"/>
      <c r="OLF22" s="2950"/>
      <c r="OLG22" s="2950"/>
      <c r="OLH22" s="2950"/>
      <c r="OLI22" s="2950"/>
      <c r="OLJ22" s="2950"/>
      <c r="OLK22" s="2950"/>
      <c r="OLL22" s="2950"/>
      <c r="OLM22" s="2950"/>
      <c r="OLN22" s="2950"/>
      <c r="OLO22" s="2950"/>
      <c r="OLP22" s="2950"/>
      <c r="OLQ22" s="2950"/>
      <c r="OLR22" s="2950"/>
      <c r="OLS22" s="2950"/>
      <c r="OLT22" s="2950"/>
      <c r="OLU22" s="2950"/>
      <c r="OLV22" s="2950"/>
      <c r="OLW22" s="2950"/>
      <c r="OLX22" s="2950"/>
      <c r="OLY22" s="2950"/>
      <c r="OLZ22" s="2950"/>
      <c r="OMA22" s="2950"/>
      <c r="OMB22" s="2950"/>
      <c r="OMC22" s="2950"/>
      <c r="OMD22" s="2950"/>
      <c r="OME22" s="2950"/>
      <c r="OMF22" s="2950"/>
      <c r="OMG22" s="2950"/>
      <c r="OMH22" s="2950"/>
      <c r="OMI22" s="2950"/>
      <c r="OMJ22" s="2950"/>
      <c r="OMK22" s="2950"/>
      <c r="OML22" s="2950"/>
      <c r="OMM22" s="2950"/>
      <c r="OMN22" s="2950"/>
      <c r="OMO22" s="2950"/>
      <c r="OMP22" s="2950"/>
      <c r="OMQ22" s="2950"/>
      <c r="OMR22" s="2950"/>
      <c r="OMS22" s="2950"/>
      <c r="OMT22" s="2950"/>
      <c r="OMU22" s="2950"/>
      <c r="OMV22" s="2950"/>
      <c r="OMW22" s="2950"/>
      <c r="OMX22" s="2950"/>
      <c r="OMY22" s="2950"/>
      <c r="OMZ22" s="2950"/>
      <c r="ONA22" s="2950"/>
      <c r="ONB22" s="2950"/>
      <c r="ONC22" s="2950"/>
      <c r="OND22" s="2950"/>
      <c r="ONE22" s="2950"/>
      <c r="ONF22" s="2950"/>
      <c r="ONG22" s="2950"/>
      <c r="ONH22" s="2950"/>
      <c r="ONI22" s="2950"/>
      <c r="ONJ22" s="2950"/>
      <c r="ONK22" s="2950"/>
      <c r="ONL22" s="2950"/>
      <c r="ONM22" s="2950"/>
      <c r="ONN22" s="2950"/>
      <c r="ONO22" s="2950"/>
      <c r="ONP22" s="2950"/>
      <c r="ONQ22" s="2950"/>
      <c r="ONR22" s="2950"/>
      <c r="ONS22" s="2950"/>
      <c r="ONT22" s="2950"/>
      <c r="ONU22" s="2950"/>
      <c r="ONV22" s="2950"/>
      <c r="ONW22" s="2950"/>
      <c r="ONX22" s="2950"/>
      <c r="ONY22" s="2950"/>
      <c r="ONZ22" s="2950"/>
      <c r="OOA22" s="2950"/>
      <c r="OOB22" s="2950"/>
      <c r="OOC22" s="2950"/>
      <c r="OOD22" s="2950"/>
      <c r="OOE22" s="2950"/>
      <c r="OOF22" s="2950"/>
      <c r="OOG22" s="2950"/>
      <c r="OOH22" s="2950"/>
      <c r="OOI22" s="2950"/>
      <c r="OOJ22" s="2950"/>
      <c r="OOK22" s="2950"/>
      <c r="OOL22" s="2950"/>
      <c r="OOM22" s="2950"/>
      <c r="OON22" s="2950"/>
      <c r="OOO22" s="2950"/>
      <c r="OOP22" s="2950"/>
      <c r="OOQ22" s="2950"/>
      <c r="OOR22" s="2950"/>
      <c r="OOS22" s="2950"/>
      <c r="OOT22" s="2950"/>
      <c r="OOU22" s="2950"/>
      <c r="OOV22" s="2950"/>
      <c r="OOW22" s="2950"/>
      <c r="OOX22" s="2950"/>
      <c r="OOY22" s="2950"/>
      <c r="OOZ22" s="2950"/>
      <c r="OPA22" s="2950"/>
      <c r="OPB22" s="2950"/>
      <c r="OPC22" s="2950"/>
      <c r="OPD22" s="2950"/>
      <c r="OPE22" s="2950"/>
      <c r="OPF22" s="2950"/>
      <c r="OPG22" s="2950"/>
      <c r="OPH22" s="2950"/>
      <c r="OPI22" s="2950"/>
      <c r="OPJ22" s="2950"/>
      <c r="OPK22" s="2950"/>
      <c r="OPL22" s="2950"/>
      <c r="OPM22" s="2950"/>
      <c r="OPN22" s="2950"/>
      <c r="OPO22" s="2950"/>
      <c r="OPP22" s="2950"/>
      <c r="OPQ22" s="2950"/>
      <c r="OPR22" s="2950"/>
      <c r="OPS22" s="2950"/>
      <c r="OPT22" s="2950"/>
      <c r="OPU22" s="2950"/>
      <c r="OPV22" s="2950"/>
      <c r="OPW22" s="2950"/>
      <c r="OPX22" s="2950"/>
      <c r="OPY22" s="2950"/>
      <c r="OPZ22" s="2950"/>
      <c r="OQA22" s="2950"/>
      <c r="OQB22" s="2950"/>
      <c r="OQC22" s="2950"/>
      <c r="OQD22" s="2950"/>
      <c r="OQE22" s="2950"/>
      <c r="OQF22" s="2950"/>
      <c r="OQG22" s="2950"/>
      <c r="OQH22" s="2950"/>
      <c r="OQI22" s="2950"/>
      <c r="OQJ22" s="2950"/>
      <c r="OQK22" s="2950"/>
      <c r="OQL22" s="2950"/>
      <c r="OQM22" s="2950"/>
      <c r="OQN22" s="2950"/>
      <c r="OQO22" s="2950"/>
      <c r="OQP22" s="2950"/>
      <c r="OQQ22" s="2950"/>
      <c r="OQR22" s="2950"/>
      <c r="OQS22" s="2950"/>
      <c r="OQT22" s="2950"/>
      <c r="OQU22" s="2950"/>
      <c r="OQV22" s="2950"/>
      <c r="OQW22" s="2950"/>
      <c r="OQX22" s="2950"/>
      <c r="OQY22" s="2950"/>
      <c r="OQZ22" s="2950"/>
      <c r="ORA22" s="2950"/>
      <c r="ORB22" s="2950"/>
      <c r="ORC22" s="2950"/>
      <c r="ORD22" s="2950"/>
      <c r="ORE22" s="2950"/>
      <c r="ORF22" s="2950"/>
      <c r="ORG22" s="2950"/>
      <c r="ORH22" s="2950"/>
      <c r="ORI22" s="2950"/>
      <c r="ORJ22" s="2950"/>
      <c r="ORK22" s="2950"/>
      <c r="ORL22" s="2950"/>
      <c r="ORM22" s="2950"/>
      <c r="ORN22" s="2950"/>
      <c r="ORO22" s="2950"/>
      <c r="ORP22" s="2950"/>
      <c r="ORQ22" s="2950"/>
      <c r="ORR22" s="2950"/>
      <c r="ORS22" s="2950"/>
      <c r="ORT22" s="2950"/>
      <c r="ORU22" s="2950"/>
      <c r="ORV22" s="2950"/>
      <c r="ORW22" s="2950"/>
      <c r="ORX22" s="2950"/>
      <c r="ORY22" s="2950"/>
      <c r="ORZ22" s="2950"/>
      <c r="OSA22" s="2950"/>
      <c r="OSB22" s="2950"/>
      <c r="OSC22" s="2950"/>
      <c r="OSD22" s="2950"/>
      <c r="OSE22" s="2950"/>
      <c r="OSF22" s="2950"/>
      <c r="OSG22" s="2950"/>
      <c r="OSH22" s="2950"/>
      <c r="OSI22" s="2950"/>
      <c r="OSJ22" s="2950"/>
      <c r="OSK22" s="2950"/>
      <c r="OSL22" s="2950"/>
      <c r="OSM22" s="2950"/>
      <c r="OSN22" s="2950"/>
      <c r="OSO22" s="2950"/>
      <c r="OSP22" s="2950"/>
      <c r="OSQ22" s="2950"/>
      <c r="OSR22" s="2950"/>
      <c r="OSS22" s="2950"/>
      <c r="OST22" s="2950"/>
      <c r="OSU22" s="2950"/>
      <c r="OSV22" s="2950"/>
      <c r="OSW22" s="2950"/>
      <c r="OSX22" s="2950"/>
      <c r="OSY22" s="2950"/>
      <c r="OSZ22" s="2950"/>
      <c r="OTA22" s="2950"/>
      <c r="OTB22" s="2950"/>
      <c r="OTC22" s="2950"/>
      <c r="OTD22" s="2950"/>
      <c r="OTE22" s="2950"/>
      <c r="OTF22" s="2950"/>
      <c r="OTG22" s="2950"/>
      <c r="OTH22" s="2950"/>
      <c r="OTI22" s="2950"/>
      <c r="OTJ22" s="2950"/>
      <c r="OTK22" s="2950"/>
      <c r="OTL22" s="2950"/>
      <c r="OTM22" s="2950"/>
      <c r="OTN22" s="2950"/>
      <c r="OTO22" s="2950"/>
      <c r="OTP22" s="2950"/>
      <c r="OTQ22" s="2950"/>
      <c r="OTR22" s="2950"/>
      <c r="OTS22" s="2950"/>
      <c r="OTT22" s="2950"/>
      <c r="OTU22" s="2950"/>
      <c r="OTV22" s="2950"/>
      <c r="OTW22" s="2950"/>
      <c r="OTX22" s="2950"/>
      <c r="OTY22" s="2950"/>
      <c r="OTZ22" s="2950"/>
      <c r="OUA22" s="2950"/>
      <c r="OUB22" s="2950"/>
      <c r="OUC22" s="2950"/>
      <c r="OUD22" s="2950"/>
      <c r="OUE22" s="2950"/>
      <c r="OUF22" s="2950"/>
      <c r="OUG22" s="2950"/>
      <c r="OUH22" s="2950"/>
      <c r="OUI22" s="2950"/>
      <c r="OUJ22" s="2950"/>
      <c r="OUK22" s="2950"/>
      <c r="OUL22" s="2950"/>
      <c r="OUM22" s="2950"/>
      <c r="OUN22" s="2950"/>
      <c r="OUO22" s="2950"/>
      <c r="OUP22" s="2950"/>
      <c r="OUQ22" s="2950"/>
      <c r="OUR22" s="2950"/>
      <c r="OUS22" s="2950"/>
      <c r="OUT22" s="2950"/>
      <c r="OUU22" s="2950"/>
      <c r="OUV22" s="2950"/>
      <c r="OUW22" s="2950"/>
      <c r="OUX22" s="2950"/>
      <c r="OUY22" s="2950"/>
      <c r="OUZ22" s="2950"/>
      <c r="OVA22" s="2950"/>
      <c r="OVB22" s="2950"/>
      <c r="OVC22" s="2950"/>
      <c r="OVD22" s="2950"/>
      <c r="OVE22" s="2950"/>
      <c r="OVF22" s="2950"/>
      <c r="OVG22" s="2950"/>
      <c r="OVH22" s="2950"/>
      <c r="OVI22" s="2950"/>
      <c r="OVJ22" s="2950"/>
      <c r="OVK22" s="2950"/>
      <c r="OVL22" s="2950"/>
      <c r="OVM22" s="2950"/>
      <c r="OVN22" s="2950"/>
      <c r="OVO22" s="2950"/>
      <c r="OVP22" s="2950"/>
      <c r="OVQ22" s="2950"/>
      <c r="OVR22" s="2950"/>
      <c r="OVS22" s="2950"/>
      <c r="OVT22" s="2950"/>
      <c r="OVU22" s="2950"/>
      <c r="OVV22" s="2950"/>
      <c r="OVW22" s="2950"/>
      <c r="OVX22" s="2950"/>
      <c r="OVY22" s="2950"/>
      <c r="OVZ22" s="2950"/>
      <c r="OWA22" s="2950"/>
      <c r="OWB22" s="2950"/>
      <c r="OWC22" s="2950"/>
      <c r="OWD22" s="2950"/>
      <c r="OWE22" s="2950"/>
      <c r="OWF22" s="2950"/>
      <c r="OWG22" s="2950"/>
      <c r="OWH22" s="2950"/>
      <c r="OWI22" s="2950"/>
      <c r="OWJ22" s="2950"/>
      <c r="OWK22" s="2950"/>
      <c r="OWL22" s="2950"/>
      <c r="OWM22" s="2950"/>
      <c r="OWN22" s="2950"/>
      <c r="OWO22" s="2950"/>
      <c r="OWP22" s="2950"/>
      <c r="OWQ22" s="2950"/>
      <c r="OWR22" s="2950"/>
      <c r="OWS22" s="2950"/>
      <c r="OWT22" s="2950"/>
      <c r="OWU22" s="2950"/>
      <c r="OWV22" s="2950"/>
      <c r="OWW22" s="2950"/>
      <c r="OWX22" s="2950"/>
      <c r="OWY22" s="2950"/>
      <c r="OWZ22" s="2950"/>
      <c r="OXA22" s="2950"/>
      <c r="OXB22" s="2950"/>
      <c r="OXC22" s="2950"/>
      <c r="OXD22" s="2950"/>
      <c r="OXE22" s="2950"/>
      <c r="OXF22" s="2950"/>
      <c r="OXG22" s="2950"/>
      <c r="OXH22" s="2950"/>
      <c r="OXI22" s="2950"/>
      <c r="OXJ22" s="2950"/>
      <c r="OXK22" s="2950"/>
      <c r="OXL22" s="2950"/>
      <c r="OXM22" s="2950"/>
      <c r="OXN22" s="2950"/>
      <c r="OXO22" s="2950"/>
      <c r="OXP22" s="2950"/>
      <c r="OXQ22" s="2950"/>
      <c r="OXR22" s="2950"/>
      <c r="OXS22" s="2950"/>
      <c r="OXT22" s="2950"/>
      <c r="OXU22" s="2950"/>
      <c r="OXV22" s="2950"/>
      <c r="OXW22" s="2950"/>
      <c r="OXX22" s="2950"/>
      <c r="OXY22" s="2950"/>
      <c r="OXZ22" s="2950"/>
      <c r="OYA22" s="2950"/>
      <c r="OYB22" s="2950"/>
      <c r="OYC22" s="2950"/>
      <c r="OYD22" s="2950"/>
      <c r="OYE22" s="2950"/>
      <c r="OYF22" s="2950"/>
      <c r="OYG22" s="2950"/>
      <c r="OYH22" s="2950"/>
      <c r="OYI22" s="2950"/>
      <c r="OYJ22" s="2950"/>
      <c r="OYK22" s="2950"/>
      <c r="OYL22" s="2950"/>
      <c r="OYM22" s="2950"/>
      <c r="OYN22" s="2950"/>
      <c r="OYO22" s="2950"/>
      <c r="OYP22" s="2950"/>
      <c r="OYQ22" s="2950"/>
      <c r="OYR22" s="2950"/>
      <c r="OYS22" s="2950"/>
      <c r="OYT22" s="2950"/>
      <c r="OYU22" s="2950"/>
      <c r="OYV22" s="2950"/>
      <c r="OYW22" s="2950"/>
      <c r="OYX22" s="2950"/>
      <c r="OYY22" s="2950"/>
      <c r="OYZ22" s="2950"/>
      <c r="OZA22" s="2950"/>
      <c r="OZB22" s="2950"/>
      <c r="OZC22" s="2950"/>
      <c r="OZD22" s="2950"/>
      <c r="OZE22" s="2950"/>
      <c r="OZF22" s="2950"/>
      <c r="OZG22" s="2950"/>
      <c r="OZH22" s="2950"/>
      <c r="OZI22" s="2950"/>
      <c r="OZJ22" s="2950"/>
      <c r="OZK22" s="2950"/>
      <c r="OZL22" s="2950"/>
      <c r="OZM22" s="2950"/>
      <c r="OZN22" s="2950"/>
      <c r="OZO22" s="2950"/>
      <c r="OZP22" s="2950"/>
      <c r="OZQ22" s="2950"/>
      <c r="OZR22" s="2950"/>
      <c r="OZS22" s="2950"/>
      <c r="OZT22" s="2950"/>
      <c r="OZU22" s="2950"/>
      <c r="OZV22" s="2950"/>
      <c r="OZW22" s="2950"/>
      <c r="OZX22" s="2950"/>
      <c r="OZY22" s="2950"/>
      <c r="OZZ22" s="2950"/>
      <c r="PAA22" s="2950"/>
      <c r="PAB22" s="2950"/>
      <c r="PAC22" s="2950"/>
      <c r="PAD22" s="2950"/>
      <c r="PAE22" s="2950"/>
      <c r="PAF22" s="2950"/>
      <c r="PAG22" s="2950"/>
      <c r="PAH22" s="2950"/>
      <c r="PAI22" s="2950"/>
      <c r="PAJ22" s="2950"/>
      <c r="PAK22" s="2950"/>
      <c r="PAL22" s="2950"/>
      <c r="PAM22" s="2950"/>
      <c r="PAN22" s="2950"/>
      <c r="PAO22" s="2950"/>
      <c r="PAP22" s="2950"/>
      <c r="PAQ22" s="2950"/>
      <c r="PAR22" s="2950"/>
      <c r="PAS22" s="2950"/>
      <c r="PAT22" s="2950"/>
      <c r="PAU22" s="2950"/>
      <c r="PAV22" s="2950"/>
      <c r="PAW22" s="2950"/>
      <c r="PAX22" s="2950"/>
      <c r="PAY22" s="2950"/>
      <c r="PAZ22" s="2950"/>
      <c r="PBA22" s="2950"/>
      <c r="PBB22" s="2950"/>
      <c r="PBC22" s="2950"/>
      <c r="PBD22" s="2950"/>
      <c r="PBE22" s="2950"/>
      <c r="PBF22" s="2950"/>
      <c r="PBG22" s="2950"/>
      <c r="PBH22" s="2950"/>
      <c r="PBI22" s="2950"/>
      <c r="PBJ22" s="2950"/>
      <c r="PBK22" s="2950"/>
      <c r="PBL22" s="2950"/>
      <c r="PBM22" s="2950"/>
      <c r="PBN22" s="2950"/>
      <c r="PBO22" s="2950"/>
      <c r="PBP22" s="2950"/>
      <c r="PBQ22" s="2950"/>
      <c r="PBR22" s="2950"/>
      <c r="PBS22" s="2950"/>
      <c r="PBT22" s="2950"/>
      <c r="PBU22" s="2950"/>
      <c r="PBV22" s="2950"/>
      <c r="PBW22" s="2950"/>
      <c r="PBX22" s="2950"/>
      <c r="PBY22" s="2950"/>
      <c r="PBZ22" s="2950"/>
      <c r="PCA22" s="2950"/>
      <c r="PCB22" s="2950"/>
      <c r="PCC22" s="2950"/>
      <c r="PCD22" s="2950"/>
      <c r="PCE22" s="2950"/>
      <c r="PCF22" s="2950"/>
      <c r="PCG22" s="2950"/>
      <c r="PCH22" s="2950"/>
      <c r="PCI22" s="2950"/>
      <c r="PCJ22" s="2950"/>
      <c r="PCK22" s="2950"/>
      <c r="PCL22" s="2950"/>
      <c r="PCM22" s="2950"/>
      <c r="PCN22" s="2950"/>
      <c r="PCO22" s="2950"/>
      <c r="PCP22" s="2950"/>
      <c r="PCQ22" s="2950"/>
      <c r="PCR22" s="2950"/>
      <c r="PCS22" s="2950"/>
      <c r="PCT22" s="2950"/>
      <c r="PCU22" s="2950"/>
      <c r="PCV22" s="2950"/>
      <c r="PCW22" s="2950"/>
      <c r="PCX22" s="2950"/>
      <c r="PCY22" s="2950"/>
      <c r="PCZ22" s="2950"/>
      <c r="PDA22" s="2950"/>
      <c r="PDB22" s="2950"/>
      <c r="PDC22" s="2950"/>
      <c r="PDD22" s="2950"/>
      <c r="PDE22" s="2950"/>
      <c r="PDF22" s="2950"/>
      <c r="PDG22" s="2950"/>
      <c r="PDH22" s="2950"/>
      <c r="PDI22" s="2950"/>
      <c r="PDJ22" s="2950"/>
      <c r="PDK22" s="2950"/>
      <c r="PDL22" s="2950"/>
      <c r="PDM22" s="2950"/>
      <c r="PDN22" s="2950"/>
      <c r="PDO22" s="2950"/>
      <c r="PDP22" s="2950"/>
      <c r="PDQ22" s="2950"/>
      <c r="PDR22" s="2950"/>
      <c r="PDS22" s="2950"/>
      <c r="PDT22" s="2950"/>
      <c r="PDU22" s="2950"/>
      <c r="PDV22" s="2950"/>
      <c r="PDW22" s="2950"/>
      <c r="PDX22" s="2950"/>
      <c r="PDY22" s="2950"/>
      <c r="PDZ22" s="2950"/>
      <c r="PEA22" s="2950"/>
      <c r="PEB22" s="2950"/>
      <c r="PEC22" s="2950"/>
      <c r="PED22" s="2950"/>
      <c r="PEE22" s="2950"/>
      <c r="PEF22" s="2950"/>
      <c r="PEG22" s="2950"/>
      <c r="PEH22" s="2950"/>
      <c r="PEI22" s="2950"/>
      <c r="PEJ22" s="2950"/>
      <c r="PEK22" s="2950"/>
      <c r="PEL22" s="2950"/>
      <c r="PEM22" s="2950"/>
      <c r="PEN22" s="2950"/>
      <c r="PEO22" s="2950"/>
      <c r="PEP22" s="2950"/>
      <c r="PEQ22" s="2950"/>
      <c r="PER22" s="2950"/>
      <c r="PES22" s="2950"/>
      <c r="PET22" s="2950"/>
      <c r="PEU22" s="2950"/>
      <c r="PEV22" s="2950"/>
      <c r="PEW22" s="2950"/>
      <c r="PEX22" s="2950"/>
      <c r="PEY22" s="2950"/>
      <c r="PEZ22" s="2950"/>
      <c r="PFA22" s="2950"/>
      <c r="PFB22" s="2950"/>
      <c r="PFC22" s="2950"/>
      <c r="PFD22" s="2950"/>
      <c r="PFE22" s="2950"/>
      <c r="PFF22" s="2950"/>
      <c r="PFG22" s="2950"/>
      <c r="PFH22" s="2950"/>
      <c r="PFI22" s="2950"/>
      <c r="PFJ22" s="2950"/>
      <c r="PFK22" s="2950"/>
      <c r="PFL22" s="2950"/>
      <c r="PFM22" s="2950"/>
      <c r="PFN22" s="2950"/>
      <c r="PFO22" s="2950"/>
      <c r="PFP22" s="2950"/>
      <c r="PFQ22" s="2950"/>
      <c r="PFR22" s="2950"/>
      <c r="PFS22" s="2950"/>
      <c r="PFT22" s="2950"/>
      <c r="PFU22" s="2950"/>
      <c r="PFV22" s="2950"/>
      <c r="PFW22" s="2950"/>
      <c r="PFX22" s="2950"/>
      <c r="PFY22" s="2950"/>
      <c r="PFZ22" s="2950"/>
      <c r="PGA22" s="2950"/>
      <c r="PGB22" s="2950"/>
      <c r="PGC22" s="2950"/>
      <c r="PGD22" s="2950"/>
      <c r="PGE22" s="2950"/>
      <c r="PGF22" s="2950"/>
      <c r="PGG22" s="2950"/>
      <c r="PGH22" s="2950"/>
      <c r="PGI22" s="2950"/>
      <c r="PGJ22" s="2950"/>
      <c r="PGK22" s="2950"/>
      <c r="PGL22" s="2950"/>
      <c r="PGM22" s="2950"/>
      <c r="PGN22" s="2950"/>
      <c r="PGO22" s="2950"/>
      <c r="PGP22" s="2950"/>
      <c r="PGQ22" s="2950"/>
      <c r="PGR22" s="2950"/>
      <c r="PGS22" s="2950"/>
      <c r="PGT22" s="2950"/>
      <c r="PGU22" s="2950"/>
      <c r="PGV22" s="2950"/>
      <c r="PGW22" s="2950"/>
      <c r="PGX22" s="2950"/>
      <c r="PGY22" s="2950"/>
      <c r="PGZ22" s="2950"/>
      <c r="PHA22" s="2950"/>
      <c r="PHB22" s="2950"/>
      <c r="PHC22" s="2950"/>
      <c r="PHD22" s="2950"/>
      <c r="PHE22" s="2950"/>
      <c r="PHF22" s="2950"/>
      <c r="PHG22" s="2950"/>
      <c r="PHH22" s="2950"/>
      <c r="PHI22" s="2950"/>
      <c r="PHJ22" s="2950"/>
      <c r="PHK22" s="2950"/>
      <c r="PHL22" s="2950"/>
      <c r="PHM22" s="2950"/>
      <c r="PHN22" s="2950"/>
      <c r="PHO22" s="2950"/>
      <c r="PHP22" s="2950"/>
      <c r="PHQ22" s="2950"/>
      <c r="PHR22" s="2950"/>
      <c r="PHS22" s="2950"/>
      <c r="PHT22" s="2950"/>
      <c r="PHU22" s="2950"/>
      <c r="PHV22" s="2950"/>
      <c r="PHW22" s="2950"/>
      <c r="PHX22" s="2950"/>
      <c r="PHY22" s="2950"/>
      <c r="PHZ22" s="2950"/>
      <c r="PIA22" s="2950"/>
      <c r="PIB22" s="2950"/>
      <c r="PIC22" s="2950"/>
      <c r="PID22" s="2950"/>
      <c r="PIE22" s="2950"/>
      <c r="PIF22" s="2950"/>
      <c r="PIG22" s="2950"/>
      <c r="PIH22" s="2950"/>
      <c r="PII22" s="2950"/>
      <c r="PIJ22" s="2950"/>
      <c r="PIK22" s="2950"/>
      <c r="PIL22" s="2950"/>
      <c r="PIM22" s="2950"/>
      <c r="PIN22" s="2950"/>
      <c r="PIO22" s="2950"/>
      <c r="PIP22" s="2950"/>
      <c r="PIQ22" s="2950"/>
      <c r="PIR22" s="2950"/>
      <c r="PIS22" s="2950"/>
      <c r="PIT22" s="2950"/>
      <c r="PIU22" s="2950"/>
      <c r="PIV22" s="2950"/>
      <c r="PIW22" s="2950"/>
      <c r="PIX22" s="2950"/>
      <c r="PIY22" s="2950"/>
      <c r="PIZ22" s="2950"/>
      <c r="PJA22" s="2950"/>
      <c r="PJB22" s="2950"/>
      <c r="PJC22" s="2950"/>
      <c r="PJD22" s="2950"/>
      <c r="PJE22" s="2950"/>
      <c r="PJF22" s="2950"/>
      <c r="PJG22" s="2950"/>
      <c r="PJH22" s="2950"/>
      <c r="PJI22" s="2950"/>
      <c r="PJJ22" s="2950"/>
      <c r="PJK22" s="2950"/>
      <c r="PJL22" s="2950"/>
      <c r="PJM22" s="2950"/>
      <c r="PJN22" s="2950"/>
      <c r="PJO22" s="2950"/>
      <c r="PJP22" s="2950"/>
      <c r="PJQ22" s="2950"/>
      <c r="PJR22" s="2950"/>
      <c r="PJS22" s="2950"/>
      <c r="PJT22" s="2950"/>
      <c r="PJU22" s="2950"/>
      <c r="PJV22" s="2950"/>
      <c r="PJW22" s="2950"/>
      <c r="PJX22" s="2950"/>
      <c r="PJY22" s="2950"/>
      <c r="PJZ22" s="2950"/>
      <c r="PKA22" s="2950"/>
      <c r="PKB22" s="2950"/>
      <c r="PKC22" s="2950"/>
      <c r="PKD22" s="2950"/>
      <c r="PKE22" s="2950"/>
      <c r="PKF22" s="2950"/>
      <c r="PKG22" s="2950"/>
      <c r="PKH22" s="2950"/>
      <c r="PKI22" s="2950"/>
      <c r="PKJ22" s="2950"/>
      <c r="PKK22" s="2950"/>
      <c r="PKL22" s="2950"/>
      <c r="PKM22" s="2950"/>
      <c r="PKN22" s="2950"/>
      <c r="PKO22" s="2950"/>
      <c r="PKP22" s="2950"/>
      <c r="PKQ22" s="2950"/>
      <c r="PKR22" s="2950"/>
      <c r="PKS22" s="2950"/>
      <c r="PKT22" s="2950"/>
      <c r="PKU22" s="2950"/>
      <c r="PKV22" s="2950"/>
      <c r="PKW22" s="2950"/>
      <c r="PKX22" s="2950"/>
      <c r="PKY22" s="2950"/>
      <c r="PKZ22" s="2950"/>
      <c r="PLA22" s="2950"/>
      <c r="PLB22" s="2950"/>
      <c r="PLC22" s="2950"/>
      <c r="PLD22" s="2950"/>
      <c r="PLE22" s="2950"/>
      <c r="PLF22" s="2950"/>
      <c r="PLG22" s="2950"/>
      <c r="PLH22" s="2950"/>
      <c r="PLI22" s="2950"/>
      <c r="PLJ22" s="2950"/>
      <c r="PLK22" s="2950"/>
      <c r="PLL22" s="2950"/>
      <c r="PLM22" s="2950"/>
      <c r="PLN22" s="2950"/>
      <c r="PLO22" s="2950"/>
      <c r="PLP22" s="2950"/>
      <c r="PLQ22" s="2950"/>
      <c r="PLR22" s="2950"/>
      <c r="PLS22" s="2950"/>
      <c r="PLT22" s="2950"/>
      <c r="PLU22" s="2950"/>
      <c r="PLV22" s="2950"/>
      <c r="PLW22" s="2950"/>
      <c r="PLX22" s="2950"/>
      <c r="PLY22" s="2950"/>
      <c r="PLZ22" s="2950"/>
      <c r="PMA22" s="2950"/>
      <c r="PMB22" s="2950"/>
      <c r="PMC22" s="2950"/>
      <c r="PMD22" s="2950"/>
      <c r="PME22" s="2950"/>
      <c r="PMF22" s="2950"/>
      <c r="PMG22" s="2950"/>
      <c r="PMH22" s="2950"/>
      <c r="PMI22" s="2950"/>
      <c r="PMJ22" s="2950"/>
      <c r="PMK22" s="2950"/>
      <c r="PML22" s="2950"/>
      <c r="PMM22" s="2950"/>
      <c r="PMN22" s="2950"/>
      <c r="PMO22" s="2950"/>
      <c r="PMP22" s="2950"/>
      <c r="PMQ22" s="2950"/>
      <c r="PMR22" s="2950"/>
      <c r="PMS22" s="2950"/>
      <c r="PMT22" s="2950"/>
      <c r="PMU22" s="2950"/>
      <c r="PMV22" s="2950"/>
      <c r="PMW22" s="2950"/>
      <c r="PMX22" s="2950"/>
      <c r="PMY22" s="2950"/>
      <c r="PMZ22" s="2950"/>
      <c r="PNA22" s="2950"/>
      <c r="PNB22" s="2950"/>
      <c r="PNC22" s="2950"/>
      <c r="PND22" s="2950"/>
      <c r="PNE22" s="2950"/>
      <c r="PNF22" s="2950"/>
      <c r="PNG22" s="2950"/>
      <c r="PNH22" s="2950"/>
      <c r="PNI22" s="2950"/>
      <c r="PNJ22" s="2950"/>
      <c r="PNK22" s="2950"/>
      <c r="PNL22" s="2950"/>
      <c r="PNM22" s="2950"/>
      <c r="PNN22" s="2950"/>
      <c r="PNO22" s="2950"/>
      <c r="PNP22" s="2950"/>
      <c r="PNQ22" s="2950"/>
      <c r="PNR22" s="2950"/>
      <c r="PNS22" s="2950"/>
      <c r="PNT22" s="2950"/>
      <c r="PNU22" s="2950"/>
      <c r="PNV22" s="2950"/>
      <c r="PNW22" s="2950"/>
      <c r="PNX22" s="2950"/>
      <c r="PNY22" s="2950"/>
      <c r="PNZ22" s="2950"/>
      <c r="POA22" s="2950"/>
      <c r="POB22" s="2950"/>
      <c r="POC22" s="2950"/>
      <c r="POD22" s="2950"/>
      <c r="POE22" s="2950"/>
      <c r="POF22" s="2950"/>
      <c r="POG22" s="2950"/>
      <c r="POH22" s="2950"/>
      <c r="POI22" s="2950"/>
      <c r="POJ22" s="2950"/>
      <c r="POK22" s="2950"/>
      <c r="POL22" s="2950"/>
      <c r="POM22" s="2950"/>
      <c r="PON22" s="2950"/>
      <c r="POO22" s="2950"/>
      <c r="POP22" s="2950"/>
      <c r="POQ22" s="2950"/>
      <c r="POR22" s="2950"/>
      <c r="POS22" s="2950"/>
      <c r="POT22" s="2950"/>
      <c r="POU22" s="2950"/>
      <c r="POV22" s="2950"/>
      <c r="POW22" s="2950"/>
      <c r="POX22" s="2950"/>
      <c r="POY22" s="2950"/>
      <c r="POZ22" s="2950"/>
      <c r="PPA22" s="2950"/>
      <c r="PPB22" s="2950"/>
      <c r="PPC22" s="2950"/>
      <c r="PPD22" s="2950"/>
      <c r="PPE22" s="2950"/>
      <c r="PPF22" s="2950"/>
      <c r="PPG22" s="2950"/>
      <c r="PPH22" s="2950"/>
      <c r="PPI22" s="2950"/>
      <c r="PPJ22" s="2950"/>
      <c r="PPK22" s="2950"/>
      <c r="PPL22" s="2950"/>
      <c r="PPM22" s="2950"/>
      <c r="PPN22" s="2950"/>
      <c r="PPO22" s="2950"/>
      <c r="PPP22" s="2950"/>
      <c r="PPQ22" s="2950"/>
      <c r="PPR22" s="2950"/>
      <c r="PPS22" s="2950"/>
      <c r="PPT22" s="2950"/>
      <c r="PPU22" s="2950"/>
      <c r="PPV22" s="2950"/>
      <c r="PPW22" s="2950"/>
      <c r="PPX22" s="2950"/>
      <c r="PPY22" s="2950"/>
      <c r="PPZ22" s="2950"/>
      <c r="PQA22" s="2950"/>
      <c r="PQB22" s="2950"/>
      <c r="PQC22" s="2950"/>
      <c r="PQD22" s="2950"/>
      <c r="PQE22" s="2950"/>
      <c r="PQF22" s="2950"/>
      <c r="PQG22" s="2950"/>
      <c r="PQH22" s="2950"/>
      <c r="PQI22" s="2950"/>
      <c r="PQJ22" s="2950"/>
      <c r="PQK22" s="2950"/>
      <c r="PQL22" s="2950"/>
      <c r="PQM22" s="2950"/>
      <c r="PQN22" s="2950"/>
      <c r="PQO22" s="2950"/>
      <c r="PQP22" s="2950"/>
      <c r="PQQ22" s="2950"/>
      <c r="PQR22" s="2950"/>
      <c r="PQS22" s="2950"/>
      <c r="PQT22" s="2950"/>
      <c r="PQU22" s="2950"/>
      <c r="PQV22" s="2950"/>
      <c r="PQW22" s="2950"/>
      <c r="PQX22" s="2950"/>
      <c r="PQY22" s="2950"/>
      <c r="PQZ22" s="2950"/>
      <c r="PRA22" s="2950"/>
      <c r="PRB22" s="2950"/>
      <c r="PRC22" s="2950"/>
      <c r="PRD22" s="2950"/>
      <c r="PRE22" s="2950"/>
      <c r="PRF22" s="2950"/>
      <c r="PRG22" s="2950"/>
      <c r="PRH22" s="2950"/>
      <c r="PRI22" s="2950"/>
      <c r="PRJ22" s="2950"/>
      <c r="PRK22" s="2950"/>
      <c r="PRL22" s="2950"/>
      <c r="PRM22" s="2950"/>
      <c r="PRN22" s="2950"/>
      <c r="PRO22" s="2950"/>
      <c r="PRP22" s="2950"/>
      <c r="PRQ22" s="2950"/>
      <c r="PRR22" s="2950"/>
      <c r="PRS22" s="2950"/>
      <c r="PRT22" s="2950"/>
      <c r="PRU22" s="2950"/>
      <c r="PRV22" s="2950"/>
      <c r="PRW22" s="2950"/>
      <c r="PRX22" s="2950"/>
      <c r="PRY22" s="2950"/>
      <c r="PRZ22" s="2950"/>
      <c r="PSA22" s="2950"/>
      <c r="PSB22" s="2950"/>
      <c r="PSC22" s="2950"/>
      <c r="PSD22" s="2950"/>
      <c r="PSE22" s="2950"/>
      <c r="PSF22" s="2950"/>
      <c r="PSG22" s="2950"/>
      <c r="PSH22" s="2950"/>
      <c r="PSI22" s="2950"/>
      <c r="PSJ22" s="2950"/>
      <c r="PSK22" s="2950"/>
      <c r="PSL22" s="2950"/>
      <c r="PSM22" s="2950"/>
      <c r="PSN22" s="2950"/>
      <c r="PSO22" s="2950"/>
      <c r="PSP22" s="2950"/>
      <c r="PSQ22" s="2950"/>
      <c r="PSR22" s="2950"/>
      <c r="PSS22" s="2950"/>
      <c r="PST22" s="2950"/>
      <c r="PSU22" s="2950"/>
      <c r="PSV22" s="2950"/>
      <c r="PSW22" s="2950"/>
      <c r="PSX22" s="2950"/>
      <c r="PSY22" s="2950"/>
      <c r="PSZ22" s="2950"/>
      <c r="PTA22" s="2950"/>
      <c r="PTB22" s="2950"/>
      <c r="PTC22" s="2950"/>
      <c r="PTD22" s="2950"/>
      <c r="PTE22" s="2950"/>
      <c r="PTF22" s="2950"/>
      <c r="PTG22" s="2950"/>
      <c r="PTH22" s="2950"/>
      <c r="PTI22" s="2950"/>
      <c r="PTJ22" s="2950"/>
      <c r="PTK22" s="2950"/>
      <c r="PTL22" s="2950"/>
      <c r="PTM22" s="2950"/>
      <c r="PTN22" s="2950"/>
      <c r="PTO22" s="2950"/>
      <c r="PTP22" s="2950"/>
      <c r="PTQ22" s="2950"/>
      <c r="PTR22" s="2950"/>
      <c r="PTS22" s="2950"/>
      <c r="PTT22" s="2950"/>
      <c r="PTU22" s="2950"/>
      <c r="PTV22" s="2950"/>
      <c r="PTW22" s="2950"/>
      <c r="PTX22" s="2950"/>
      <c r="PTY22" s="2950"/>
      <c r="PTZ22" s="2950"/>
      <c r="PUA22" s="2950"/>
      <c r="PUB22" s="2950"/>
      <c r="PUC22" s="2950"/>
      <c r="PUD22" s="2950"/>
      <c r="PUE22" s="2950"/>
      <c r="PUF22" s="2950"/>
      <c r="PUG22" s="2950"/>
      <c r="PUH22" s="2950"/>
      <c r="PUI22" s="2950"/>
      <c r="PUJ22" s="2950"/>
      <c r="PUK22" s="2950"/>
      <c r="PUL22" s="2950"/>
      <c r="PUM22" s="2950"/>
      <c r="PUN22" s="2950"/>
      <c r="PUO22" s="2950"/>
      <c r="PUP22" s="2950"/>
      <c r="PUQ22" s="2950"/>
      <c r="PUR22" s="2950"/>
      <c r="PUS22" s="2950"/>
      <c r="PUT22" s="2950"/>
      <c r="PUU22" s="2950"/>
      <c r="PUV22" s="2950"/>
      <c r="PUW22" s="2950"/>
      <c r="PUX22" s="2950"/>
      <c r="PUY22" s="2950"/>
      <c r="PUZ22" s="2950"/>
      <c r="PVA22" s="2950"/>
      <c r="PVB22" s="2950"/>
      <c r="PVC22" s="2950"/>
      <c r="PVD22" s="2950"/>
      <c r="PVE22" s="2950"/>
      <c r="PVF22" s="2950"/>
      <c r="PVG22" s="2950"/>
      <c r="PVH22" s="2950"/>
      <c r="PVI22" s="2950"/>
      <c r="PVJ22" s="2950"/>
      <c r="PVK22" s="2950"/>
      <c r="PVL22" s="2950"/>
      <c r="PVM22" s="2950"/>
      <c r="PVN22" s="2950"/>
      <c r="PVO22" s="2950"/>
      <c r="PVP22" s="2950"/>
      <c r="PVQ22" s="2950"/>
      <c r="PVR22" s="2950"/>
      <c r="PVS22" s="2950"/>
      <c r="PVT22" s="2950"/>
      <c r="PVU22" s="2950"/>
      <c r="PVV22" s="2950"/>
      <c r="PVW22" s="2950"/>
      <c r="PVX22" s="2950"/>
      <c r="PVY22" s="2950"/>
      <c r="PVZ22" s="2950"/>
      <c r="PWA22" s="2950"/>
      <c r="PWB22" s="2950"/>
      <c r="PWC22" s="2950"/>
      <c r="PWD22" s="2950"/>
      <c r="PWE22" s="2950"/>
      <c r="PWF22" s="2950"/>
      <c r="PWG22" s="2950"/>
      <c r="PWH22" s="2950"/>
      <c r="PWI22" s="2950"/>
      <c r="PWJ22" s="2950"/>
      <c r="PWK22" s="2950"/>
      <c r="PWL22" s="2950"/>
      <c r="PWM22" s="2950"/>
      <c r="PWN22" s="2950"/>
      <c r="PWO22" s="2950"/>
      <c r="PWP22" s="2950"/>
      <c r="PWQ22" s="2950"/>
      <c r="PWR22" s="2950"/>
      <c r="PWS22" s="2950"/>
      <c r="PWT22" s="2950"/>
      <c r="PWU22" s="2950"/>
      <c r="PWV22" s="2950"/>
      <c r="PWW22" s="2950"/>
      <c r="PWX22" s="2950"/>
      <c r="PWY22" s="2950"/>
      <c r="PWZ22" s="2950"/>
      <c r="PXA22" s="2950"/>
      <c r="PXB22" s="2950"/>
      <c r="PXC22" s="2950"/>
      <c r="PXD22" s="2950"/>
      <c r="PXE22" s="2950"/>
      <c r="PXF22" s="2950"/>
      <c r="PXG22" s="2950"/>
      <c r="PXH22" s="2950"/>
      <c r="PXI22" s="2950"/>
      <c r="PXJ22" s="2950"/>
      <c r="PXK22" s="2950"/>
      <c r="PXL22" s="2950"/>
      <c r="PXM22" s="2950"/>
      <c r="PXN22" s="2950"/>
      <c r="PXO22" s="2950"/>
      <c r="PXP22" s="2950"/>
      <c r="PXQ22" s="2950"/>
      <c r="PXR22" s="2950"/>
      <c r="PXS22" s="2950"/>
      <c r="PXT22" s="2950"/>
      <c r="PXU22" s="2950"/>
      <c r="PXV22" s="2950"/>
      <c r="PXW22" s="2950"/>
      <c r="PXX22" s="2950"/>
      <c r="PXY22" s="2950"/>
      <c r="PXZ22" s="2950"/>
      <c r="PYA22" s="2950"/>
      <c r="PYB22" s="2950"/>
      <c r="PYC22" s="2950"/>
      <c r="PYD22" s="2950"/>
      <c r="PYE22" s="2950"/>
      <c r="PYF22" s="2950"/>
      <c r="PYG22" s="2950"/>
      <c r="PYH22" s="2950"/>
      <c r="PYI22" s="2950"/>
      <c r="PYJ22" s="2950"/>
      <c r="PYK22" s="2950"/>
      <c r="PYL22" s="2950"/>
      <c r="PYM22" s="2950"/>
      <c r="PYN22" s="2950"/>
      <c r="PYO22" s="2950"/>
      <c r="PYP22" s="2950"/>
      <c r="PYQ22" s="2950"/>
      <c r="PYR22" s="2950"/>
      <c r="PYS22" s="2950"/>
      <c r="PYT22" s="2950"/>
      <c r="PYU22" s="2950"/>
      <c r="PYV22" s="2950"/>
      <c r="PYW22" s="2950"/>
      <c r="PYX22" s="2950"/>
      <c r="PYY22" s="2950"/>
      <c r="PYZ22" s="2950"/>
      <c r="PZA22" s="2950"/>
      <c r="PZB22" s="2950"/>
      <c r="PZC22" s="2950"/>
      <c r="PZD22" s="2950"/>
      <c r="PZE22" s="2950"/>
      <c r="PZF22" s="2950"/>
      <c r="PZG22" s="2950"/>
      <c r="PZH22" s="2950"/>
      <c r="PZI22" s="2950"/>
      <c r="PZJ22" s="2950"/>
      <c r="PZK22" s="2950"/>
      <c r="PZL22" s="2950"/>
      <c r="PZM22" s="2950"/>
      <c r="PZN22" s="2950"/>
      <c r="PZO22" s="2950"/>
      <c r="PZP22" s="2950"/>
      <c r="PZQ22" s="2950"/>
      <c r="PZR22" s="2950"/>
      <c r="PZS22" s="2950"/>
      <c r="PZT22" s="2950"/>
      <c r="PZU22" s="2950"/>
      <c r="PZV22" s="2950"/>
      <c r="PZW22" s="2950"/>
      <c r="PZX22" s="2950"/>
      <c r="PZY22" s="2950"/>
      <c r="PZZ22" s="2950"/>
      <c r="QAA22" s="2950"/>
      <c r="QAB22" s="2950"/>
      <c r="QAC22" s="2950"/>
      <c r="QAD22" s="2950"/>
      <c r="QAE22" s="2950"/>
      <c r="QAF22" s="2950"/>
      <c r="QAG22" s="2950"/>
      <c r="QAH22" s="2950"/>
      <c r="QAI22" s="2950"/>
      <c r="QAJ22" s="2950"/>
      <c r="QAK22" s="2950"/>
      <c r="QAL22" s="2950"/>
      <c r="QAM22" s="2950"/>
      <c r="QAN22" s="2950"/>
      <c r="QAO22" s="2950"/>
      <c r="QAP22" s="2950"/>
      <c r="QAQ22" s="2950"/>
      <c r="QAR22" s="2950"/>
      <c r="QAS22" s="2950"/>
      <c r="QAT22" s="2950"/>
      <c r="QAU22" s="2950"/>
      <c r="QAV22" s="2950"/>
      <c r="QAW22" s="2950"/>
      <c r="QAX22" s="2950"/>
      <c r="QAY22" s="2950"/>
      <c r="QAZ22" s="2950"/>
      <c r="QBA22" s="2950"/>
      <c r="QBB22" s="2950"/>
      <c r="QBC22" s="2950"/>
      <c r="QBD22" s="2950"/>
      <c r="QBE22" s="2950"/>
      <c r="QBF22" s="2950"/>
      <c r="QBG22" s="2950"/>
      <c r="QBH22" s="2950"/>
      <c r="QBI22" s="2950"/>
      <c r="QBJ22" s="2950"/>
      <c r="QBK22" s="2950"/>
      <c r="QBL22" s="2950"/>
      <c r="QBM22" s="2950"/>
      <c r="QBN22" s="2950"/>
      <c r="QBO22" s="2950"/>
      <c r="QBP22" s="2950"/>
      <c r="QBQ22" s="2950"/>
      <c r="QBR22" s="2950"/>
      <c r="QBS22" s="2950"/>
      <c r="QBT22" s="2950"/>
      <c r="QBU22" s="2950"/>
      <c r="QBV22" s="2950"/>
      <c r="QBW22" s="2950"/>
      <c r="QBX22" s="2950"/>
      <c r="QBY22" s="2950"/>
      <c r="QBZ22" s="2950"/>
      <c r="QCA22" s="2950"/>
      <c r="QCB22" s="2950"/>
      <c r="QCC22" s="2950"/>
      <c r="QCD22" s="2950"/>
      <c r="QCE22" s="2950"/>
      <c r="QCF22" s="2950"/>
      <c r="QCG22" s="2950"/>
      <c r="QCH22" s="2950"/>
      <c r="QCI22" s="2950"/>
      <c r="QCJ22" s="2950"/>
      <c r="QCK22" s="2950"/>
      <c r="QCL22" s="2950"/>
      <c r="QCM22" s="2950"/>
      <c r="QCN22" s="2950"/>
      <c r="QCO22" s="2950"/>
      <c r="QCP22" s="2950"/>
      <c r="QCQ22" s="2950"/>
      <c r="QCR22" s="2950"/>
      <c r="QCS22" s="2950"/>
      <c r="QCT22" s="2950"/>
      <c r="QCU22" s="2950"/>
      <c r="QCV22" s="2950"/>
      <c r="QCW22" s="2950"/>
      <c r="QCX22" s="2950"/>
      <c r="QCY22" s="2950"/>
      <c r="QCZ22" s="2950"/>
      <c r="QDA22" s="2950"/>
      <c r="QDB22" s="2950"/>
      <c r="QDC22" s="2950"/>
      <c r="QDD22" s="2950"/>
      <c r="QDE22" s="2950"/>
      <c r="QDF22" s="2950"/>
      <c r="QDG22" s="2950"/>
      <c r="QDH22" s="2950"/>
      <c r="QDI22" s="2950"/>
      <c r="QDJ22" s="2950"/>
      <c r="QDK22" s="2950"/>
      <c r="QDL22" s="2950"/>
      <c r="QDM22" s="2950"/>
      <c r="QDN22" s="2950"/>
      <c r="QDO22" s="2950"/>
      <c r="QDP22" s="2950"/>
      <c r="QDQ22" s="2950"/>
      <c r="QDR22" s="2950"/>
      <c r="QDS22" s="2950"/>
      <c r="QDT22" s="2950"/>
      <c r="QDU22" s="2950"/>
      <c r="QDV22" s="2950"/>
      <c r="QDW22" s="2950"/>
      <c r="QDX22" s="2950"/>
      <c r="QDY22" s="2950"/>
      <c r="QDZ22" s="2950"/>
      <c r="QEA22" s="2950"/>
      <c r="QEB22" s="2950"/>
      <c r="QEC22" s="2950"/>
      <c r="QED22" s="2950"/>
      <c r="QEE22" s="2950"/>
      <c r="QEF22" s="2950"/>
      <c r="QEG22" s="2950"/>
      <c r="QEH22" s="2950"/>
      <c r="QEI22" s="2950"/>
      <c r="QEJ22" s="2950"/>
      <c r="QEK22" s="2950"/>
      <c r="QEL22" s="2950"/>
      <c r="QEM22" s="2950"/>
      <c r="QEN22" s="2950"/>
      <c r="QEO22" s="2950"/>
      <c r="QEP22" s="2950"/>
      <c r="QEQ22" s="2950"/>
      <c r="QER22" s="2950"/>
      <c r="QES22" s="2950"/>
      <c r="QET22" s="2950"/>
      <c r="QEU22" s="2950"/>
      <c r="QEV22" s="2950"/>
      <c r="QEW22" s="2950"/>
      <c r="QEX22" s="2950"/>
      <c r="QEY22" s="2950"/>
      <c r="QEZ22" s="2950"/>
      <c r="QFA22" s="2950"/>
      <c r="QFB22" s="2950"/>
      <c r="QFC22" s="2950"/>
      <c r="QFD22" s="2950"/>
      <c r="QFE22" s="2950"/>
      <c r="QFF22" s="2950"/>
      <c r="QFG22" s="2950"/>
      <c r="QFH22" s="2950"/>
      <c r="QFI22" s="2950"/>
      <c r="QFJ22" s="2950"/>
      <c r="QFK22" s="2950"/>
      <c r="QFL22" s="2950"/>
      <c r="QFM22" s="2950"/>
      <c r="QFN22" s="2950"/>
      <c r="QFO22" s="2950"/>
      <c r="QFP22" s="2950"/>
      <c r="QFQ22" s="2950"/>
      <c r="QFR22" s="2950"/>
      <c r="QFS22" s="2950"/>
      <c r="QFT22" s="2950"/>
      <c r="QFU22" s="2950"/>
      <c r="QFV22" s="2950"/>
      <c r="QFW22" s="2950"/>
      <c r="QFX22" s="2950"/>
      <c r="QFY22" s="2950"/>
      <c r="QFZ22" s="2950"/>
      <c r="QGA22" s="2950"/>
      <c r="QGB22" s="2950"/>
      <c r="QGC22" s="2950"/>
      <c r="QGD22" s="2950"/>
      <c r="QGE22" s="2950"/>
      <c r="QGF22" s="2950"/>
      <c r="QGG22" s="2950"/>
      <c r="QGH22" s="2950"/>
      <c r="QGI22" s="2950"/>
      <c r="QGJ22" s="2950"/>
      <c r="QGK22" s="2950"/>
      <c r="QGL22" s="2950"/>
      <c r="QGM22" s="2950"/>
      <c r="QGN22" s="2950"/>
      <c r="QGO22" s="2950"/>
      <c r="QGP22" s="2950"/>
      <c r="QGQ22" s="2950"/>
      <c r="QGR22" s="2950"/>
      <c r="QGS22" s="2950"/>
      <c r="QGT22" s="2950"/>
      <c r="QGU22" s="2950"/>
      <c r="QGV22" s="2950"/>
      <c r="QGW22" s="2950"/>
      <c r="QGX22" s="2950"/>
      <c r="QGY22" s="2950"/>
      <c r="QGZ22" s="2950"/>
      <c r="QHA22" s="2950"/>
      <c r="QHB22" s="2950"/>
      <c r="QHC22" s="2950"/>
      <c r="QHD22" s="2950"/>
      <c r="QHE22" s="2950"/>
      <c r="QHF22" s="2950"/>
      <c r="QHG22" s="2950"/>
      <c r="QHH22" s="2950"/>
      <c r="QHI22" s="2950"/>
      <c r="QHJ22" s="2950"/>
      <c r="QHK22" s="2950"/>
      <c r="QHL22" s="2950"/>
      <c r="QHM22" s="2950"/>
      <c r="QHN22" s="2950"/>
      <c r="QHO22" s="2950"/>
      <c r="QHP22" s="2950"/>
      <c r="QHQ22" s="2950"/>
      <c r="QHR22" s="2950"/>
      <c r="QHS22" s="2950"/>
      <c r="QHT22" s="2950"/>
      <c r="QHU22" s="2950"/>
      <c r="QHV22" s="2950"/>
      <c r="QHW22" s="2950"/>
      <c r="QHX22" s="2950"/>
      <c r="QHY22" s="2950"/>
      <c r="QHZ22" s="2950"/>
      <c r="QIA22" s="2950"/>
      <c r="QIB22" s="2950"/>
      <c r="QIC22" s="2950"/>
      <c r="QID22" s="2950"/>
      <c r="QIE22" s="2950"/>
      <c r="QIF22" s="2950"/>
      <c r="QIG22" s="2950"/>
      <c r="QIH22" s="2950"/>
      <c r="QII22" s="2950"/>
      <c r="QIJ22" s="2950"/>
      <c r="QIK22" s="2950"/>
      <c r="QIL22" s="2950"/>
      <c r="QIM22" s="2950"/>
      <c r="QIN22" s="2950"/>
      <c r="QIO22" s="2950"/>
      <c r="QIP22" s="2950"/>
      <c r="QIQ22" s="2950"/>
      <c r="QIR22" s="2950"/>
      <c r="QIS22" s="2950"/>
      <c r="QIT22" s="2950"/>
      <c r="QIU22" s="2950"/>
      <c r="QIV22" s="2950"/>
      <c r="QIW22" s="2950"/>
      <c r="QIX22" s="2950"/>
      <c r="QIY22" s="2950"/>
      <c r="QIZ22" s="2950"/>
      <c r="QJA22" s="2950"/>
      <c r="QJB22" s="2950"/>
      <c r="QJC22" s="2950"/>
      <c r="QJD22" s="2950"/>
      <c r="QJE22" s="2950"/>
      <c r="QJF22" s="2950"/>
      <c r="QJG22" s="2950"/>
      <c r="QJH22" s="2950"/>
      <c r="QJI22" s="2950"/>
      <c r="QJJ22" s="2950"/>
      <c r="QJK22" s="2950"/>
      <c r="QJL22" s="2950"/>
      <c r="QJM22" s="2950"/>
      <c r="QJN22" s="2950"/>
      <c r="QJO22" s="2950"/>
      <c r="QJP22" s="2950"/>
      <c r="QJQ22" s="2950"/>
      <c r="QJR22" s="2950"/>
      <c r="QJS22" s="2950"/>
      <c r="QJT22" s="2950"/>
      <c r="QJU22" s="2950"/>
      <c r="QJV22" s="2950"/>
      <c r="QJW22" s="2950"/>
      <c r="QJX22" s="2950"/>
      <c r="QJY22" s="2950"/>
      <c r="QJZ22" s="2950"/>
      <c r="QKA22" s="2950"/>
      <c r="QKB22" s="2950"/>
      <c r="QKC22" s="2950"/>
      <c r="QKD22" s="2950"/>
      <c r="QKE22" s="2950"/>
      <c r="QKF22" s="2950"/>
      <c r="QKG22" s="2950"/>
      <c r="QKH22" s="2950"/>
      <c r="QKI22" s="2950"/>
      <c r="QKJ22" s="2950"/>
      <c r="QKK22" s="2950"/>
      <c r="QKL22" s="2950"/>
      <c r="QKM22" s="2950"/>
      <c r="QKN22" s="2950"/>
      <c r="QKO22" s="2950"/>
      <c r="QKP22" s="2950"/>
      <c r="QKQ22" s="2950"/>
      <c r="QKR22" s="2950"/>
      <c r="QKS22" s="2950"/>
      <c r="QKT22" s="2950"/>
      <c r="QKU22" s="2950"/>
      <c r="QKV22" s="2950"/>
      <c r="QKW22" s="2950"/>
      <c r="QKX22" s="2950"/>
      <c r="QKY22" s="2950"/>
      <c r="QKZ22" s="2950"/>
      <c r="QLA22" s="2950"/>
      <c r="QLB22" s="2950"/>
      <c r="QLC22" s="2950"/>
      <c r="QLD22" s="2950"/>
      <c r="QLE22" s="2950"/>
      <c r="QLF22" s="2950"/>
      <c r="QLG22" s="2950"/>
      <c r="QLH22" s="2950"/>
      <c r="QLI22" s="2950"/>
      <c r="QLJ22" s="2950"/>
      <c r="QLK22" s="2950"/>
      <c r="QLL22" s="2950"/>
      <c r="QLM22" s="2950"/>
      <c r="QLN22" s="2950"/>
      <c r="QLO22" s="2950"/>
      <c r="QLP22" s="2950"/>
      <c r="QLQ22" s="2950"/>
      <c r="QLR22" s="2950"/>
      <c r="QLS22" s="2950"/>
      <c r="QLT22" s="2950"/>
      <c r="QLU22" s="2950"/>
      <c r="QLV22" s="2950"/>
      <c r="QLW22" s="2950"/>
      <c r="QLX22" s="2950"/>
      <c r="QLY22" s="2950"/>
      <c r="QLZ22" s="2950"/>
      <c r="QMA22" s="2950"/>
      <c r="QMB22" s="2950"/>
      <c r="QMC22" s="2950"/>
      <c r="QMD22" s="2950"/>
      <c r="QME22" s="2950"/>
      <c r="QMF22" s="2950"/>
      <c r="QMG22" s="2950"/>
      <c r="QMH22" s="2950"/>
      <c r="QMI22" s="2950"/>
      <c r="QMJ22" s="2950"/>
      <c r="QMK22" s="2950"/>
      <c r="QML22" s="2950"/>
      <c r="QMM22" s="2950"/>
      <c r="QMN22" s="2950"/>
      <c r="QMO22" s="2950"/>
      <c r="QMP22" s="2950"/>
      <c r="QMQ22" s="2950"/>
      <c r="QMR22" s="2950"/>
      <c r="QMS22" s="2950"/>
      <c r="QMT22" s="2950"/>
      <c r="QMU22" s="2950"/>
      <c r="QMV22" s="2950"/>
      <c r="QMW22" s="2950"/>
      <c r="QMX22" s="2950"/>
      <c r="QMY22" s="2950"/>
      <c r="QMZ22" s="2950"/>
      <c r="QNA22" s="2950"/>
      <c r="QNB22" s="2950"/>
      <c r="QNC22" s="2950"/>
      <c r="QND22" s="2950"/>
      <c r="QNE22" s="2950"/>
      <c r="QNF22" s="2950"/>
      <c r="QNG22" s="2950"/>
      <c r="QNH22" s="2950"/>
      <c r="QNI22" s="2950"/>
      <c r="QNJ22" s="2950"/>
      <c r="QNK22" s="2950"/>
      <c r="QNL22" s="2950"/>
      <c r="QNM22" s="2950"/>
      <c r="QNN22" s="2950"/>
      <c r="QNO22" s="2950"/>
      <c r="QNP22" s="2950"/>
      <c r="QNQ22" s="2950"/>
      <c r="QNR22" s="2950"/>
      <c r="QNS22" s="2950"/>
      <c r="QNT22" s="2950"/>
      <c r="QNU22" s="2950"/>
      <c r="QNV22" s="2950"/>
      <c r="QNW22" s="2950"/>
      <c r="QNX22" s="2950"/>
      <c r="QNY22" s="2950"/>
      <c r="QNZ22" s="2950"/>
      <c r="QOA22" s="2950"/>
      <c r="QOB22" s="2950"/>
      <c r="QOC22" s="2950"/>
      <c r="QOD22" s="2950"/>
      <c r="QOE22" s="2950"/>
      <c r="QOF22" s="2950"/>
      <c r="QOG22" s="2950"/>
      <c r="QOH22" s="2950"/>
      <c r="QOI22" s="2950"/>
      <c r="QOJ22" s="2950"/>
      <c r="QOK22" s="2950"/>
      <c r="QOL22" s="2950"/>
      <c r="QOM22" s="2950"/>
      <c r="QON22" s="2950"/>
      <c r="QOO22" s="2950"/>
      <c r="QOP22" s="2950"/>
      <c r="QOQ22" s="2950"/>
      <c r="QOR22" s="2950"/>
      <c r="QOS22" s="2950"/>
      <c r="QOT22" s="2950"/>
      <c r="QOU22" s="2950"/>
      <c r="QOV22" s="2950"/>
      <c r="QOW22" s="2950"/>
      <c r="QOX22" s="2950"/>
      <c r="QOY22" s="2950"/>
      <c r="QOZ22" s="2950"/>
      <c r="QPA22" s="2950"/>
      <c r="QPB22" s="2950"/>
      <c r="QPC22" s="2950"/>
      <c r="QPD22" s="2950"/>
      <c r="QPE22" s="2950"/>
      <c r="QPF22" s="2950"/>
      <c r="QPG22" s="2950"/>
      <c r="QPH22" s="2950"/>
      <c r="QPI22" s="2950"/>
      <c r="QPJ22" s="2950"/>
      <c r="QPK22" s="2950"/>
      <c r="QPL22" s="2950"/>
      <c r="QPM22" s="2950"/>
      <c r="QPN22" s="2950"/>
      <c r="QPO22" s="2950"/>
      <c r="QPP22" s="2950"/>
      <c r="QPQ22" s="2950"/>
      <c r="QPR22" s="2950"/>
      <c r="QPS22" s="2950"/>
      <c r="QPT22" s="2950"/>
      <c r="QPU22" s="2950"/>
      <c r="QPV22" s="2950"/>
      <c r="QPW22" s="2950"/>
      <c r="QPX22" s="2950"/>
      <c r="QPY22" s="2950"/>
      <c r="QPZ22" s="2950"/>
      <c r="QQA22" s="2950"/>
      <c r="QQB22" s="2950"/>
      <c r="QQC22" s="2950"/>
      <c r="QQD22" s="2950"/>
      <c r="QQE22" s="2950"/>
      <c r="QQF22" s="2950"/>
      <c r="QQG22" s="2950"/>
      <c r="QQH22" s="2950"/>
      <c r="QQI22" s="2950"/>
      <c r="QQJ22" s="2950"/>
      <c r="QQK22" s="2950"/>
      <c r="QQL22" s="2950"/>
      <c r="QQM22" s="2950"/>
      <c r="QQN22" s="2950"/>
      <c r="QQO22" s="2950"/>
      <c r="QQP22" s="2950"/>
      <c r="QQQ22" s="2950"/>
      <c r="QQR22" s="2950"/>
      <c r="QQS22" s="2950"/>
      <c r="QQT22" s="2950"/>
      <c r="QQU22" s="2950"/>
      <c r="QQV22" s="2950"/>
      <c r="QQW22" s="2950"/>
      <c r="QQX22" s="2950"/>
      <c r="QQY22" s="2950"/>
      <c r="QQZ22" s="2950"/>
      <c r="QRA22" s="2950"/>
      <c r="QRB22" s="2950"/>
      <c r="QRC22" s="2950"/>
      <c r="QRD22" s="2950"/>
      <c r="QRE22" s="2950"/>
      <c r="QRF22" s="2950"/>
      <c r="QRG22" s="2950"/>
      <c r="QRH22" s="2950"/>
      <c r="QRI22" s="2950"/>
      <c r="QRJ22" s="2950"/>
      <c r="QRK22" s="2950"/>
      <c r="QRL22" s="2950"/>
      <c r="QRM22" s="2950"/>
      <c r="QRN22" s="2950"/>
      <c r="QRO22" s="2950"/>
      <c r="QRP22" s="2950"/>
      <c r="QRQ22" s="2950"/>
      <c r="QRR22" s="2950"/>
      <c r="QRS22" s="2950"/>
      <c r="QRT22" s="2950"/>
      <c r="QRU22" s="2950"/>
      <c r="QRV22" s="2950"/>
      <c r="QRW22" s="2950"/>
      <c r="QRX22" s="2950"/>
      <c r="QRY22" s="2950"/>
      <c r="QRZ22" s="2950"/>
      <c r="QSA22" s="2950"/>
      <c r="QSB22" s="2950"/>
      <c r="QSC22" s="2950"/>
      <c r="QSD22" s="2950"/>
      <c r="QSE22" s="2950"/>
      <c r="QSF22" s="2950"/>
      <c r="QSG22" s="2950"/>
      <c r="QSH22" s="2950"/>
      <c r="QSI22" s="2950"/>
      <c r="QSJ22" s="2950"/>
      <c r="QSK22" s="2950"/>
      <c r="QSL22" s="2950"/>
      <c r="QSM22" s="2950"/>
      <c r="QSN22" s="2950"/>
      <c r="QSO22" s="2950"/>
      <c r="QSP22" s="2950"/>
      <c r="QSQ22" s="2950"/>
      <c r="QSR22" s="2950"/>
      <c r="QSS22" s="2950"/>
      <c r="QST22" s="2950"/>
      <c r="QSU22" s="2950"/>
      <c r="QSV22" s="2950"/>
      <c r="QSW22" s="2950"/>
      <c r="QSX22" s="2950"/>
      <c r="QSY22" s="2950"/>
      <c r="QSZ22" s="2950"/>
      <c r="QTA22" s="2950"/>
      <c r="QTB22" s="2950"/>
      <c r="QTC22" s="2950"/>
      <c r="QTD22" s="2950"/>
      <c r="QTE22" s="2950"/>
      <c r="QTF22" s="2950"/>
      <c r="QTG22" s="2950"/>
      <c r="QTH22" s="2950"/>
      <c r="QTI22" s="2950"/>
      <c r="QTJ22" s="2950"/>
      <c r="QTK22" s="2950"/>
      <c r="QTL22" s="2950"/>
      <c r="QTM22" s="2950"/>
      <c r="QTN22" s="2950"/>
      <c r="QTO22" s="2950"/>
      <c r="QTP22" s="2950"/>
      <c r="QTQ22" s="2950"/>
      <c r="QTR22" s="2950"/>
      <c r="QTS22" s="2950"/>
      <c r="QTT22" s="2950"/>
      <c r="QTU22" s="2950"/>
      <c r="QTV22" s="2950"/>
      <c r="QTW22" s="2950"/>
      <c r="QTX22" s="2950"/>
      <c r="QTY22" s="2950"/>
      <c r="QTZ22" s="2950"/>
      <c r="QUA22" s="2950"/>
      <c r="QUB22" s="2950"/>
      <c r="QUC22" s="2950"/>
      <c r="QUD22" s="2950"/>
      <c r="QUE22" s="2950"/>
      <c r="QUF22" s="2950"/>
      <c r="QUG22" s="2950"/>
      <c r="QUH22" s="2950"/>
      <c r="QUI22" s="2950"/>
      <c r="QUJ22" s="2950"/>
      <c r="QUK22" s="2950"/>
      <c r="QUL22" s="2950"/>
      <c r="QUM22" s="2950"/>
      <c r="QUN22" s="2950"/>
      <c r="QUO22" s="2950"/>
      <c r="QUP22" s="2950"/>
      <c r="QUQ22" s="2950"/>
      <c r="QUR22" s="2950"/>
      <c r="QUS22" s="2950"/>
      <c r="QUT22" s="2950"/>
      <c r="QUU22" s="2950"/>
      <c r="QUV22" s="2950"/>
      <c r="QUW22" s="2950"/>
      <c r="QUX22" s="2950"/>
      <c r="QUY22" s="2950"/>
      <c r="QUZ22" s="2950"/>
      <c r="QVA22" s="2950"/>
      <c r="QVB22" s="2950"/>
      <c r="QVC22" s="2950"/>
      <c r="QVD22" s="2950"/>
      <c r="QVE22" s="2950"/>
      <c r="QVF22" s="2950"/>
      <c r="QVG22" s="2950"/>
      <c r="QVH22" s="2950"/>
      <c r="QVI22" s="2950"/>
      <c r="QVJ22" s="2950"/>
      <c r="QVK22" s="2950"/>
      <c r="QVL22" s="2950"/>
      <c r="QVM22" s="2950"/>
      <c r="QVN22" s="2950"/>
      <c r="QVO22" s="2950"/>
      <c r="QVP22" s="2950"/>
      <c r="QVQ22" s="2950"/>
      <c r="QVR22" s="2950"/>
      <c r="QVS22" s="2950"/>
      <c r="QVT22" s="2950"/>
      <c r="QVU22" s="2950"/>
      <c r="QVV22" s="2950"/>
      <c r="QVW22" s="2950"/>
      <c r="QVX22" s="2950"/>
      <c r="QVY22" s="2950"/>
      <c r="QVZ22" s="2950"/>
      <c r="QWA22" s="2950"/>
      <c r="QWB22" s="2950"/>
      <c r="QWC22" s="2950"/>
      <c r="QWD22" s="2950"/>
      <c r="QWE22" s="2950"/>
      <c r="QWF22" s="2950"/>
      <c r="QWG22" s="2950"/>
      <c r="QWH22" s="2950"/>
      <c r="QWI22" s="2950"/>
      <c r="QWJ22" s="2950"/>
      <c r="QWK22" s="2950"/>
      <c r="QWL22" s="2950"/>
      <c r="QWM22" s="2950"/>
      <c r="QWN22" s="2950"/>
      <c r="QWO22" s="2950"/>
      <c r="QWP22" s="2950"/>
      <c r="QWQ22" s="2950"/>
      <c r="QWR22" s="2950"/>
      <c r="QWS22" s="2950"/>
      <c r="QWT22" s="2950"/>
      <c r="QWU22" s="2950"/>
      <c r="QWV22" s="2950"/>
      <c r="QWW22" s="2950"/>
      <c r="QWX22" s="2950"/>
      <c r="QWY22" s="2950"/>
      <c r="QWZ22" s="2950"/>
      <c r="QXA22" s="2950"/>
      <c r="QXB22" s="2950"/>
      <c r="QXC22" s="2950"/>
      <c r="QXD22" s="2950"/>
      <c r="QXE22" s="2950"/>
      <c r="QXF22" s="2950"/>
      <c r="QXG22" s="2950"/>
      <c r="QXH22" s="2950"/>
      <c r="QXI22" s="2950"/>
      <c r="QXJ22" s="2950"/>
      <c r="QXK22" s="2950"/>
      <c r="QXL22" s="2950"/>
      <c r="QXM22" s="2950"/>
      <c r="QXN22" s="2950"/>
      <c r="QXO22" s="2950"/>
      <c r="QXP22" s="2950"/>
      <c r="QXQ22" s="2950"/>
      <c r="QXR22" s="2950"/>
      <c r="QXS22" s="2950"/>
      <c r="QXT22" s="2950"/>
      <c r="QXU22" s="2950"/>
      <c r="QXV22" s="2950"/>
      <c r="QXW22" s="2950"/>
      <c r="QXX22" s="2950"/>
      <c r="QXY22" s="2950"/>
      <c r="QXZ22" s="2950"/>
      <c r="QYA22" s="2950"/>
      <c r="QYB22" s="2950"/>
      <c r="QYC22" s="2950"/>
      <c r="QYD22" s="2950"/>
      <c r="QYE22" s="2950"/>
      <c r="QYF22" s="2950"/>
      <c r="QYG22" s="2950"/>
      <c r="QYH22" s="2950"/>
      <c r="QYI22" s="2950"/>
      <c r="QYJ22" s="2950"/>
      <c r="QYK22" s="2950"/>
      <c r="QYL22" s="2950"/>
      <c r="QYM22" s="2950"/>
      <c r="QYN22" s="2950"/>
      <c r="QYO22" s="2950"/>
      <c r="QYP22" s="2950"/>
      <c r="QYQ22" s="2950"/>
      <c r="QYR22" s="2950"/>
      <c r="QYS22" s="2950"/>
      <c r="QYT22" s="2950"/>
      <c r="QYU22" s="2950"/>
      <c r="QYV22" s="2950"/>
      <c r="QYW22" s="2950"/>
      <c r="QYX22" s="2950"/>
      <c r="QYY22" s="2950"/>
      <c r="QYZ22" s="2950"/>
      <c r="QZA22" s="2950"/>
      <c r="QZB22" s="2950"/>
      <c r="QZC22" s="2950"/>
      <c r="QZD22" s="2950"/>
      <c r="QZE22" s="2950"/>
      <c r="QZF22" s="2950"/>
      <c r="QZG22" s="2950"/>
      <c r="QZH22" s="2950"/>
      <c r="QZI22" s="2950"/>
      <c r="QZJ22" s="2950"/>
      <c r="QZK22" s="2950"/>
      <c r="QZL22" s="2950"/>
      <c r="QZM22" s="2950"/>
      <c r="QZN22" s="2950"/>
      <c r="QZO22" s="2950"/>
      <c r="QZP22" s="2950"/>
      <c r="QZQ22" s="2950"/>
      <c r="QZR22" s="2950"/>
      <c r="QZS22" s="2950"/>
      <c r="QZT22" s="2950"/>
      <c r="QZU22" s="2950"/>
      <c r="QZV22" s="2950"/>
      <c r="QZW22" s="2950"/>
      <c r="QZX22" s="2950"/>
      <c r="QZY22" s="2950"/>
      <c r="QZZ22" s="2950"/>
      <c r="RAA22" s="2950"/>
      <c r="RAB22" s="2950"/>
      <c r="RAC22" s="2950"/>
      <c r="RAD22" s="2950"/>
      <c r="RAE22" s="2950"/>
      <c r="RAF22" s="2950"/>
      <c r="RAG22" s="2950"/>
      <c r="RAH22" s="2950"/>
      <c r="RAI22" s="2950"/>
      <c r="RAJ22" s="2950"/>
      <c r="RAK22" s="2950"/>
      <c r="RAL22" s="2950"/>
      <c r="RAM22" s="2950"/>
      <c r="RAN22" s="2950"/>
      <c r="RAO22" s="2950"/>
      <c r="RAP22" s="2950"/>
      <c r="RAQ22" s="2950"/>
      <c r="RAR22" s="2950"/>
      <c r="RAS22" s="2950"/>
      <c r="RAT22" s="2950"/>
      <c r="RAU22" s="2950"/>
      <c r="RAV22" s="2950"/>
      <c r="RAW22" s="2950"/>
      <c r="RAX22" s="2950"/>
      <c r="RAY22" s="2950"/>
      <c r="RAZ22" s="2950"/>
      <c r="RBA22" s="2950"/>
      <c r="RBB22" s="2950"/>
      <c r="RBC22" s="2950"/>
      <c r="RBD22" s="2950"/>
      <c r="RBE22" s="2950"/>
      <c r="RBF22" s="2950"/>
      <c r="RBG22" s="2950"/>
      <c r="RBH22" s="2950"/>
      <c r="RBI22" s="2950"/>
      <c r="RBJ22" s="2950"/>
      <c r="RBK22" s="2950"/>
      <c r="RBL22" s="2950"/>
      <c r="RBM22" s="2950"/>
      <c r="RBN22" s="2950"/>
      <c r="RBO22" s="2950"/>
      <c r="RBP22" s="2950"/>
      <c r="RBQ22" s="2950"/>
      <c r="RBR22" s="2950"/>
      <c r="RBS22" s="2950"/>
      <c r="RBT22" s="2950"/>
      <c r="RBU22" s="2950"/>
      <c r="RBV22" s="2950"/>
      <c r="RBW22" s="2950"/>
      <c r="RBX22" s="2950"/>
      <c r="RBY22" s="2950"/>
      <c r="RBZ22" s="2950"/>
      <c r="RCA22" s="2950"/>
      <c r="RCB22" s="2950"/>
      <c r="RCC22" s="2950"/>
      <c r="RCD22" s="2950"/>
      <c r="RCE22" s="2950"/>
      <c r="RCF22" s="2950"/>
      <c r="RCG22" s="2950"/>
      <c r="RCH22" s="2950"/>
      <c r="RCI22" s="2950"/>
      <c r="RCJ22" s="2950"/>
      <c r="RCK22" s="2950"/>
      <c r="RCL22" s="2950"/>
      <c r="RCM22" s="2950"/>
      <c r="RCN22" s="2950"/>
      <c r="RCO22" s="2950"/>
      <c r="RCP22" s="2950"/>
      <c r="RCQ22" s="2950"/>
      <c r="RCR22" s="2950"/>
      <c r="RCS22" s="2950"/>
      <c r="RCT22" s="2950"/>
      <c r="RCU22" s="2950"/>
      <c r="RCV22" s="2950"/>
      <c r="RCW22" s="2950"/>
      <c r="RCX22" s="2950"/>
      <c r="RCY22" s="2950"/>
      <c r="RCZ22" s="2950"/>
      <c r="RDA22" s="2950"/>
      <c r="RDB22" s="2950"/>
      <c r="RDC22" s="2950"/>
      <c r="RDD22" s="2950"/>
      <c r="RDE22" s="2950"/>
      <c r="RDF22" s="2950"/>
      <c r="RDG22" s="2950"/>
      <c r="RDH22" s="2950"/>
      <c r="RDI22" s="2950"/>
      <c r="RDJ22" s="2950"/>
      <c r="RDK22" s="2950"/>
      <c r="RDL22" s="2950"/>
      <c r="RDM22" s="2950"/>
      <c r="RDN22" s="2950"/>
      <c r="RDO22" s="2950"/>
      <c r="RDP22" s="2950"/>
      <c r="RDQ22" s="2950"/>
      <c r="RDR22" s="2950"/>
      <c r="RDS22" s="2950"/>
      <c r="RDT22" s="2950"/>
      <c r="RDU22" s="2950"/>
      <c r="RDV22" s="2950"/>
      <c r="RDW22" s="2950"/>
      <c r="RDX22" s="2950"/>
      <c r="RDY22" s="2950"/>
      <c r="RDZ22" s="2950"/>
      <c r="REA22" s="2950"/>
      <c r="REB22" s="2950"/>
      <c r="REC22" s="2950"/>
      <c r="RED22" s="2950"/>
      <c r="REE22" s="2950"/>
      <c r="REF22" s="2950"/>
      <c r="REG22" s="2950"/>
      <c r="REH22" s="2950"/>
      <c r="REI22" s="2950"/>
      <c r="REJ22" s="2950"/>
      <c r="REK22" s="2950"/>
      <c r="REL22" s="2950"/>
      <c r="REM22" s="2950"/>
      <c r="REN22" s="2950"/>
      <c r="REO22" s="2950"/>
      <c r="REP22" s="2950"/>
      <c r="REQ22" s="2950"/>
      <c r="RER22" s="2950"/>
      <c r="RES22" s="2950"/>
      <c r="RET22" s="2950"/>
      <c r="REU22" s="2950"/>
      <c r="REV22" s="2950"/>
      <c r="REW22" s="2950"/>
      <c r="REX22" s="2950"/>
      <c r="REY22" s="2950"/>
      <c r="REZ22" s="2950"/>
      <c r="RFA22" s="2950"/>
      <c r="RFB22" s="2950"/>
      <c r="RFC22" s="2950"/>
      <c r="RFD22" s="2950"/>
      <c r="RFE22" s="2950"/>
      <c r="RFF22" s="2950"/>
      <c r="RFG22" s="2950"/>
      <c r="RFH22" s="2950"/>
      <c r="RFI22" s="2950"/>
      <c r="RFJ22" s="2950"/>
      <c r="RFK22" s="2950"/>
      <c r="RFL22" s="2950"/>
      <c r="RFM22" s="2950"/>
      <c r="RFN22" s="2950"/>
      <c r="RFO22" s="2950"/>
      <c r="RFP22" s="2950"/>
      <c r="RFQ22" s="2950"/>
      <c r="RFR22" s="2950"/>
      <c r="RFS22" s="2950"/>
      <c r="RFT22" s="2950"/>
      <c r="RFU22" s="2950"/>
      <c r="RFV22" s="2950"/>
      <c r="RFW22" s="2950"/>
      <c r="RFX22" s="2950"/>
      <c r="RFY22" s="2950"/>
      <c r="RFZ22" s="2950"/>
      <c r="RGA22" s="2950"/>
      <c r="RGB22" s="2950"/>
      <c r="RGC22" s="2950"/>
      <c r="RGD22" s="2950"/>
      <c r="RGE22" s="2950"/>
      <c r="RGF22" s="2950"/>
      <c r="RGG22" s="2950"/>
      <c r="RGH22" s="2950"/>
      <c r="RGI22" s="2950"/>
      <c r="RGJ22" s="2950"/>
      <c r="RGK22" s="2950"/>
      <c r="RGL22" s="2950"/>
      <c r="RGM22" s="2950"/>
      <c r="RGN22" s="2950"/>
      <c r="RGO22" s="2950"/>
      <c r="RGP22" s="2950"/>
      <c r="RGQ22" s="2950"/>
      <c r="RGR22" s="2950"/>
      <c r="RGS22" s="2950"/>
      <c r="RGT22" s="2950"/>
      <c r="RGU22" s="2950"/>
      <c r="RGV22" s="2950"/>
      <c r="RGW22" s="2950"/>
      <c r="RGX22" s="2950"/>
      <c r="RGY22" s="2950"/>
      <c r="RGZ22" s="2950"/>
      <c r="RHA22" s="2950"/>
      <c r="RHB22" s="2950"/>
      <c r="RHC22" s="2950"/>
      <c r="RHD22" s="2950"/>
      <c r="RHE22" s="2950"/>
      <c r="RHF22" s="2950"/>
      <c r="RHG22" s="2950"/>
      <c r="RHH22" s="2950"/>
      <c r="RHI22" s="2950"/>
      <c r="RHJ22" s="2950"/>
      <c r="RHK22" s="2950"/>
      <c r="RHL22" s="2950"/>
      <c r="RHM22" s="2950"/>
      <c r="RHN22" s="2950"/>
      <c r="RHO22" s="2950"/>
      <c r="RHP22" s="2950"/>
      <c r="RHQ22" s="2950"/>
      <c r="RHR22" s="2950"/>
      <c r="RHS22" s="2950"/>
      <c r="RHT22" s="2950"/>
      <c r="RHU22" s="2950"/>
      <c r="RHV22" s="2950"/>
      <c r="RHW22" s="2950"/>
      <c r="RHX22" s="2950"/>
      <c r="RHY22" s="2950"/>
      <c r="RHZ22" s="2950"/>
      <c r="RIA22" s="2950"/>
      <c r="RIB22" s="2950"/>
      <c r="RIC22" s="2950"/>
      <c r="RID22" s="2950"/>
      <c r="RIE22" s="2950"/>
      <c r="RIF22" s="2950"/>
      <c r="RIG22" s="2950"/>
      <c r="RIH22" s="2950"/>
      <c r="RII22" s="2950"/>
      <c r="RIJ22" s="2950"/>
      <c r="RIK22" s="2950"/>
      <c r="RIL22" s="2950"/>
      <c r="RIM22" s="2950"/>
      <c r="RIN22" s="2950"/>
      <c r="RIO22" s="2950"/>
      <c r="RIP22" s="2950"/>
      <c r="RIQ22" s="2950"/>
      <c r="RIR22" s="2950"/>
      <c r="RIS22" s="2950"/>
      <c r="RIT22" s="2950"/>
      <c r="RIU22" s="2950"/>
      <c r="RIV22" s="2950"/>
      <c r="RIW22" s="2950"/>
      <c r="RIX22" s="2950"/>
      <c r="RIY22" s="2950"/>
      <c r="RIZ22" s="2950"/>
      <c r="RJA22" s="2950"/>
      <c r="RJB22" s="2950"/>
      <c r="RJC22" s="2950"/>
      <c r="RJD22" s="2950"/>
      <c r="RJE22" s="2950"/>
      <c r="RJF22" s="2950"/>
      <c r="RJG22" s="2950"/>
      <c r="RJH22" s="2950"/>
      <c r="RJI22" s="2950"/>
      <c r="RJJ22" s="2950"/>
      <c r="RJK22" s="2950"/>
      <c r="RJL22" s="2950"/>
      <c r="RJM22" s="2950"/>
      <c r="RJN22" s="2950"/>
      <c r="RJO22" s="2950"/>
      <c r="RJP22" s="2950"/>
      <c r="RJQ22" s="2950"/>
      <c r="RJR22" s="2950"/>
      <c r="RJS22" s="2950"/>
      <c r="RJT22" s="2950"/>
      <c r="RJU22" s="2950"/>
      <c r="RJV22" s="2950"/>
      <c r="RJW22" s="2950"/>
      <c r="RJX22" s="2950"/>
      <c r="RJY22" s="2950"/>
      <c r="RJZ22" s="2950"/>
      <c r="RKA22" s="2950"/>
      <c r="RKB22" s="2950"/>
      <c r="RKC22" s="2950"/>
      <c r="RKD22" s="2950"/>
      <c r="RKE22" s="2950"/>
      <c r="RKF22" s="2950"/>
      <c r="RKG22" s="2950"/>
      <c r="RKH22" s="2950"/>
      <c r="RKI22" s="2950"/>
      <c r="RKJ22" s="2950"/>
      <c r="RKK22" s="2950"/>
      <c r="RKL22" s="2950"/>
      <c r="RKM22" s="2950"/>
      <c r="RKN22" s="2950"/>
      <c r="RKO22" s="2950"/>
      <c r="RKP22" s="2950"/>
      <c r="RKQ22" s="2950"/>
      <c r="RKR22" s="2950"/>
      <c r="RKS22" s="2950"/>
      <c r="RKT22" s="2950"/>
      <c r="RKU22" s="2950"/>
      <c r="RKV22" s="2950"/>
      <c r="RKW22" s="2950"/>
      <c r="RKX22" s="2950"/>
      <c r="RKY22" s="2950"/>
      <c r="RKZ22" s="2950"/>
      <c r="RLA22" s="2950"/>
      <c r="RLB22" s="2950"/>
      <c r="RLC22" s="2950"/>
      <c r="RLD22" s="2950"/>
      <c r="RLE22" s="2950"/>
      <c r="RLF22" s="2950"/>
      <c r="RLG22" s="2950"/>
      <c r="RLH22" s="2950"/>
      <c r="RLI22" s="2950"/>
      <c r="RLJ22" s="2950"/>
      <c r="RLK22" s="2950"/>
      <c r="RLL22" s="2950"/>
      <c r="RLM22" s="2950"/>
      <c r="RLN22" s="2950"/>
      <c r="RLO22" s="2950"/>
      <c r="RLP22" s="2950"/>
      <c r="RLQ22" s="2950"/>
      <c r="RLR22" s="2950"/>
      <c r="RLS22" s="2950"/>
      <c r="RLT22" s="2950"/>
      <c r="RLU22" s="2950"/>
      <c r="RLV22" s="2950"/>
      <c r="RLW22" s="2950"/>
      <c r="RLX22" s="2950"/>
      <c r="RLY22" s="2950"/>
      <c r="RLZ22" s="2950"/>
      <c r="RMA22" s="2950"/>
      <c r="RMB22" s="2950"/>
      <c r="RMC22" s="2950"/>
      <c r="RMD22" s="2950"/>
      <c r="RME22" s="2950"/>
      <c r="RMF22" s="2950"/>
      <c r="RMG22" s="2950"/>
      <c r="RMH22" s="2950"/>
      <c r="RMI22" s="2950"/>
      <c r="RMJ22" s="2950"/>
      <c r="RMK22" s="2950"/>
      <c r="RML22" s="2950"/>
      <c r="RMM22" s="2950"/>
      <c r="RMN22" s="2950"/>
      <c r="RMO22" s="2950"/>
      <c r="RMP22" s="2950"/>
      <c r="RMQ22" s="2950"/>
      <c r="RMR22" s="2950"/>
      <c r="RMS22" s="2950"/>
      <c r="RMT22" s="2950"/>
      <c r="RMU22" s="2950"/>
      <c r="RMV22" s="2950"/>
      <c r="RMW22" s="2950"/>
      <c r="RMX22" s="2950"/>
      <c r="RMY22" s="2950"/>
      <c r="RMZ22" s="2950"/>
      <c r="RNA22" s="2950"/>
      <c r="RNB22" s="2950"/>
      <c r="RNC22" s="2950"/>
      <c r="RND22" s="2950"/>
      <c r="RNE22" s="2950"/>
      <c r="RNF22" s="2950"/>
      <c r="RNG22" s="2950"/>
      <c r="RNH22" s="2950"/>
      <c r="RNI22" s="2950"/>
      <c r="RNJ22" s="2950"/>
      <c r="RNK22" s="2950"/>
      <c r="RNL22" s="2950"/>
      <c r="RNM22" s="2950"/>
      <c r="RNN22" s="2950"/>
      <c r="RNO22" s="2950"/>
      <c r="RNP22" s="2950"/>
      <c r="RNQ22" s="2950"/>
      <c r="RNR22" s="2950"/>
      <c r="RNS22" s="2950"/>
      <c r="RNT22" s="2950"/>
      <c r="RNU22" s="2950"/>
      <c r="RNV22" s="2950"/>
      <c r="RNW22" s="2950"/>
      <c r="RNX22" s="2950"/>
      <c r="RNY22" s="2950"/>
      <c r="RNZ22" s="2950"/>
      <c r="ROA22" s="2950"/>
      <c r="ROB22" s="2950"/>
      <c r="ROC22" s="2950"/>
      <c r="ROD22" s="2950"/>
      <c r="ROE22" s="2950"/>
      <c r="ROF22" s="2950"/>
      <c r="ROG22" s="2950"/>
      <c r="ROH22" s="2950"/>
      <c r="ROI22" s="2950"/>
      <c r="ROJ22" s="2950"/>
      <c r="ROK22" s="2950"/>
      <c r="ROL22" s="2950"/>
      <c r="ROM22" s="2950"/>
      <c r="RON22" s="2950"/>
      <c r="ROO22" s="2950"/>
      <c r="ROP22" s="2950"/>
      <c r="ROQ22" s="2950"/>
      <c r="ROR22" s="2950"/>
      <c r="ROS22" s="2950"/>
      <c r="ROT22" s="2950"/>
      <c r="ROU22" s="2950"/>
      <c r="ROV22" s="2950"/>
      <c r="ROW22" s="2950"/>
      <c r="ROX22" s="2950"/>
      <c r="ROY22" s="2950"/>
      <c r="ROZ22" s="2950"/>
      <c r="RPA22" s="2950"/>
      <c r="RPB22" s="2950"/>
      <c r="RPC22" s="2950"/>
      <c r="RPD22" s="2950"/>
      <c r="RPE22" s="2950"/>
      <c r="RPF22" s="2950"/>
      <c r="RPG22" s="2950"/>
      <c r="RPH22" s="2950"/>
      <c r="RPI22" s="2950"/>
      <c r="RPJ22" s="2950"/>
      <c r="RPK22" s="2950"/>
      <c r="RPL22" s="2950"/>
      <c r="RPM22" s="2950"/>
      <c r="RPN22" s="2950"/>
      <c r="RPO22" s="2950"/>
      <c r="RPP22" s="2950"/>
      <c r="RPQ22" s="2950"/>
      <c r="RPR22" s="2950"/>
      <c r="RPS22" s="2950"/>
      <c r="RPT22" s="2950"/>
      <c r="RPU22" s="2950"/>
      <c r="RPV22" s="2950"/>
      <c r="RPW22" s="2950"/>
      <c r="RPX22" s="2950"/>
      <c r="RPY22" s="2950"/>
      <c r="RPZ22" s="2950"/>
      <c r="RQA22" s="2950"/>
      <c r="RQB22" s="2950"/>
      <c r="RQC22" s="2950"/>
      <c r="RQD22" s="2950"/>
      <c r="RQE22" s="2950"/>
      <c r="RQF22" s="2950"/>
      <c r="RQG22" s="2950"/>
      <c r="RQH22" s="2950"/>
      <c r="RQI22" s="2950"/>
      <c r="RQJ22" s="2950"/>
      <c r="RQK22" s="2950"/>
      <c r="RQL22" s="2950"/>
      <c r="RQM22" s="2950"/>
      <c r="RQN22" s="2950"/>
      <c r="RQO22" s="2950"/>
      <c r="RQP22" s="2950"/>
      <c r="RQQ22" s="2950"/>
      <c r="RQR22" s="2950"/>
      <c r="RQS22" s="2950"/>
      <c r="RQT22" s="2950"/>
      <c r="RQU22" s="2950"/>
      <c r="RQV22" s="2950"/>
      <c r="RQW22" s="2950"/>
      <c r="RQX22" s="2950"/>
      <c r="RQY22" s="2950"/>
      <c r="RQZ22" s="2950"/>
      <c r="RRA22" s="2950"/>
      <c r="RRB22" s="2950"/>
      <c r="RRC22" s="2950"/>
      <c r="RRD22" s="2950"/>
      <c r="RRE22" s="2950"/>
      <c r="RRF22" s="2950"/>
      <c r="RRG22" s="2950"/>
      <c r="RRH22" s="2950"/>
      <c r="RRI22" s="2950"/>
      <c r="RRJ22" s="2950"/>
      <c r="RRK22" s="2950"/>
      <c r="RRL22" s="2950"/>
      <c r="RRM22" s="2950"/>
      <c r="RRN22" s="2950"/>
      <c r="RRO22" s="2950"/>
      <c r="RRP22" s="2950"/>
      <c r="RRQ22" s="2950"/>
      <c r="RRR22" s="2950"/>
      <c r="RRS22" s="2950"/>
      <c r="RRT22" s="2950"/>
      <c r="RRU22" s="2950"/>
      <c r="RRV22" s="2950"/>
      <c r="RRW22" s="2950"/>
      <c r="RRX22" s="2950"/>
      <c r="RRY22" s="2950"/>
      <c r="RRZ22" s="2950"/>
      <c r="RSA22" s="2950"/>
      <c r="RSB22" s="2950"/>
      <c r="RSC22" s="2950"/>
      <c r="RSD22" s="2950"/>
      <c r="RSE22" s="2950"/>
      <c r="RSF22" s="2950"/>
      <c r="RSG22" s="2950"/>
      <c r="RSH22" s="2950"/>
      <c r="RSI22" s="2950"/>
      <c r="RSJ22" s="2950"/>
      <c r="RSK22" s="2950"/>
      <c r="RSL22" s="2950"/>
      <c r="RSM22" s="2950"/>
      <c r="RSN22" s="2950"/>
      <c r="RSO22" s="2950"/>
      <c r="RSP22" s="2950"/>
      <c r="RSQ22" s="2950"/>
      <c r="RSR22" s="2950"/>
      <c r="RSS22" s="2950"/>
      <c r="RST22" s="2950"/>
      <c r="RSU22" s="2950"/>
      <c r="RSV22" s="2950"/>
      <c r="RSW22" s="2950"/>
      <c r="RSX22" s="2950"/>
      <c r="RSY22" s="2950"/>
      <c r="RSZ22" s="2950"/>
      <c r="RTA22" s="2950"/>
      <c r="RTB22" s="2950"/>
      <c r="RTC22" s="2950"/>
      <c r="RTD22" s="2950"/>
      <c r="RTE22" s="2950"/>
      <c r="RTF22" s="2950"/>
      <c r="RTG22" s="2950"/>
      <c r="RTH22" s="2950"/>
      <c r="RTI22" s="2950"/>
      <c r="RTJ22" s="2950"/>
      <c r="RTK22" s="2950"/>
      <c r="RTL22" s="2950"/>
      <c r="RTM22" s="2950"/>
      <c r="RTN22" s="2950"/>
      <c r="RTO22" s="2950"/>
      <c r="RTP22" s="2950"/>
      <c r="RTQ22" s="2950"/>
      <c r="RTR22" s="2950"/>
      <c r="RTS22" s="2950"/>
      <c r="RTT22" s="2950"/>
      <c r="RTU22" s="2950"/>
      <c r="RTV22" s="2950"/>
      <c r="RTW22" s="2950"/>
      <c r="RTX22" s="2950"/>
      <c r="RTY22" s="2950"/>
      <c r="RTZ22" s="2950"/>
      <c r="RUA22" s="2950"/>
      <c r="RUB22" s="2950"/>
      <c r="RUC22" s="2950"/>
      <c r="RUD22" s="2950"/>
      <c r="RUE22" s="2950"/>
      <c r="RUF22" s="2950"/>
      <c r="RUG22" s="2950"/>
      <c r="RUH22" s="2950"/>
      <c r="RUI22" s="2950"/>
      <c r="RUJ22" s="2950"/>
      <c r="RUK22" s="2950"/>
      <c r="RUL22" s="2950"/>
      <c r="RUM22" s="2950"/>
      <c r="RUN22" s="2950"/>
      <c r="RUO22" s="2950"/>
      <c r="RUP22" s="2950"/>
      <c r="RUQ22" s="2950"/>
      <c r="RUR22" s="2950"/>
      <c r="RUS22" s="2950"/>
      <c r="RUT22" s="2950"/>
      <c r="RUU22" s="2950"/>
      <c r="RUV22" s="2950"/>
      <c r="RUW22" s="2950"/>
      <c r="RUX22" s="2950"/>
      <c r="RUY22" s="2950"/>
      <c r="RUZ22" s="2950"/>
      <c r="RVA22" s="2950"/>
      <c r="RVB22" s="2950"/>
      <c r="RVC22" s="2950"/>
      <c r="RVD22" s="2950"/>
      <c r="RVE22" s="2950"/>
      <c r="RVF22" s="2950"/>
      <c r="RVG22" s="2950"/>
      <c r="RVH22" s="2950"/>
      <c r="RVI22" s="2950"/>
      <c r="RVJ22" s="2950"/>
      <c r="RVK22" s="2950"/>
      <c r="RVL22" s="2950"/>
      <c r="RVM22" s="2950"/>
      <c r="RVN22" s="2950"/>
      <c r="RVO22" s="2950"/>
      <c r="RVP22" s="2950"/>
      <c r="RVQ22" s="2950"/>
      <c r="RVR22" s="2950"/>
      <c r="RVS22" s="2950"/>
      <c r="RVT22" s="2950"/>
      <c r="RVU22" s="2950"/>
      <c r="RVV22" s="2950"/>
      <c r="RVW22" s="2950"/>
      <c r="RVX22" s="2950"/>
      <c r="RVY22" s="2950"/>
      <c r="RVZ22" s="2950"/>
      <c r="RWA22" s="2950"/>
      <c r="RWB22" s="2950"/>
      <c r="RWC22" s="2950"/>
      <c r="RWD22" s="2950"/>
      <c r="RWE22" s="2950"/>
      <c r="RWF22" s="2950"/>
      <c r="RWG22" s="2950"/>
      <c r="RWH22" s="2950"/>
      <c r="RWI22" s="2950"/>
      <c r="RWJ22" s="2950"/>
      <c r="RWK22" s="2950"/>
      <c r="RWL22" s="2950"/>
      <c r="RWM22" s="2950"/>
      <c r="RWN22" s="2950"/>
      <c r="RWO22" s="2950"/>
      <c r="RWP22" s="2950"/>
      <c r="RWQ22" s="2950"/>
      <c r="RWR22" s="2950"/>
      <c r="RWS22" s="2950"/>
      <c r="RWT22" s="2950"/>
      <c r="RWU22" s="2950"/>
      <c r="RWV22" s="2950"/>
      <c r="RWW22" s="2950"/>
      <c r="RWX22" s="2950"/>
      <c r="RWY22" s="2950"/>
      <c r="RWZ22" s="2950"/>
      <c r="RXA22" s="2950"/>
      <c r="RXB22" s="2950"/>
      <c r="RXC22" s="2950"/>
      <c r="RXD22" s="2950"/>
      <c r="RXE22" s="2950"/>
      <c r="RXF22" s="2950"/>
      <c r="RXG22" s="2950"/>
      <c r="RXH22" s="2950"/>
      <c r="RXI22" s="2950"/>
      <c r="RXJ22" s="2950"/>
      <c r="RXK22" s="2950"/>
      <c r="RXL22" s="2950"/>
      <c r="RXM22" s="2950"/>
      <c r="RXN22" s="2950"/>
      <c r="RXO22" s="2950"/>
      <c r="RXP22" s="2950"/>
      <c r="RXQ22" s="2950"/>
      <c r="RXR22" s="2950"/>
      <c r="RXS22" s="2950"/>
      <c r="RXT22" s="2950"/>
      <c r="RXU22" s="2950"/>
      <c r="RXV22" s="2950"/>
      <c r="RXW22" s="2950"/>
      <c r="RXX22" s="2950"/>
      <c r="RXY22" s="2950"/>
      <c r="RXZ22" s="2950"/>
      <c r="RYA22" s="2950"/>
      <c r="RYB22" s="2950"/>
      <c r="RYC22" s="2950"/>
      <c r="RYD22" s="2950"/>
      <c r="RYE22" s="2950"/>
      <c r="RYF22" s="2950"/>
      <c r="RYG22" s="2950"/>
      <c r="RYH22" s="2950"/>
      <c r="RYI22" s="2950"/>
      <c r="RYJ22" s="2950"/>
      <c r="RYK22" s="2950"/>
      <c r="RYL22" s="2950"/>
      <c r="RYM22" s="2950"/>
      <c r="RYN22" s="2950"/>
      <c r="RYO22" s="2950"/>
      <c r="RYP22" s="2950"/>
      <c r="RYQ22" s="2950"/>
      <c r="RYR22" s="2950"/>
      <c r="RYS22" s="2950"/>
      <c r="RYT22" s="2950"/>
      <c r="RYU22" s="2950"/>
      <c r="RYV22" s="2950"/>
      <c r="RYW22" s="2950"/>
      <c r="RYX22" s="2950"/>
      <c r="RYY22" s="2950"/>
      <c r="RYZ22" s="2950"/>
      <c r="RZA22" s="2950"/>
      <c r="RZB22" s="2950"/>
      <c r="RZC22" s="2950"/>
      <c r="RZD22" s="2950"/>
      <c r="RZE22" s="2950"/>
      <c r="RZF22" s="2950"/>
      <c r="RZG22" s="2950"/>
      <c r="RZH22" s="2950"/>
      <c r="RZI22" s="2950"/>
      <c r="RZJ22" s="2950"/>
      <c r="RZK22" s="2950"/>
      <c r="RZL22" s="2950"/>
      <c r="RZM22" s="2950"/>
      <c r="RZN22" s="2950"/>
      <c r="RZO22" s="2950"/>
      <c r="RZP22" s="2950"/>
      <c r="RZQ22" s="2950"/>
      <c r="RZR22" s="2950"/>
      <c r="RZS22" s="2950"/>
      <c r="RZT22" s="2950"/>
      <c r="RZU22" s="2950"/>
      <c r="RZV22" s="2950"/>
      <c r="RZW22" s="2950"/>
      <c r="RZX22" s="2950"/>
      <c r="RZY22" s="2950"/>
      <c r="RZZ22" s="2950"/>
      <c r="SAA22" s="2950"/>
      <c r="SAB22" s="2950"/>
      <c r="SAC22" s="2950"/>
      <c r="SAD22" s="2950"/>
      <c r="SAE22" s="2950"/>
      <c r="SAF22" s="2950"/>
      <c r="SAG22" s="2950"/>
      <c r="SAH22" s="2950"/>
      <c r="SAI22" s="2950"/>
      <c r="SAJ22" s="2950"/>
      <c r="SAK22" s="2950"/>
      <c r="SAL22" s="2950"/>
      <c r="SAM22" s="2950"/>
      <c r="SAN22" s="2950"/>
      <c r="SAO22" s="2950"/>
      <c r="SAP22" s="2950"/>
      <c r="SAQ22" s="2950"/>
      <c r="SAR22" s="2950"/>
      <c r="SAS22" s="2950"/>
      <c r="SAT22" s="2950"/>
      <c r="SAU22" s="2950"/>
      <c r="SAV22" s="2950"/>
      <c r="SAW22" s="2950"/>
      <c r="SAX22" s="2950"/>
      <c r="SAY22" s="2950"/>
      <c r="SAZ22" s="2950"/>
      <c r="SBA22" s="2950"/>
      <c r="SBB22" s="2950"/>
      <c r="SBC22" s="2950"/>
      <c r="SBD22" s="2950"/>
      <c r="SBE22" s="2950"/>
      <c r="SBF22" s="2950"/>
      <c r="SBG22" s="2950"/>
      <c r="SBH22" s="2950"/>
      <c r="SBI22" s="2950"/>
      <c r="SBJ22" s="2950"/>
      <c r="SBK22" s="2950"/>
      <c r="SBL22" s="2950"/>
      <c r="SBM22" s="2950"/>
      <c r="SBN22" s="2950"/>
      <c r="SBO22" s="2950"/>
      <c r="SBP22" s="2950"/>
      <c r="SBQ22" s="2950"/>
      <c r="SBR22" s="2950"/>
      <c r="SBS22" s="2950"/>
      <c r="SBT22" s="2950"/>
      <c r="SBU22" s="2950"/>
      <c r="SBV22" s="2950"/>
      <c r="SBW22" s="2950"/>
      <c r="SBX22" s="2950"/>
      <c r="SBY22" s="2950"/>
      <c r="SBZ22" s="2950"/>
      <c r="SCA22" s="2950"/>
      <c r="SCB22" s="2950"/>
      <c r="SCC22" s="2950"/>
      <c r="SCD22" s="2950"/>
      <c r="SCE22" s="2950"/>
      <c r="SCF22" s="2950"/>
      <c r="SCG22" s="2950"/>
      <c r="SCH22" s="2950"/>
      <c r="SCI22" s="2950"/>
      <c r="SCJ22" s="2950"/>
      <c r="SCK22" s="2950"/>
      <c r="SCL22" s="2950"/>
      <c r="SCM22" s="2950"/>
      <c r="SCN22" s="2950"/>
      <c r="SCO22" s="2950"/>
      <c r="SCP22" s="2950"/>
      <c r="SCQ22" s="2950"/>
      <c r="SCR22" s="2950"/>
      <c r="SCS22" s="2950"/>
      <c r="SCT22" s="2950"/>
      <c r="SCU22" s="2950"/>
      <c r="SCV22" s="2950"/>
      <c r="SCW22" s="2950"/>
      <c r="SCX22" s="2950"/>
      <c r="SCY22" s="2950"/>
      <c r="SCZ22" s="2950"/>
      <c r="SDA22" s="2950"/>
      <c r="SDB22" s="2950"/>
      <c r="SDC22" s="2950"/>
      <c r="SDD22" s="2950"/>
      <c r="SDE22" s="2950"/>
      <c r="SDF22" s="2950"/>
      <c r="SDG22" s="2950"/>
      <c r="SDH22" s="2950"/>
      <c r="SDI22" s="2950"/>
      <c r="SDJ22" s="2950"/>
      <c r="SDK22" s="2950"/>
      <c r="SDL22" s="2950"/>
      <c r="SDM22" s="2950"/>
      <c r="SDN22" s="2950"/>
      <c r="SDO22" s="2950"/>
      <c r="SDP22" s="2950"/>
      <c r="SDQ22" s="2950"/>
      <c r="SDR22" s="2950"/>
      <c r="SDS22" s="2950"/>
      <c r="SDT22" s="2950"/>
      <c r="SDU22" s="2950"/>
      <c r="SDV22" s="2950"/>
      <c r="SDW22" s="2950"/>
      <c r="SDX22" s="2950"/>
      <c r="SDY22" s="2950"/>
      <c r="SDZ22" s="2950"/>
      <c r="SEA22" s="2950"/>
      <c r="SEB22" s="2950"/>
      <c r="SEC22" s="2950"/>
      <c r="SED22" s="2950"/>
      <c r="SEE22" s="2950"/>
      <c r="SEF22" s="2950"/>
      <c r="SEG22" s="2950"/>
      <c r="SEH22" s="2950"/>
      <c r="SEI22" s="2950"/>
      <c r="SEJ22" s="2950"/>
      <c r="SEK22" s="2950"/>
      <c r="SEL22" s="2950"/>
      <c r="SEM22" s="2950"/>
      <c r="SEN22" s="2950"/>
      <c r="SEO22" s="2950"/>
      <c r="SEP22" s="2950"/>
      <c r="SEQ22" s="2950"/>
      <c r="SER22" s="2950"/>
      <c r="SES22" s="2950"/>
      <c r="SET22" s="2950"/>
      <c r="SEU22" s="2950"/>
      <c r="SEV22" s="2950"/>
      <c r="SEW22" s="2950"/>
      <c r="SEX22" s="2950"/>
      <c r="SEY22" s="2950"/>
      <c r="SEZ22" s="2950"/>
      <c r="SFA22" s="2950"/>
      <c r="SFB22" s="2950"/>
      <c r="SFC22" s="2950"/>
      <c r="SFD22" s="2950"/>
      <c r="SFE22" s="2950"/>
      <c r="SFF22" s="2950"/>
      <c r="SFG22" s="2950"/>
      <c r="SFH22" s="2950"/>
      <c r="SFI22" s="2950"/>
      <c r="SFJ22" s="2950"/>
      <c r="SFK22" s="2950"/>
      <c r="SFL22" s="2950"/>
      <c r="SFM22" s="2950"/>
      <c r="SFN22" s="2950"/>
      <c r="SFO22" s="2950"/>
      <c r="SFP22" s="2950"/>
      <c r="SFQ22" s="2950"/>
      <c r="SFR22" s="2950"/>
      <c r="SFS22" s="2950"/>
      <c r="SFT22" s="2950"/>
      <c r="SFU22" s="2950"/>
      <c r="SFV22" s="2950"/>
      <c r="SFW22" s="2950"/>
      <c r="SFX22" s="2950"/>
      <c r="SFY22" s="2950"/>
      <c r="SFZ22" s="2950"/>
      <c r="SGA22" s="2950"/>
      <c r="SGB22" s="2950"/>
      <c r="SGC22" s="2950"/>
      <c r="SGD22" s="2950"/>
      <c r="SGE22" s="2950"/>
      <c r="SGF22" s="2950"/>
      <c r="SGG22" s="2950"/>
      <c r="SGH22" s="2950"/>
      <c r="SGI22" s="2950"/>
      <c r="SGJ22" s="2950"/>
      <c r="SGK22" s="2950"/>
      <c r="SGL22" s="2950"/>
      <c r="SGM22" s="2950"/>
      <c r="SGN22" s="2950"/>
      <c r="SGO22" s="2950"/>
      <c r="SGP22" s="2950"/>
      <c r="SGQ22" s="2950"/>
      <c r="SGR22" s="2950"/>
      <c r="SGS22" s="2950"/>
      <c r="SGT22" s="2950"/>
      <c r="SGU22" s="2950"/>
      <c r="SGV22" s="2950"/>
      <c r="SGW22" s="2950"/>
      <c r="SGX22" s="2950"/>
      <c r="SGY22" s="2950"/>
      <c r="SGZ22" s="2950"/>
      <c r="SHA22" s="2950"/>
      <c r="SHB22" s="2950"/>
      <c r="SHC22" s="2950"/>
      <c r="SHD22" s="2950"/>
      <c r="SHE22" s="2950"/>
      <c r="SHF22" s="2950"/>
      <c r="SHG22" s="2950"/>
      <c r="SHH22" s="2950"/>
      <c r="SHI22" s="2950"/>
      <c r="SHJ22" s="2950"/>
      <c r="SHK22" s="2950"/>
      <c r="SHL22" s="2950"/>
      <c r="SHM22" s="2950"/>
      <c r="SHN22" s="2950"/>
      <c r="SHO22" s="2950"/>
      <c r="SHP22" s="2950"/>
      <c r="SHQ22" s="2950"/>
      <c r="SHR22" s="2950"/>
      <c r="SHS22" s="2950"/>
      <c r="SHT22" s="2950"/>
      <c r="SHU22" s="2950"/>
      <c r="SHV22" s="2950"/>
      <c r="SHW22" s="2950"/>
      <c r="SHX22" s="2950"/>
      <c r="SHY22" s="2950"/>
      <c r="SHZ22" s="2950"/>
      <c r="SIA22" s="2950"/>
      <c r="SIB22" s="2950"/>
      <c r="SIC22" s="2950"/>
      <c r="SID22" s="2950"/>
      <c r="SIE22" s="2950"/>
      <c r="SIF22" s="2950"/>
      <c r="SIG22" s="2950"/>
      <c r="SIH22" s="2950"/>
      <c r="SII22" s="2950"/>
      <c r="SIJ22" s="2950"/>
      <c r="SIK22" s="2950"/>
      <c r="SIL22" s="2950"/>
      <c r="SIM22" s="2950"/>
      <c r="SIN22" s="2950"/>
      <c r="SIO22" s="2950"/>
      <c r="SIP22" s="2950"/>
      <c r="SIQ22" s="2950"/>
      <c r="SIR22" s="2950"/>
      <c r="SIS22" s="2950"/>
      <c r="SIT22" s="2950"/>
      <c r="SIU22" s="2950"/>
      <c r="SIV22" s="2950"/>
      <c r="SIW22" s="2950"/>
      <c r="SIX22" s="2950"/>
      <c r="SIY22" s="2950"/>
      <c r="SIZ22" s="2950"/>
      <c r="SJA22" s="2950"/>
      <c r="SJB22" s="2950"/>
      <c r="SJC22" s="2950"/>
      <c r="SJD22" s="2950"/>
      <c r="SJE22" s="2950"/>
      <c r="SJF22" s="2950"/>
      <c r="SJG22" s="2950"/>
      <c r="SJH22" s="2950"/>
      <c r="SJI22" s="2950"/>
      <c r="SJJ22" s="2950"/>
      <c r="SJK22" s="2950"/>
      <c r="SJL22" s="2950"/>
      <c r="SJM22" s="2950"/>
      <c r="SJN22" s="2950"/>
      <c r="SJO22" s="2950"/>
      <c r="SJP22" s="2950"/>
      <c r="SJQ22" s="2950"/>
      <c r="SJR22" s="2950"/>
      <c r="SJS22" s="2950"/>
      <c r="SJT22" s="2950"/>
      <c r="SJU22" s="2950"/>
      <c r="SJV22" s="2950"/>
      <c r="SJW22" s="2950"/>
      <c r="SJX22" s="2950"/>
      <c r="SJY22" s="2950"/>
      <c r="SJZ22" s="2950"/>
      <c r="SKA22" s="2950"/>
      <c r="SKB22" s="2950"/>
      <c r="SKC22" s="2950"/>
      <c r="SKD22" s="2950"/>
      <c r="SKE22" s="2950"/>
      <c r="SKF22" s="2950"/>
      <c r="SKG22" s="2950"/>
      <c r="SKH22" s="2950"/>
      <c r="SKI22" s="2950"/>
      <c r="SKJ22" s="2950"/>
      <c r="SKK22" s="2950"/>
      <c r="SKL22" s="2950"/>
      <c r="SKM22" s="2950"/>
      <c r="SKN22" s="2950"/>
      <c r="SKO22" s="2950"/>
      <c r="SKP22" s="2950"/>
      <c r="SKQ22" s="2950"/>
      <c r="SKR22" s="2950"/>
      <c r="SKS22" s="2950"/>
      <c r="SKT22" s="2950"/>
      <c r="SKU22" s="2950"/>
      <c r="SKV22" s="2950"/>
      <c r="SKW22" s="2950"/>
      <c r="SKX22" s="2950"/>
      <c r="SKY22" s="2950"/>
      <c r="SKZ22" s="2950"/>
      <c r="SLA22" s="2950"/>
      <c r="SLB22" s="2950"/>
      <c r="SLC22" s="2950"/>
      <c r="SLD22" s="2950"/>
      <c r="SLE22" s="2950"/>
      <c r="SLF22" s="2950"/>
      <c r="SLG22" s="2950"/>
      <c r="SLH22" s="2950"/>
      <c r="SLI22" s="2950"/>
      <c r="SLJ22" s="2950"/>
      <c r="SLK22" s="2950"/>
      <c r="SLL22" s="2950"/>
      <c r="SLM22" s="2950"/>
      <c r="SLN22" s="2950"/>
      <c r="SLO22" s="2950"/>
      <c r="SLP22" s="2950"/>
      <c r="SLQ22" s="2950"/>
      <c r="SLR22" s="2950"/>
      <c r="SLS22" s="2950"/>
      <c r="SLT22" s="2950"/>
      <c r="SLU22" s="2950"/>
      <c r="SLV22" s="2950"/>
      <c r="SLW22" s="2950"/>
      <c r="SLX22" s="2950"/>
      <c r="SLY22" s="2950"/>
      <c r="SLZ22" s="2950"/>
      <c r="SMA22" s="2950"/>
      <c r="SMB22" s="2950"/>
      <c r="SMC22" s="2950"/>
      <c r="SMD22" s="2950"/>
      <c r="SME22" s="2950"/>
      <c r="SMF22" s="2950"/>
      <c r="SMG22" s="2950"/>
      <c r="SMH22" s="2950"/>
      <c r="SMI22" s="2950"/>
      <c r="SMJ22" s="2950"/>
      <c r="SMK22" s="2950"/>
      <c r="SML22" s="2950"/>
      <c r="SMM22" s="2950"/>
      <c r="SMN22" s="2950"/>
      <c r="SMO22" s="2950"/>
      <c r="SMP22" s="2950"/>
      <c r="SMQ22" s="2950"/>
      <c r="SMR22" s="2950"/>
      <c r="SMS22" s="2950"/>
      <c r="SMT22" s="2950"/>
      <c r="SMU22" s="2950"/>
      <c r="SMV22" s="2950"/>
      <c r="SMW22" s="2950"/>
      <c r="SMX22" s="2950"/>
      <c r="SMY22" s="2950"/>
      <c r="SMZ22" s="2950"/>
      <c r="SNA22" s="2950"/>
      <c r="SNB22" s="2950"/>
      <c r="SNC22" s="2950"/>
      <c r="SND22" s="2950"/>
      <c r="SNE22" s="2950"/>
      <c r="SNF22" s="2950"/>
      <c r="SNG22" s="2950"/>
      <c r="SNH22" s="2950"/>
      <c r="SNI22" s="2950"/>
      <c r="SNJ22" s="2950"/>
      <c r="SNK22" s="2950"/>
      <c r="SNL22" s="2950"/>
      <c r="SNM22" s="2950"/>
      <c r="SNN22" s="2950"/>
      <c r="SNO22" s="2950"/>
      <c r="SNP22" s="2950"/>
      <c r="SNQ22" s="2950"/>
      <c r="SNR22" s="2950"/>
      <c r="SNS22" s="2950"/>
      <c r="SNT22" s="2950"/>
      <c r="SNU22" s="2950"/>
      <c r="SNV22" s="2950"/>
      <c r="SNW22" s="2950"/>
      <c r="SNX22" s="2950"/>
      <c r="SNY22" s="2950"/>
      <c r="SNZ22" s="2950"/>
      <c r="SOA22" s="2950"/>
      <c r="SOB22" s="2950"/>
      <c r="SOC22" s="2950"/>
      <c r="SOD22" s="2950"/>
      <c r="SOE22" s="2950"/>
      <c r="SOF22" s="2950"/>
      <c r="SOG22" s="2950"/>
      <c r="SOH22" s="2950"/>
      <c r="SOI22" s="2950"/>
      <c r="SOJ22" s="2950"/>
      <c r="SOK22" s="2950"/>
      <c r="SOL22" s="2950"/>
      <c r="SOM22" s="2950"/>
      <c r="SON22" s="2950"/>
      <c r="SOO22" s="2950"/>
      <c r="SOP22" s="2950"/>
      <c r="SOQ22" s="2950"/>
      <c r="SOR22" s="2950"/>
      <c r="SOS22" s="2950"/>
      <c r="SOT22" s="2950"/>
      <c r="SOU22" s="2950"/>
      <c r="SOV22" s="2950"/>
      <c r="SOW22" s="2950"/>
      <c r="SOX22" s="2950"/>
      <c r="SOY22" s="2950"/>
      <c r="SOZ22" s="2950"/>
      <c r="SPA22" s="2950"/>
      <c r="SPB22" s="2950"/>
      <c r="SPC22" s="2950"/>
      <c r="SPD22" s="2950"/>
      <c r="SPE22" s="2950"/>
      <c r="SPF22" s="2950"/>
      <c r="SPG22" s="2950"/>
      <c r="SPH22" s="2950"/>
      <c r="SPI22" s="2950"/>
      <c r="SPJ22" s="2950"/>
      <c r="SPK22" s="2950"/>
      <c r="SPL22" s="2950"/>
      <c r="SPM22" s="2950"/>
      <c r="SPN22" s="2950"/>
      <c r="SPO22" s="2950"/>
      <c r="SPP22" s="2950"/>
      <c r="SPQ22" s="2950"/>
      <c r="SPR22" s="2950"/>
      <c r="SPS22" s="2950"/>
      <c r="SPT22" s="2950"/>
      <c r="SPU22" s="2950"/>
      <c r="SPV22" s="2950"/>
      <c r="SPW22" s="2950"/>
      <c r="SPX22" s="2950"/>
      <c r="SPY22" s="2950"/>
      <c r="SPZ22" s="2950"/>
      <c r="SQA22" s="2950"/>
      <c r="SQB22" s="2950"/>
      <c r="SQC22" s="2950"/>
      <c r="SQD22" s="2950"/>
      <c r="SQE22" s="2950"/>
      <c r="SQF22" s="2950"/>
      <c r="SQG22" s="2950"/>
      <c r="SQH22" s="2950"/>
      <c r="SQI22" s="2950"/>
      <c r="SQJ22" s="2950"/>
      <c r="SQK22" s="2950"/>
      <c r="SQL22" s="2950"/>
      <c r="SQM22" s="2950"/>
      <c r="SQN22" s="2950"/>
      <c r="SQO22" s="2950"/>
      <c r="SQP22" s="2950"/>
      <c r="SQQ22" s="2950"/>
      <c r="SQR22" s="2950"/>
      <c r="SQS22" s="2950"/>
      <c r="SQT22" s="2950"/>
      <c r="SQU22" s="2950"/>
      <c r="SQV22" s="2950"/>
      <c r="SQW22" s="2950"/>
      <c r="SQX22" s="2950"/>
      <c r="SQY22" s="2950"/>
      <c r="SQZ22" s="2950"/>
      <c r="SRA22" s="2950"/>
      <c r="SRB22" s="2950"/>
      <c r="SRC22" s="2950"/>
      <c r="SRD22" s="2950"/>
      <c r="SRE22" s="2950"/>
      <c r="SRF22" s="2950"/>
      <c r="SRG22" s="2950"/>
      <c r="SRH22" s="2950"/>
      <c r="SRI22" s="2950"/>
      <c r="SRJ22" s="2950"/>
      <c r="SRK22" s="2950"/>
      <c r="SRL22" s="2950"/>
      <c r="SRM22" s="2950"/>
      <c r="SRN22" s="2950"/>
      <c r="SRO22" s="2950"/>
      <c r="SRP22" s="2950"/>
      <c r="SRQ22" s="2950"/>
      <c r="SRR22" s="2950"/>
      <c r="SRS22" s="2950"/>
      <c r="SRT22" s="2950"/>
      <c r="SRU22" s="2950"/>
      <c r="SRV22" s="2950"/>
      <c r="SRW22" s="2950"/>
      <c r="SRX22" s="2950"/>
      <c r="SRY22" s="2950"/>
      <c r="SRZ22" s="2950"/>
      <c r="SSA22" s="2950"/>
      <c r="SSB22" s="2950"/>
      <c r="SSC22" s="2950"/>
      <c r="SSD22" s="2950"/>
      <c r="SSE22" s="2950"/>
      <c r="SSF22" s="2950"/>
      <c r="SSG22" s="2950"/>
      <c r="SSH22" s="2950"/>
      <c r="SSI22" s="2950"/>
      <c r="SSJ22" s="2950"/>
      <c r="SSK22" s="2950"/>
      <c r="SSL22" s="2950"/>
      <c r="SSM22" s="2950"/>
      <c r="SSN22" s="2950"/>
      <c r="SSO22" s="2950"/>
      <c r="SSP22" s="2950"/>
      <c r="SSQ22" s="2950"/>
      <c r="SSR22" s="2950"/>
      <c r="SSS22" s="2950"/>
      <c r="SST22" s="2950"/>
      <c r="SSU22" s="2950"/>
      <c r="SSV22" s="2950"/>
      <c r="SSW22" s="2950"/>
      <c r="SSX22" s="2950"/>
      <c r="SSY22" s="2950"/>
      <c r="SSZ22" s="2950"/>
      <c r="STA22" s="2950"/>
      <c r="STB22" s="2950"/>
      <c r="STC22" s="2950"/>
      <c r="STD22" s="2950"/>
      <c r="STE22" s="2950"/>
      <c r="STF22" s="2950"/>
      <c r="STG22" s="2950"/>
      <c r="STH22" s="2950"/>
      <c r="STI22" s="2950"/>
      <c r="STJ22" s="2950"/>
      <c r="STK22" s="2950"/>
      <c r="STL22" s="2950"/>
      <c r="STM22" s="2950"/>
      <c r="STN22" s="2950"/>
      <c r="STO22" s="2950"/>
      <c r="STP22" s="2950"/>
      <c r="STQ22" s="2950"/>
      <c r="STR22" s="2950"/>
      <c r="STS22" s="2950"/>
      <c r="STT22" s="2950"/>
      <c r="STU22" s="2950"/>
      <c r="STV22" s="2950"/>
      <c r="STW22" s="2950"/>
      <c r="STX22" s="2950"/>
      <c r="STY22" s="2950"/>
      <c r="STZ22" s="2950"/>
      <c r="SUA22" s="2950"/>
      <c r="SUB22" s="2950"/>
      <c r="SUC22" s="2950"/>
      <c r="SUD22" s="2950"/>
      <c r="SUE22" s="2950"/>
      <c r="SUF22" s="2950"/>
      <c r="SUG22" s="2950"/>
      <c r="SUH22" s="2950"/>
      <c r="SUI22" s="2950"/>
      <c r="SUJ22" s="2950"/>
      <c r="SUK22" s="2950"/>
      <c r="SUL22" s="2950"/>
      <c r="SUM22" s="2950"/>
      <c r="SUN22" s="2950"/>
      <c r="SUO22" s="2950"/>
      <c r="SUP22" s="2950"/>
      <c r="SUQ22" s="2950"/>
      <c r="SUR22" s="2950"/>
      <c r="SUS22" s="2950"/>
      <c r="SUT22" s="2950"/>
      <c r="SUU22" s="2950"/>
      <c r="SUV22" s="2950"/>
      <c r="SUW22" s="2950"/>
      <c r="SUX22" s="2950"/>
      <c r="SUY22" s="2950"/>
      <c r="SUZ22" s="2950"/>
      <c r="SVA22" s="2950"/>
      <c r="SVB22" s="2950"/>
      <c r="SVC22" s="2950"/>
      <c r="SVD22" s="2950"/>
      <c r="SVE22" s="2950"/>
      <c r="SVF22" s="2950"/>
      <c r="SVG22" s="2950"/>
      <c r="SVH22" s="2950"/>
      <c r="SVI22" s="2950"/>
      <c r="SVJ22" s="2950"/>
      <c r="SVK22" s="2950"/>
      <c r="SVL22" s="2950"/>
      <c r="SVM22" s="2950"/>
      <c r="SVN22" s="2950"/>
      <c r="SVO22" s="2950"/>
      <c r="SVP22" s="2950"/>
      <c r="SVQ22" s="2950"/>
      <c r="SVR22" s="2950"/>
      <c r="SVS22" s="2950"/>
      <c r="SVT22" s="2950"/>
      <c r="SVU22" s="2950"/>
      <c r="SVV22" s="2950"/>
      <c r="SVW22" s="2950"/>
      <c r="SVX22" s="2950"/>
      <c r="SVY22" s="2950"/>
      <c r="SVZ22" s="2950"/>
      <c r="SWA22" s="2950"/>
      <c r="SWB22" s="2950"/>
      <c r="SWC22" s="2950"/>
      <c r="SWD22" s="2950"/>
      <c r="SWE22" s="2950"/>
      <c r="SWF22" s="2950"/>
      <c r="SWG22" s="2950"/>
      <c r="SWH22" s="2950"/>
      <c r="SWI22" s="2950"/>
      <c r="SWJ22" s="2950"/>
      <c r="SWK22" s="2950"/>
      <c r="SWL22" s="2950"/>
      <c r="SWM22" s="2950"/>
      <c r="SWN22" s="2950"/>
      <c r="SWO22" s="2950"/>
      <c r="SWP22" s="2950"/>
      <c r="SWQ22" s="2950"/>
      <c r="SWR22" s="2950"/>
      <c r="SWS22" s="2950"/>
      <c r="SWT22" s="2950"/>
      <c r="SWU22" s="2950"/>
      <c r="SWV22" s="2950"/>
      <c r="SWW22" s="2950"/>
      <c r="SWX22" s="2950"/>
      <c r="SWY22" s="2950"/>
      <c r="SWZ22" s="2950"/>
      <c r="SXA22" s="2950"/>
      <c r="SXB22" s="2950"/>
      <c r="SXC22" s="2950"/>
      <c r="SXD22" s="2950"/>
      <c r="SXE22" s="2950"/>
      <c r="SXF22" s="2950"/>
      <c r="SXG22" s="2950"/>
      <c r="SXH22" s="2950"/>
      <c r="SXI22" s="2950"/>
      <c r="SXJ22" s="2950"/>
      <c r="SXK22" s="2950"/>
      <c r="SXL22" s="2950"/>
      <c r="SXM22" s="2950"/>
      <c r="SXN22" s="2950"/>
      <c r="SXO22" s="2950"/>
      <c r="SXP22" s="2950"/>
      <c r="SXQ22" s="2950"/>
      <c r="SXR22" s="2950"/>
      <c r="SXS22" s="2950"/>
      <c r="SXT22" s="2950"/>
      <c r="SXU22" s="2950"/>
      <c r="SXV22" s="2950"/>
      <c r="SXW22" s="2950"/>
      <c r="SXX22" s="2950"/>
      <c r="SXY22" s="2950"/>
      <c r="SXZ22" s="2950"/>
      <c r="SYA22" s="2950"/>
      <c r="SYB22" s="2950"/>
      <c r="SYC22" s="2950"/>
      <c r="SYD22" s="2950"/>
      <c r="SYE22" s="2950"/>
      <c r="SYF22" s="2950"/>
      <c r="SYG22" s="2950"/>
      <c r="SYH22" s="2950"/>
      <c r="SYI22" s="2950"/>
      <c r="SYJ22" s="2950"/>
      <c r="SYK22" s="2950"/>
      <c r="SYL22" s="2950"/>
      <c r="SYM22" s="2950"/>
      <c r="SYN22" s="2950"/>
      <c r="SYO22" s="2950"/>
      <c r="SYP22" s="2950"/>
      <c r="SYQ22" s="2950"/>
      <c r="SYR22" s="2950"/>
      <c r="SYS22" s="2950"/>
      <c r="SYT22" s="2950"/>
      <c r="SYU22" s="2950"/>
      <c r="SYV22" s="2950"/>
      <c r="SYW22" s="2950"/>
      <c r="SYX22" s="2950"/>
      <c r="SYY22" s="2950"/>
      <c r="SYZ22" s="2950"/>
      <c r="SZA22" s="2950"/>
      <c r="SZB22" s="2950"/>
      <c r="SZC22" s="2950"/>
      <c r="SZD22" s="2950"/>
      <c r="SZE22" s="2950"/>
      <c r="SZF22" s="2950"/>
      <c r="SZG22" s="2950"/>
      <c r="SZH22" s="2950"/>
      <c r="SZI22" s="2950"/>
      <c r="SZJ22" s="2950"/>
      <c r="SZK22" s="2950"/>
      <c r="SZL22" s="2950"/>
      <c r="SZM22" s="2950"/>
      <c r="SZN22" s="2950"/>
      <c r="SZO22" s="2950"/>
      <c r="SZP22" s="2950"/>
      <c r="SZQ22" s="2950"/>
      <c r="SZR22" s="2950"/>
      <c r="SZS22" s="2950"/>
      <c r="SZT22" s="2950"/>
      <c r="SZU22" s="2950"/>
      <c r="SZV22" s="2950"/>
      <c r="SZW22" s="2950"/>
      <c r="SZX22" s="2950"/>
      <c r="SZY22" s="2950"/>
      <c r="SZZ22" s="2950"/>
      <c r="TAA22" s="2950"/>
      <c r="TAB22" s="2950"/>
      <c r="TAC22" s="2950"/>
      <c r="TAD22" s="2950"/>
      <c r="TAE22" s="2950"/>
      <c r="TAF22" s="2950"/>
      <c r="TAG22" s="2950"/>
      <c r="TAH22" s="2950"/>
      <c r="TAI22" s="2950"/>
      <c r="TAJ22" s="2950"/>
      <c r="TAK22" s="2950"/>
      <c r="TAL22" s="2950"/>
      <c r="TAM22" s="2950"/>
      <c r="TAN22" s="2950"/>
      <c r="TAO22" s="2950"/>
      <c r="TAP22" s="2950"/>
      <c r="TAQ22" s="2950"/>
      <c r="TAR22" s="2950"/>
      <c r="TAS22" s="2950"/>
      <c r="TAT22" s="2950"/>
      <c r="TAU22" s="2950"/>
      <c r="TAV22" s="2950"/>
      <c r="TAW22" s="2950"/>
      <c r="TAX22" s="2950"/>
      <c r="TAY22" s="2950"/>
      <c r="TAZ22" s="2950"/>
      <c r="TBA22" s="2950"/>
      <c r="TBB22" s="2950"/>
      <c r="TBC22" s="2950"/>
      <c r="TBD22" s="2950"/>
      <c r="TBE22" s="2950"/>
      <c r="TBF22" s="2950"/>
      <c r="TBG22" s="2950"/>
      <c r="TBH22" s="2950"/>
      <c r="TBI22" s="2950"/>
      <c r="TBJ22" s="2950"/>
      <c r="TBK22" s="2950"/>
      <c r="TBL22" s="2950"/>
      <c r="TBM22" s="2950"/>
      <c r="TBN22" s="2950"/>
      <c r="TBO22" s="2950"/>
      <c r="TBP22" s="2950"/>
      <c r="TBQ22" s="2950"/>
      <c r="TBR22" s="2950"/>
      <c r="TBS22" s="2950"/>
      <c r="TBT22" s="2950"/>
      <c r="TBU22" s="2950"/>
      <c r="TBV22" s="2950"/>
      <c r="TBW22" s="2950"/>
      <c r="TBX22" s="2950"/>
      <c r="TBY22" s="2950"/>
      <c r="TBZ22" s="2950"/>
      <c r="TCA22" s="2950"/>
      <c r="TCB22" s="2950"/>
      <c r="TCC22" s="2950"/>
      <c r="TCD22" s="2950"/>
      <c r="TCE22" s="2950"/>
      <c r="TCF22" s="2950"/>
      <c r="TCG22" s="2950"/>
      <c r="TCH22" s="2950"/>
      <c r="TCI22" s="2950"/>
      <c r="TCJ22" s="2950"/>
      <c r="TCK22" s="2950"/>
      <c r="TCL22" s="2950"/>
      <c r="TCM22" s="2950"/>
      <c r="TCN22" s="2950"/>
      <c r="TCO22" s="2950"/>
      <c r="TCP22" s="2950"/>
      <c r="TCQ22" s="2950"/>
      <c r="TCR22" s="2950"/>
      <c r="TCS22" s="2950"/>
      <c r="TCT22" s="2950"/>
      <c r="TCU22" s="2950"/>
      <c r="TCV22" s="2950"/>
      <c r="TCW22" s="2950"/>
      <c r="TCX22" s="2950"/>
      <c r="TCY22" s="2950"/>
      <c r="TCZ22" s="2950"/>
      <c r="TDA22" s="2950"/>
      <c r="TDB22" s="2950"/>
      <c r="TDC22" s="2950"/>
      <c r="TDD22" s="2950"/>
      <c r="TDE22" s="2950"/>
      <c r="TDF22" s="2950"/>
      <c r="TDG22" s="2950"/>
      <c r="TDH22" s="2950"/>
      <c r="TDI22" s="2950"/>
      <c r="TDJ22" s="2950"/>
      <c r="TDK22" s="2950"/>
      <c r="TDL22" s="2950"/>
      <c r="TDM22" s="2950"/>
      <c r="TDN22" s="2950"/>
      <c r="TDO22" s="2950"/>
      <c r="TDP22" s="2950"/>
      <c r="TDQ22" s="2950"/>
      <c r="TDR22" s="2950"/>
      <c r="TDS22" s="2950"/>
      <c r="TDT22" s="2950"/>
      <c r="TDU22" s="2950"/>
      <c r="TDV22" s="2950"/>
      <c r="TDW22" s="2950"/>
      <c r="TDX22" s="2950"/>
      <c r="TDY22" s="2950"/>
      <c r="TDZ22" s="2950"/>
      <c r="TEA22" s="2950"/>
      <c r="TEB22" s="2950"/>
      <c r="TEC22" s="2950"/>
      <c r="TED22" s="2950"/>
      <c r="TEE22" s="2950"/>
      <c r="TEF22" s="2950"/>
      <c r="TEG22" s="2950"/>
      <c r="TEH22" s="2950"/>
      <c r="TEI22" s="2950"/>
      <c r="TEJ22" s="2950"/>
      <c r="TEK22" s="2950"/>
      <c r="TEL22" s="2950"/>
      <c r="TEM22" s="2950"/>
      <c r="TEN22" s="2950"/>
      <c r="TEO22" s="2950"/>
      <c r="TEP22" s="2950"/>
      <c r="TEQ22" s="2950"/>
      <c r="TER22" s="2950"/>
      <c r="TES22" s="2950"/>
      <c r="TET22" s="2950"/>
      <c r="TEU22" s="2950"/>
      <c r="TEV22" s="2950"/>
      <c r="TEW22" s="2950"/>
      <c r="TEX22" s="2950"/>
      <c r="TEY22" s="2950"/>
      <c r="TEZ22" s="2950"/>
      <c r="TFA22" s="2950"/>
      <c r="TFB22" s="2950"/>
      <c r="TFC22" s="2950"/>
      <c r="TFD22" s="2950"/>
      <c r="TFE22" s="2950"/>
      <c r="TFF22" s="2950"/>
      <c r="TFG22" s="2950"/>
      <c r="TFH22" s="2950"/>
      <c r="TFI22" s="2950"/>
      <c r="TFJ22" s="2950"/>
      <c r="TFK22" s="2950"/>
      <c r="TFL22" s="2950"/>
      <c r="TFM22" s="2950"/>
      <c r="TFN22" s="2950"/>
      <c r="TFO22" s="2950"/>
      <c r="TFP22" s="2950"/>
      <c r="TFQ22" s="2950"/>
      <c r="TFR22" s="2950"/>
      <c r="TFS22" s="2950"/>
      <c r="TFT22" s="2950"/>
      <c r="TFU22" s="2950"/>
      <c r="TFV22" s="2950"/>
      <c r="TFW22" s="2950"/>
      <c r="TFX22" s="2950"/>
      <c r="TFY22" s="2950"/>
      <c r="TFZ22" s="2950"/>
      <c r="TGA22" s="2950"/>
      <c r="TGB22" s="2950"/>
      <c r="TGC22" s="2950"/>
      <c r="TGD22" s="2950"/>
      <c r="TGE22" s="2950"/>
      <c r="TGF22" s="2950"/>
      <c r="TGG22" s="2950"/>
      <c r="TGH22" s="2950"/>
      <c r="TGI22" s="2950"/>
      <c r="TGJ22" s="2950"/>
      <c r="TGK22" s="2950"/>
      <c r="TGL22" s="2950"/>
      <c r="TGM22" s="2950"/>
      <c r="TGN22" s="2950"/>
      <c r="TGO22" s="2950"/>
      <c r="TGP22" s="2950"/>
      <c r="TGQ22" s="2950"/>
      <c r="TGR22" s="2950"/>
      <c r="TGS22" s="2950"/>
      <c r="TGT22" s="2950"/>
      <c r="TGU22" s="2950"/>
      <c r="TGV22" s="2950"/>
      <c r="TGW22" s="2950"/>
      <c r="TGX22" s="2950"/>
      <c r="TGY22" s="2950"/>
      <c r="TGZ22" s="2950"/>
      <c r="THA22" s="2950"/>
      <c r="THB22" s="2950"/>
      <c r="THC22" s="2950"/>
      <c r="THD22" s="2950"/>
      <c r="THE22" s="2950"/>
      <c r="THF22" s="2950"/>
      <c r="THG22" s="2950"/>
      <c r="THH22" s="2950"/>
      <c r="THI22" s="2950"/>
      <c r="THJ22" s="2950"/>
      <c r="THK22" s="2950"/>
      <c r="THL22" s="2950"/>
      <c r="THM22" s="2950"/>
      <c r="THN22" s="2950"/>
      <c r="THO22" s="2950"/>
      <c r="THP22" s="2950"/>
      <c r="THQ22" s="2950"/>
      <c r="THR22" s="2950"/>
      <c r="THS22" s="2950"/>
      <c r="THT22" s="2950"/>
      <c r="THU22" s="2950"/>
      <c r="THV22" s="2950"/>
      <c r="THW22" s="2950"/>
      <c r="THX22" s="2950"/>
      <c r="THY22" s="2950"/>
      <c r="THZ22" s="2950"/>
      <c r="TIA22" s="2950"/>
      <c r="TIB22" s="2950"/>
      <c r="TIC22" s="2950"/>
      <c r="TID22" s="2950"/>
      <c r="TIE22" s="2950"/>
      <c r="TIF22" s="2950"/>
      <c r="TIG22" s="2950"/>
      <c r="TIH22" s="2950"/>
      <c r="TII22" s="2950"/>
      <c r="TIJ22" s="2950"/>
      <c r="TIK22" s="2950"/>
      <c r="TIL22" s="2950"/>
      <c r="TIM22" s="2950"/>
      <c r="TIN22" s="2950"/>
      <c r="TIO22" s="2950"/>
      <c r="TIP22" s="2950"/>
      <c r="TIQ22" s="2950"/>
      <c r="TIR22" s="2950"/>
      <c r="TIS22" s="2950"/>
      <c r="TIT22" s="2950"/>
      <c r="TIU22" s="2950"/>
      <c r="TIV22" s="2950"/>
      <c r="TIW22" s="2950"/>
      <c r="TIX22" s="2950"/>
      <c r="TIY22" s="2950"/>
      <c r="TIZ22" s="2950"/>
      <c r="TJA22" s="2950"/>
      <c r="TJB22" s="2950"/>
      <c r="TJC22" s="2950"/>
      <c r="TJD22" s="2950"/>
      <c r="TJE22" s="2950"/>
      <c r="TJF22" s="2950"/>
      <c r="TJG22" s="2950"/>
      <c r="TJH22" s="2950"/>
      <c r="TJI22" s="2950"/>
      <c r="TJJ22" s="2950"/>
      <c r="TJK22" s="2950"/>
      <c r="TJL22" s="2950"/>
      <c r="TJM22" s="2950"/>
      <c r="TJN22" s="2950"/>
      <c r="TJO22" s="2950"/>
      <c r="TJP22" s="2950"/>
      <c r="TJQ22" s="2950"/>
      <c r="TJR22" s="2950"/>
      <c r="TJS22" s="2950"/>
      <c r="TJT22" s="2950"/>
      <c r="TJU22" s="2950"/>
      <c r="TJV22" s="2950"/>
      <c r="TJW22" s="2950"/>
      <c r="TJX22" s="2950"/>
      <c r="TJY22" s="2950"/>
      <c r="TJZ22" s="2950"/>
      <c r="TKA22" s="2950"/>
      <c r="TKB22" s="2950"/>
      <c r="TKC22" s="2950"/>
      <c r="TKD22" s="2950"/>
      <c r="TKE22" s="2950"/>
      <c r="TKF22" s="2950"/>
      <c r="TKG22" s="2950"/>
      <c r="TKH22" s="2950"/>
      <c r="TKI22" s="2950"/>
      <c r="TKJ22" s="2950"/>
      <c r="TKK22" s="2950"/>
      <c r="TKL22" s="2950"/>
      <c r="TKM22" s="2950"/>
      <c r="TKN22" s="2950"/>
      <c r="TKO22" s="2950"/>
      <c r="TKP22" s="2950"/>
      <c r="TKQ22" s="2950"/>
      <c r="TKR22" s="2950"/>
      <c r="TKS22" s="2950"/>
      <c r="TKT22" s="2950"/>
      <c r="TKU22" s="2950"/>
      <c r="TKV22" s="2950"/>
      <c r="TKW22" s="2950"/>
      <c r="TKX22" s="2950"/>
      <c r="TKY22" s="2950"/>
      <c r="TKZ22" s="2950"/>
      <c r="TLA22" s="2950"/>
      <c r="TLB22" s="2950"/>
      <c r="TLC22" s="2950"/>
      <c r="TLD22" s="2950"/>
      <c r="TLE22" s="2950"/>
      <c r="TLF22" s="2950"/>
      <c r="TLG22" s="2950"/>
      <c r="TLH22" s="2950"/>
      <c r="TLI22" s="2950"/>
      <c r="TLJ22" s="2950"/>
      <c r="TLK22" s="2950"/>
      <c r="TLL22" s="2950"/>
      <c r="TLM22" s="2950"/>
      <c r="TLN22" s="2950"/>
      <c r="TLO22" s="2950"/>
      <c r="TLP22" s="2950"/>
      <c r="TLQ22" s="2950"/>
      <c r="TLR22" s="2950"/>
      <c r="TLS22" s="2950"/>
      <c r="TLT22" s="2950"/>
      <c r="TLU22" s="2950"/>
      <c r="TLV22" s="2950"/>
      <c r="TLW22" s="2950"/>
      <c r="TLX22" s="2950"/>
      <c r="TLY22" s="2950"/>
      <c r="TLZ22" s="2950"/>
      <c r="TMA22" s="2950"/>
      <c r="TMB22" s="2950"/>
      <c r="TMC22" s="2950"/>
      <c r="TMD22" s="2950"/>
      <c r="TME22" s="2950"/>
      <c r="TMF22" s="2950"/>
      <c r="TMG22" s="2950"/>
      <c r="TMH22" s="2950"/>
      <c r="TMI22" s="2950"/>
      <c r="TMJ22" s="2950"/>
      <c r="TMK22" s="2950"/>
      <c r="TML22" s="2950"/>
      <c r="TMM22" s="2950"/>
      <c r="TMN22" s="2950"/>
      <c r="TMO22" s="2950"/>
      <c r="TMP22" s="2950"/>
      <c r="TMQ22" s="2950"/>
      <c r="TMR22" s="2950"/>
      <c r="TMS22" s="2950"/>
      <c r="TMT22" s="2950"/>
      <c r="TMU22" s="2950"/>
      <c r="TMV22" s="2950"/>
      <c r="TMW22" s="2950"/>
      <c r="TMX22" s="2950"/>
      <c r="TMY22" s="2950"/>
      <c r="TMZ22" s="2950"/>
      <c r="TNA22" s="2950"/>
      <c r="TNB22" s="2950"/>
      <c r="TNC22" s="2950"/>
      <c r="TND22" s="2950"/>
      <c r="TNE22" s="2950"/>
      <c r="TNF22" s="2950"/>
      <c r="TNG22" s="2950"/>
      <c r="TNH22" s="2950"/>
      <c r="TNI22" s="2950"/>
      <c r="TNJ22" s="2950"/>
      <c r="TNK22" s="2950"/>
      <c r="TNL22" s="2950"/>
      <c r="TNM22" s="2950"/>
      <c r="TNN22" s="2950"/>
      <c r="TNO22" s="2950"/>
      <c r="TNP22" s="2950"/>
      <c r="TNQ22" s="2950"/>
      <c r="TNR22" s="2950"/>
      <c r="TNS22" s="2950"/>
      <c r="TNT22" s="2950"/>
      <c r="TNU22" s="2950"/>
      <c r="TNV22" s="2950"/>
      <c r="TNW22" s="2950"/>
      <c r="TNX22" s="2950"/>
      <c r="TNY22" s="2950"/>
      <c r="TNZ22" s="2950"/>
      <c r="TOA22" s="2950"/>
      <c r="TOB22" s="2950"/>
      <c r="TOC22" s="2950"/>
      <c r="TOD22" s="2950"/>
      <c r="TOE22" s="2950"/>
      <c r="TOF22" s="2950"/>
      <c r="TOG22" s="2950"/>
      <c r="TOH22" s="2950"/>
      <c r="TOI22" s="2950"/>
      <c r="TOJ22" s="2950"/>
      <c r="TOK22" s="2950"/>
      <c r="TOL22" s="2950"/>
      <c r="TOM22" s="2950"/>
      <c r="TON22" s="2950"/>
      <c r="TOO22" s="2950"/>
      <c r="TOP22" s="2950"/>
      <c r="TOQ22" s="2950"/>
      <c r="TOR22" s="2950"/>
      <c r="TOS22" s="2950"/>
      <c r="TOT22" s="2950"/>
      <c r="TOU22" s="2950"/>
      <c r="TOV22" s="2950"/>
      <c r="TOW22" s="2950"/>
      <c r="TOX22" s="2950"/>
      <c r="TOY22" s="2950"/>
      <c r="TOZ22" s="2950"/>
      <c r="TPA22" s="2950"/>
      <c r="TPB22" s="2950"/>
      <c r="TPC22" s="2950"/>
      <c r="TPD22" s="2950"/>
      <c r="TPE22" s="2950"/>
      <c r="TPF22" s="2950"/>
      <c r="TPG22" s="2950"/>
      <c r="TPH22" s="2950"/>
      <c r="TPI22" s="2950"/>
      <c r="TPJ22" s="2950"/>
      <c r="TPK22" s="2950"/>
      <c r="TPL22" s="2950"/>
      <c r="TPM22" s="2950"/>
      <c r="TPN22" s="2950"/>
      <c r="TPO22" s="2950"/>
      <c r="TPP22" s="2950"/>
      <c r="TPQ22" s="2950"/>
      <c r="TPR22" s="2950"/>
      <c r="TPS22" s="2950"/>
      <c r="TPT22" s="2950"/>
      <c r="TPU22" s="2950"/>
      <c r="TPV22" s="2950"/>
      <c r="TPW22" s="2950"/>
      <c r="TPX22" s="2950"/>
      <c r="TPY22" s="2950"/>
      <c r="TPZ22" s="2950"/>
      <c r="TQA22" s="2950"/>
      <c r="TQB22" s="2950"/>
      <c r="TQC22" s="2950"/>
      <c r="TQD22" s="2950"/>
      <c r="TQE22" s="2950"/>
      <c r="TQF22" s="2950"/>
      <c r="TQG22" s="2950"/>
      <c r="TQH22" s="2950"/>
      <c r="TQI22" s="2950"/>
      <c r="TQJ22" s="2950"/>
      <c r="TQK22" s="2950"/>
      <c r="TQL22" s="2950"/>
      <c r="TQM22" s="2950"/>
      <c r="TQN22" s="2950"/>
      <c r="TQO22" s="2950"/>
      <c r="TQP22" s="2950"/>
      <c r="TQQ22" s="2950"/>
      <c r="TQR22" s="2950"/>
      <c r="TQS22" s="2950"/>
      <c r="TQT22" s="2950"/>
      <c r="TQU22" s="2950"/>
      <c r="TQV22" s="2950"/>
      <c r="TQW22" s="2950"/>
      <c r="TQX22" s="2950"/>
      <c r="TQY22" s="2950"/>
      <c r="TQZ22" s="2950"/>
      <c r="TRA22" s="2950"/>
      <c r="TRB22" s="2950"/>
      <c r="TRC22" s="2950"/>
      <c r="TRD22" s="2950"/>
      <c r="TRE22" s="2950"/>
      <c r="TRF22" s="2950"/>
      <c r="TRG22" s="2950"/>
      <c r="TRH22" s="2950"/>
      <c r="TRI22" s="2950"/>
      <c r="TRJ22" s="2950"/>
      <c r="TRK22" s="2950"/>
      <c r="TRL22" s="2950"/>
      <c r="TRM22" s="2950"/>
      <c r="TRN22" s="2950"/>
      <c r="TRO22" s="2950"/>
      <c r="TRP22" s="2950"/>
      <c r="TRQ22" s="2950"/>
      <c r="TRR22" s="2950"/>
      <c r="TRS22" s="2950"/>
      <c r="TRT22" s="2950"/>
      <c r="TRU22" s="2950"/>
      <c r="TRV22" s="2950"/>
      <c r="TRW22" s="2950"/>
      <c r="TRX22" s="2950"/>
      <c r="TRY22" s="2950"/>
      <c r="TRZ22" s="2950"/>
      <c r="TSA22" s="2950"/>
      <c r="TSB22" s="2950"/>
      <c r="TSC22" s="2950"/>
      <c r="TSD22" s="2950"/>
      <c r="TSE22" s="2950"/>
      <c r="TSF22" s="2950"/>
      <c r="TSG22" s="2950"/>
      <c r="TSH22" s="2950"/>
      <c r="TSI22" s="2950"/>
      <c r="TSJ22" s="2950"/>
      <c r="TSK22" s="2950"/>
      <c r="TSL22" s="2950"/>
      <c r="TSM22" s="2950"/>
      <c r="TSN22" s="2950"/>
      <c r="TSO22" s="2950"/>
      <c r="TSP22" s="2950"/>
      <c r="TSQ22" s="2950"/>
      <c r="TSR22" s="2950"/>
      <c r="TSS22" s="2950"/>
      <c r="TST22" s="2950"/>
      <c r="TSU22" s="2950"/>
      <c r="TSV22" s="2950"/>
      <c r="TSW22" s="2950"/>
      <c r="TSX22" s="2950"/>
      <c r="TSY22" s="2950"/>
      <c r="TSZ22" s="2950"/>
      <c r="TTA22" s="2950"/>
      <c r="TTB22" s="2950"/>
      <c r="TTC22" s="2950"/>
      <c r="TTD22" s="2950"/>
      <c r="TTE22" s="2950"/>
      <c r="TTF22" s="2950"/>
      <c r="TTG22" s="2950"/>
      <c r="TTH22" s="2950"/>
      <c r="TTI22" s="2950"/>
      <c r="TTJ22" s="2950"/>
      <c r="TTK22" s="2950"/>
      <c r="TTL22" s="2950"/>
      <c r="TTM22" s="2950"/>
      <c r="TTN22" s="2950"/>
      <c r="TTO22" s="2950"/>
      <c r="TTP22" s="2950"/>
      <c r="TTQ22" s="2950"/>
      <c r="TTR22" s="2950"/>
      <c r="TTS22" s="2950"/>
      <c r="TTT22" s="2950"/>
      <c r="TTU22" s="2950"/>
      <c r="TTV22" s="2950"/>
      <c r="TTW22" s="2950"/>
      <c r="TTX22" s="2950"/>
      <c r="TTY22" s="2950"/>
      <c r="TTZ22" s="2950"/>
      <c r="TUA22" s="2950"/>
      <c r="TUB22" s="2950"/>
      <c r="TUC22" s="2950"/>
      <c r="TUD22" s="2950"/>
      <c r="TUE22" s="2950"/>
      <c r="TUF22" s="2950"/>
      <c r="TUG22" s="2950"/>
      <c r="TUH22" s="2950"/>
      <c r="TUI22" s="2950"/>
      <c r="TUJ22" s="2950"/>
      <c r="TUK22" s="2950"/>
      <c r="TUL22" s="2950"/>
      <c r="TUM22" s="2950"/>
      <c r="TUN22" s="2950"/>
      <c r="TUO22" s="2950"/>
      <c r="TUP22" s="2950"/>
      <c r="TUQ22" s="2950"/>
      <c r="TUR22" s="2950"/>
      <c r="TUS22" s="2950"/>
      <c r="TUT22" s="2950"/>
      <c r="TUU22" s="2950"/>
      <c r="TUV22" s="2950"/>
      <c r="TUW22" s="2950"/>
      <c r="TUX22" s="2950"/>
      <c r="TUY22" s="2950"/>
      <c r="TUZ22" s="2950"/>
      <c r="TVA22" s="2950"/>
      <c r="TVB22" s="2950"/>
      <c r="TVC22" s="2950"/>
      <c r="TVD22" s="2950"/>
      <c r="TVE22" s="2950"/>
      <c r="TVF22" s="2950"/>
      <c r="TVG22" s="2950"/>
      <c r="TVH22" s="2950"/>
      <c r="TVI22" s="2950"/>
      <c r="TVJ22" s="2950"/>
      <c r="TVK22" s="2950"/>
      <c r="TVL22" s="2950"/>
      <c r="TVM22" s="2950"/>
      <c r="TVN22" s="2950"/>
      <c r="TVO22" s="2950"/>
      <c r="TVP22" s="2950"/>
      <c r="TVQ22" s="2950"/>
      <c r="TVR22" s="2950"/>
      <c r="TVS22" s="2950"/>
      <c r="TVT22" s="2950"/>
      <c r="TVU22" s="2950"/>
      <c r="TVV22" s="2950"/>
      <c r="TVW22" s="2950"/>
      <c r="TVX22" s="2950"/>
      <c r="TVY22" s="2950"/>
      <c r="TVZ22" s="2950"/>
      <c r="TWA22" s="2950"/>
      <c r="TWB22" s="2950"/>
      <c r="TWC22" s="2950"/>
      <c r="TWD22" s="2950"/>
      <c r="TWE22" s="2950"/>
      <c r="TWF22" s="2950"/>
      <c r="TWG22" s="2950"/>
      <c r="TWH22" s="2950"/>
      <c r="TWI22" s="2950"/>
      <c r="TWJ22" s="2950"/>
      <c r="TWK22" s="2950"/>
      <c r="TWL22" s="2950"/>
      <c r="TWM22" s="2950"/>
      <c r="TWN22" s="2950"/>
      <c r="TWO22" s="2950"/>
      <c r="TWP22" s="2950"/>
      <c r="TWQ22" s="2950"/>
      <c r="TWR22" s="2950"/>
      <c r="TWS22" s="2950"/>
      <c r="TWT22" s="2950"/>
      <c r="TWU22" s="2950"/>
      <c r="TWV22" s="2950"/>
      <c r="TWW22" s="2950"/>
      <c r="TWX22" s="2950"/>
      <c r="TWY22" s="2950"/>
      <c r="TWZ22" s="2950"/>
      <c r="TXA22" s="2950"/>
      <c r="TXB22" s="2950"/>
      <c r="TXC22" s="2950"/>
      <c r="TXD22" s="2950"/>
      <c r="TXE22" s="2950"/>
      <c r="TXF22" s="2950"/>
      <c r="TXG22" s="2950"/>
      <c r="TXH22" s="2950"/>
      <c r="TXI22" s="2950"/>
      <c r="TXJ22" s="2950"/>
      <c r="TXK22" s="2950"/>
      <c r="TXL22" s="2950"/>
      <c r="TXM22" s="2950"/>
      <c r="TXN22" s="2950"/>
      <c r="TXO22" s="2950"/>
      <c r="TXP22" s="2950"/>
      <c r="TXQ22" s="2950"/>
      <c r="TXR22" s="2950"/>
      <c r="TXS22" s="2950"/>
      <c r="TXT22" s="2950"/>
      <c r="TXU22" s="2950"/>
      <c r="TXV22" s="2950"/>
      <c r="TXW22" s="2950"/>
      <c r="TXX22" s="2950"/>
      <c r="TXY22" s="2950"/>
      <c r="TXZ22" s="2950"/>
      <c r="TYA22" s="2950"/>
      <c r="TYB22" s="2950"/>
      <c r="TYC22" s="2950"/>
      <c r="TYD22" s="2950"/>
      <c r="TYE22" s="2950"/>
      <c r="TYF22" s="2950"/>
      <c r="TYG22" s="2950"/>
      <c r="TYH22" s="2950"/>
      <c r="TYI22" s="2950"/>
      <c r="TYJ22" s="2950"/>
      <c r="TYK22" s="2950"/>
      <c r="TYL22" s="2950"/>
      <c r="TYM22" s="2950"/>
      <c r="TYN22" s="2950"/>
      <c r="TYO22" s="2950"/>
      <c r="TYP22" s="2950"/>
      <c r="TYQ22" s="2950"/>
      <c r="TYR22" s="2950"/>
      <c r="TYS22" s="2950"/>
      <c r="TYT22" s="2950"/>
      <c r="TYU22" s="2950"/>
      <c r="TYV22" s="2950"/>
      <c r="TYW22" s="2950"/>
      <c r="TYX22" s="2950"/>
      <c r="TYY22" s="2950"/>
      <c r="TYZ22" s="2950"/>
      <c r="TZA22" s="2950"/>
      <c r="TZB22" s="2950"/>
      <c r="TZC22" s="2950"/>
      <c r="TZD22" s="2950"/>
      <c r="TZE22" s="2950"/>
      <c r="TZF22" s="2950"/>
      <c r="TZG22" s="2950"/>
      <c r="TZH22" s="2950"/>
      <c r="TZI22" s="2950"/>
      <c r="TZJ22" s="2950"/>
      <c r="TZK22" s="2950"/>
      <c r="TZL22" s="2950"/>
      <c r="TZM22" s="2950"/>
      <c r="TZN22" s="2950"/>
      <c r="TZO22" s="2950"/>
      <c r="TZP22" s="2950"/>
      <c r="TZQ22" s="2950"/>
      <c r="TZR22" s="2950"/>
      <c r="TZS22" s="2950"/>
      <c r="TZT22" s="2950"/>
      <c r="TZU22" s="2950"/>
      <c r="TZV22" s="2950"/>
      <c r="TZW22" s="2950"/>
      <c r="TZX22" s="2950"/>
      <c r="TZY22" s="2950"/>
      <c r="TZZ22" s="2950"/>
      <c r="UAA22" s="2950"/>
      <c r="UAB22" s="2950"/>
      <c r="UAC22" s="2950"/>
      <c r="UAD22" s="2950"/>
      <c r="UAE22" s="2950"/>
      <c r="UAF22" s="2950"/>
      <c r="UAG22" s="2950"/>
      <c r="UAH22" s="2950"/>
      <c r="UAI22" s="2950"/>
      <c r="UAJ22" s="2950"/>
      <c r="UAK22" s="2950"/>
      <c r="UAL22" s="2950"/>
      <c r="UAM22" s="2950"/>
      <c r="UAN22" s="2950"/>
      <c r="UAO22" s="2950"/>
      <c r="UAP22" s="2950"/>
      <c r="UAQ22" s="2950"/>
      <c r="UAR22" s="2950"/>
      <c r="UAS22" s="2950"/>
      <c r="UAT22" s="2950"/>
      <c r="UAU22" s="2950"/>
      <c r="UAV22" s="2950"/>
      <c r="UAW22" s="2950"/>
      <c r="UAX22" s="2950"/>
      <c r="UAY22" s="2950"/>
      <c r="UAZ22" s="2950"/>
      <c r="UBA22" s="2950"/>
      <c r="UBB22" s="2950"/>
      <c r="UBC22" s="2950"/>
      <c r="UBD22" s="2950"/>
      <c r="UBE22" s="2950"/>
      <c r="UBF22" s="2950"/>
      <c r="UBG22" s="2950"/>
      <c r="UBH22" s="2950"/>
      <c r="UBI22" s="2950"/>
      <c r="UBJ22" s="2950"/>
      <c r="UBK22" s="2950"/>
      <c r="UBL22" s="2950"/>
      <c r="UBM22" s="2950"/>
      <c r="UBN22" s="2950"/>
      <c r="UBO22" s="2950"/>
      <c r="UBP22" s="2950"/>
      <c r="UBQ22" s="2950"/>
      <c r="UBR22" s="2950"/>
      <c r="UBS22" s="2950"/>
      <c r="UBT22" s="2950"/>
      <c r="UBU22" s="2950"/>
      <c r="UBV22" s="2950"/>
      <c r="UBW22" s="2950"/>
      <c r="UBX22" s="2950"/>
      <c r="UBY22" s="2950"/>
      <c r="UBZ22" s="2950"/>
      <c r="UCA22" s="2950"/>
      <c r="UCB22" s="2950"/>
      <c r="UCC22" s="2950"/>
      <c r="UCD22" s="2950"/>
      <c r="UCE22" s="2950"/>
      <c r="UCF22" s="2950"/>
      <c r="UCG22" s="2950"/>
      <c r="UCH22" s="2950"/>
      <c r="UCI22" s="2950"/>
      <c r="UCJ22" s="2950"/>
      <c r="UCK22" s="2950"/>
      <c r="UCL22" s="2950"/>
      <c r="UCM22" s="2950"/>
      <c r="UCN22" s="2950"/>
      <c r="UCO22" s="2950"/>
      <c r="UCP22" s="2950"/>
      <c r="UCQ22" s="2950"/>
      <c r="UCR22" s="2950"/>
      <c r="UCS22" s="2950"/>
      <c r="UCT22" s="2950"/>
      <c r="UCU22" s="2950"/>
      <c r="UCV22" s="2950"/>
      <c r="UCW22" s="2950"/>
      <c r="UCX22" s="2950"/>
      <c r="UCY22" s="2950"/>
      <c r="UCZ22" s="2950"/>
      <c r="UDA22" s="2950"/>
      <c r="UDB22" s="2950"/>
      <c r="UDC22" s="2950"/>
      <c r="UDD22" s="2950"/>
      <c r="UDE22" s="2950"/>
      <c r="UDF22" s="2950"/>
      <c r="UDG22" s="2950"/>
      <c r="UDH22" s="2950"/>
      <c r="UDI22" s="2950"/>
      <c r="UDJ22" s="2950"/>
      <c r="UDK22" s="2950"/>
      <c r="UDL22" s="2950"/>
      <c r="UDM22" s="2950"/>
      <c r="UDN22" s="2950"/>
      <c r="UDO22" s="2950"/>
      <c r="UDP22" s="2950"/>
      <c r="UDQ22" s="2950"/>
      <c r="UDR22" s="2950"/>
      <c r="UDS22" s="2950"/>
      <c r="UDT22" s="2950"/>
      <c r="UDU22" s="2950"/>
      <c r="UDV22" s="2950"/>
      <c r="UDW22" s="2950"/>
      <c r="UDX22" s="2950"/>
      <c r="UDY22" s="2950"/>
      <c r="UDZ22" s="2950"/>
      <c r="UEA22" s="2950"/>
      <c r="UEB22" s="2950"/>
      <c r="UEC22" s="2950"/>
      <c r="UED22" s="2950"/>
      <c r="UEE22" s="2950"/>
      <c r="UEF22" s="2950"/>
      <c r="UEG22" s="2950"/>
      <c r="UEH22" s="2950"/>
      <c r="UEI22" s="2950"/>
      <c r="UEJ22" s="2950"/>
      <c r="UEK22" s="2950"/>
      <c r="UEL22" s="2950"/>
      <c r="UEM22" s="2950"/>
      <c r="UEN22" s="2950"/>
      <c r="UEO22" s="2950"/>
      <c r="UEP22" s="2950"/>
      <c r="UEQ22" s="2950"/>
      <c r="UER22" s="2950"/>
      <c r="UES22" s="2950"/>
      <c r="UET22" s="2950"/>
      <c r="UEU22" s="2950"/>
      <c r="UEV22" s="2950"/>
      <c r="UEW22" s="2950"/>
      <c r="UEX22" s="2950"/>
      <c r="UEY22" s="2950"/>
      <c r="UEZ22" s="2950"/>
      <c r="UFA22" s="2950"/>
      <c r="UFB22" s="2950"/>
      <c r="UFC22" s="2950"/>
      <c r="UFD22" s="2950"/>
      <c r="UFE22" s="2950"/>
      <c r="UFF22" s="2950"/>
      <c r="UFG22" s="2950"/>
      <c r="UFH22" s="2950"/>
      <c r="UFI22" s="2950"/>
      <c r="UFJ22" s="2950"/>
      <c r="UFK22" s="2950"/>
      <c r="UFL22" s="2950"/>
      <c r="UFM22" s="2950"/>
      <c r="UFN22" s="2950"/>
      <c r="UFO22" s="2950"/>
      <c r="UFP22" s="2950"/>
      <c r="UFQ22" s="2950"/>
      <c r="UFR22" s="2950"/>
      <c r="UFS22" s="2950"/>
      <c r="UFT22" s="2950"/>
      <c r="UFU22" s="2950"/>
      <c r="UFV22" s="2950"/>
      <c r="UFW22" s="2950"/>
      <c r="UFX22" s="2950"/>
      <c r="UFY22" s="2950"/>
      <c r="UFZ22" s="2950"/>
      <c r="UGA22" s="2950"/>
      <c r="UGB22" s="2950"/>
      <c r="UGC22" s="2950"/>
      <c r="UGD22" s="2950"/>
      <c r="UGE22" s="2950"/>
      <c r="UGF22" s="2950"/>
      <c r="UGG22" s="2950"/>
      <c r="UGH22" s="2950"/>
      <c r="UGI22" s="2950"/>
      <c r="UGJ22" s="2950"/>
      <c r="UGK22" s="2950"/>
      <c r="UGL22" s="2950"/>
      <c r="UGM22" s="2950"/>
      <c r="UGN22" s="2950"/>
      <c r="UGO22" s="2950"/>
      <c r="UGP22" s="2950"/>
      <c r="UGQ22" s="2950"/>
      <c r="UGR22" s="2950"/>
      <c r="UGS22" s="2950"/>
      <c r="UGT22" s="2950"/>
      <c r="UGU22" s="2950"/>
      <c r="UGV22" s="2950"/>
      <c r="UGW22" s="2950"/>
      <c r="UGX22" s="2950"/>
      <c r="UGY22" s="2950"/>
      <c r="UGZ22" s="2950"/>
      <c r="UHA22" s="2950"/>
      <c r="UHB22" s="2950"/>
      <c r="UHC22" s="2950"/>
      <c r="UHD22" s="2950"/>
      <c r="UHE22" s="2950"/>
      <c r="UHF22" s="2950"/>
      <c r="UHG22" s="2950"/>
      <c r="UHH22" s="2950"/>
      <c r="UHI22" s="2950"/>
      <c r="UHJ22" s="2950"/>
      <c r="UHK22" s="2950"/>
      <c r="UHL22" s="2950"/>
      <c r="UHM22" s="2950"/>
      <c r="UHN22" s="2950"/>
      <c r="UHO22" s="2950"/>
      <c r="UHP22" s="2950"/>
      <c r="UHQ22" s="2950"/>
      <c r="UHR22" s="2950"/>
      <c r="UHS22" s="2950"/>
      <c r="UHT22" s="2950"/>
      <c r="UHU22" s="2950"/>
      <c r="UHV22" s="2950"/>
      <c r="UHW22" s="2950"/>
      <c r="UHX22" s="2950"/>
      <c r="UHY22" s="2950"/>
      <c r="UHZ22" s="2950"/>
      <c r="UIA22" s="2950"/>
      <c r="UIB22" s="2950"/>
      <c r="UIC22" s="2950"/>
      <c r="UID22" s="2950"/>
      <c r="UIE22" s="2950"/>
      <c r="UIF22" s="2950"/>
      <c r="UIG22" s="2950"/>
      <c r="UIH22" s="2950"/>
      <c r="UII22" s="2950"/>
      <c r="UIJ22" s="2950"/>
      <c r="UIK22" s="2950"/>
      <c r="UIL22" s="2950"/>
      <c r="UIM22" s="2950"/>
      <c r="UIN22" s="2950"/>
      <c r="UIO22" s="2950"/>
      <c r="UIP22" s="2950"/>
      <c r="UIQ22" s="2950"/>
      <c r="UIR22" s="2950"/>
      <c r="UIS22" s="2950"/>
      <c r="UIT22" s="2950"/>
      <c r="UIU22" s="2950"/>
      <c r="UIV22" s="2950"/>
      <c r="UIW22" s="2950"/>
      <c r="UIX22" s="2950"/>
      <c r="UIY22" s="2950"/>
      <c r="UIZ22" s="2950"/>
      <c r="UJA22" s="2950"/>
      <c r="UJB22" s="2950"/>
      <c r="UJC22" s="2950"/>
      <c r="UJD22" s="2950"/>
      <c r="UJE22" s="2950"/>
      <c r="UJF22" s="2950"/>
      <c r="UJG22" s="2950"/>
      <c r="UJH22" s="2950"/>
      <c r="UJI22" s="2950"/>
      <c r="UJJ22" s="2950"/>
      <c r="UJK22" s="2950"/>
      <c r="UJL22" s="2950"/>
      <c r="UJM22" s="2950"/>
      <c r="UJN22" s="2950"/>
      <c r="UJO22" s="2950"/>
      <c r="UJP22" s="2950"/>
      <c r="UJQ22" s="2950"/>
      <c r="UJR22" s="2950"/>
      <c r="UJS22" s="2950"/>
      <c r="UJT22" s="2950"/>
      <c r="UJU22" s="2950"/>
      <c r="UJV22" s="2950"/>
      <c r="UJW22" s="2950"/>
      <c r="UJX22" s="2950"/>
      <c r="UJY22" s="2950"/>
      <c r="UJZ22" s="2950"/>
      <c r="UKA22" s="2950"/>
      <c r="UKB22" s="2950"/>
      <c r="UKC22" s="2950"/>
      <c r="UKD22" s="2950"/>
      <c r="UKE22" s="2950"/>
      <c r="UKF22" s="2950"/>
      <c r="UKG22" s="2950"/>
      <c r="UKH22" s="2950"/>
      <c r="UKI22" s="2950"/>
      <c r="UKJ22" s="2950"/>
      <c r="UKK22" s="2950"/>
      <c r="UKL22" s="2950"/>
      <c r="UKM22" s="2950"/>
      <c r="UKN22" s="2950"/>
      <c r="UKO22" s="2950"/>
      <c r="UKP22" s="2950"/>
      <c r="UKQ22" s="2950"/>
      <c r="UKR22" s="2950"/>
      <c r="UKS22" s="2950"/>
      <c r="UKT22" s="2950"/>
      <c r="UKU22" s="2950"/>
      <c r="UKV22" s="2950"/>
      <c r="UKW22" s="2950"/>
      <c r="UKX22" s="2950"/>
      <c r="UKY22" s="2950"/>
      <c r="UKZ22" s="2950"/>
      <c r="ULA22" s="2950"/>
      <c r="ULB22" s="2950"/>
      <c r="ULC22" s="2950"/>
      <c r="ULD22" s="2950"/>
      <c r="ULE22" s="2950"/>
      <c r="ULF22" s="2950"/>
      <c r="ULG22" s="2950"/>
      <c r="ULH22" s="2950"/>
      <c r="ULI22" s="2950"/>
      <c r="ULJ22" s="2950"/>
      <c r="ULK22" s="2950"/>
      <c r="ULL22" s="2950"/>
      <c r="ULM22" s="2950"/>
      <c r="ULN22" s="2950"/>
      <c r="ULO22" s="2950"/>
      <c r="ULP22" s="2950"/>
      <c r="ULQ22" s="2950"/>
      <c r="ULR22" s="2950"/>
      <c r="ULS22" s="2950"/>
      <c r="ULT22" s="2950"/>
      <c r="ULU22" s="2950"/>
      <c r="ULV22" s="2950"/>
      <c r="ULW22" s="2950"/>
      <c r="ULX22" s="2950"/>
      <c r="ULY22" s="2950"/>
      <c r="ULZ22" s="2950"/>
      <c r="UMA22" s="2950"/>
      <c r="UMB22" s="2950"/>
      <c r="UMC22" s="2950"/>
      <c r="UMD22" s="2950"/>
      <c r="UME22" s="2950"/>
      <c r="UMF22" s="2950"/>
      <c r="UMG22" s="2950"/>
      <c r="UMH22" s="2950"/>
      <c r="UMI22" s="2950"/>
      <c r="UMJ22" s="2950"/>
      <c r="UMK22" s="2950"/>
      <c r="UML22" s="2950"/>
      <c r="UMM22" s="2950"/>
      <c r="UMN22" s="2950"/>
      <c r="UMO22" s="2950"/>
      <c r="UMP22" s="2950"/>
      <c r="UMQ22" s="2950"/>
      <c r="UMR22" s="2950"/>
      <c r="UMS22" s="2950"/>
      <c r="UMT22" s="2950"/>
      <c r="UMU22" s="2950"/>
      <c r="UMV22" s="2950"/>
      <c r="UMW22" s="2950"/>
      <c r="UMX22" s="2950"/>
      <c r="UMY22" s="2950"/>
      <c r="UMZ22" s="2950"/>
      <c r="UNA22" s="2950"/>
      <c r="UNB22" s="2950"/>
      <c r="UNC22" s="2950"/>
      <c r="UND22" s="2950"/>
      <c r="UNE22" s="2950"/>
      <c r="UNF22" s="2950"/>
      <c r="UNG22" s="2950"/>
      <c r="UNH22" s="2950"/>
      <c r="UNI22" s="2950"/>
      <c r="UNJ22" s="2950"/>
      <c r="UNK22" s="2950"/>
      <c r="UNL22" s="2950"/>
      <c r="UNM22" s="2950"/>
      <c r="UNN22" s="2950"/>
      <c r="UNO22" s="2950"/>
      <c r="UNP22" s="2950"/>
      <c r="UNQ22" s="2950"/>
      <c r="UNR22" s="2950"/>
      <c r="UNS22" s="2950"/>
      <c r="UNT22" s="2950"/>
      <c r="UNU22" s="2950"/>
      <c r="UNV22" s="2950"/>
      <c r="UNW22" s="2950"/>
      <c r="UNX22" s="2950"/>
      <c r="UNY22" s="2950"/>
      <c r="UNZ22" s="2950"/>
      <c r="UOA22" s="2950"/>
      <c r="UOB22" s="2950"/>
      <c r="UOC22" s="2950"/>
      <c r="UOD22" s="2950"/>
      <c r="UOE22" s="2950"/>
      <c r="UOF22" s="2950"/>
      <c r="UOG22" s="2950"/>
      <c r="UOH22" s="2950"/>
      <c r="UOI22" s="2950"/>
      <c r="UOJ22" s="2950"/>
      <c r="UOK22" s="2950"/>
      <c r="UOL22" s="2950"/>
      <c r="UOM22" s="2950"/>
      <c r="UON22" s="2950"/>
      <c r="UOO22" s="2950"/>
      <c r="UOP22" s="2950"/>
      <c r="UOQ22" s="2950"/>
      <c r="UOR22" s="2950"/>
      <c r="UOS22" s="2950"/>
      <c r="UOT22" s="2950"/>
      <c r="UOU22" s="2950"/>
      <c r="UOV22" s="2950"/>
      <c r="UOW22" s="2950"/>
      <c r="UOX22" s="2950"/>
      <c r="UOY22" s="2950"/>
      <c r="UOZ22" s="2950"/>
      <c r="UPA22" s="2950"/>
      <c r="UPB22" s="2950"/>
      <c r="UPC22" s="2950"/>
      <c r="UPD22" s="2950"/>
      <c r="UPE22" s="2950"/>
      <c r="UPF22" s="2950"/>
      <c r="UPG22" s="2950"/>
      <c r="UPH22" s="2950"/>
      <c r="UPI22" s="2950"/>
      <c r="UPJ22" s="2950"/>
      <c r="UPK22" s="2950"/>
      <c r="UPL22" s="2950"/>
      <c r="UPM22" s="2950"/>
      <c r="UPN22" s="2950"/>
      <c r="UPO22" s="2950"/>
      <c r="UPP22" s="2950"/>
      <c r="UPQ22" s="2950"/>
      <c r="UPR22" s="2950"/>
      <c r="UPS22" s="2950"/>
      <c r="UPT22" s="2950"/>
      <c r="UPU22" s="2950"/>
      <c r="UPV22" s="2950"/>
      <c r="UPW22" s="2950"/>
      <c r="UPX22" s="2950"/>
      <c r="UPY22" s="2950"/>
      <c r="UPZ22" s="2950"/>
      <c r="UQA22" s="2950"/>
      <c r="UQB22" s="2950"/>
      <c r="UQC22" s="2950"/>
      <c r="UQD22" s="2950"/>
      <c r="UQE22" s="2950"/>
      <c r="UQF22" s="2950"/>
      <c r="UQG22" s="2950"/>
      <c r="UQH22" s="2950"/>
      <c r="UQI22" s="2950"/>
      <c r="UQJ22" s="2950"/>
      <c r="UQK22" s="2950"/>
      <c r="UQL22" s="2950"/>
      <c r="UQM22" s="2950"/>
      <c r="UQN22" s="2950"/>
      <c r="UQO22" s="2950"/>
      <c r="UQP22" s="2950"/>
      <c r="UQQ22" s="2950"/>
      <c r="UQR22" s="2950"/>
      <c r="UQS22" s="2950"/>
      <c r="UQT22" s="2950"/>
      <c r="UQU22" s="2950"/>
      <c r="UQV22" s="2950"/>
      <c r="UQW22" s="2950"/>
      <c r="UQX22" s="2950"/>
      <c r="UQY22" s="2950"/>
      <c r="UQZ22" s="2950"/>
      <c r="URA22" s="2950"/>
      <c r="URB22" s="2950"/>
      <c r="URC22" s="2950"/>
      <c r="URD22" s="2950"/>
      <c r="URE22" s="2950"/>
      <c r="URF22" s="2950"/>
      <c r="URG22" s="2950"/>
      <c r="URH22" s="2950"/>
      <c r="URI22" s="2950"/>
      <c r="URJ22" s="2950"/>
      <c r="URK22" s="2950"/>
      <c r="URL22" s="2950"/>
      <c r="URM22" s="2950"/>
      <c r="URN22" s="2950"/>
      <c r="URO22" s="2950"/>
      <c r="URP22" s="2950"/>
      <c r="URQ22" s="2950"/>
      <c r="URR22" s="2950"/>
      <c r="URS22" s="2950"/>
      <c r="URT22" s="2950"/>
      <c r="URU22" s="2950"/>
      <c r="URV22" s="2950"/>
      <c r="URW22" s="2950"/>
      <c r="URX22" s="2950"/>
      <c r="URY22" s="2950"/>
      <c r="URZ22" s="2950"/>
      <c r="USA22" s="2950"/>
      <c r="USB22" s="2950"/>
      <c r="USC22" s="2950"/>
      <c r="USD22" s="2950"/>
      <c r="USE22" s="2950"/>
      <c r="USF22" s="2950"/>
      <c r="USG22" s="2950"/>
      <c r="USH22" s="2950"/>
      <c r="USI22" s="2950"/>
      <c r="USJ22" s="2950"/>
      <c r="USK22" s="2950"/>
      <c r="USL22" s="2950"/>
      <c r="USM22" s="2950"/>
      <c r="USN22" s="2950"/>
      <c r="USO22" s="2950"/>
      <c r="USP22" s="2950"/>
      <c r="USQ22" s="2950"/>
      <c r="USR22" s="2950"/>
      <c r="USS22" s="2950"/>
      <c r="UST22" s="2950"/>
      <c r="USU22" s="2950"/>
      <c r="USV22" s="2950"/>
      <c r="USW22" s="2950"/>
      <c r="USX22" s="2950"/>
      <c r="USY22" s="2950"/>
      <c r="USZ22" s="2950"/>
      <c r="UTA22" s="2950"/>
      <c r="UTB22" s="2950"/>
      <c r="UTC22" s="2950"/>
      <c r="UTD22" s="2950"/>
      <c r="UTE22" s="2950"/>
      <c r="UTF22" s="2950"/>
      <c r="UTG22" s="2950"/>
      <c r="UTH22" s="2950"/>
      <c r="UTI22" s="2950"/>
      <c r="UTJ22" s="2950"/>
      <c r="UTK22" s="2950"/>
      <c r="UTL22" s="2950"/>
      <c r="UTM22" s="2950"/>
      <c r="UTN22" s="2950"/>
      <c r="UTO22" s="2950"/>
      <c r="UTP22" s="2950"/>
      <c r="UTQ22" s="2950"/>
      <c r="UTR22" s="2950"/>
      <c r="UTS22" s="2950"/>
      <c r="UTT22" s="2950"/>
      <c r="UTU22" s="2950"/>
      <c r="UTV22" s="2950"/>
      <c r="UTW22" s="2950"/>
      <c r="UTX22" s="2950"/>
      <c r="UTY22" s="2950"/>
      <c r="UTZ22" s="2950"/>
      <c r="UUA22" s="2950"/>
      <c r="UUB22" s="2950"/>
      <c r="UUC22" s="2950"/>
      <c r="UUD22" s="2950"/>
      <c r="UUE22" s="2950"/>
      <c r="UUF22" s="2950"/>
      <c r="UUG22" s="2950"/>
      <c r="UUH22" s="2950"/>
      <c r="UUI22" s="2950"/>
      <c r="UUJ22" s="2950"/>
      <c r="UUK22" s="2950"/>
      <c r="UUL22" s="2950"/>
      <c r="UUM22" s="2950"/>
      <c r="UUN22" s="2950"/>
      <c r="UUO22" s="2950"/>
      <c r="UUP22" s="2950"/>
      <c r="UUQ22" s="2950"/>
      <c r="UUR22" s="2950"/>
      <c r="UUS22" s="2950"/>
      <c r="UUT22" s="2950"/>
      <c r="UUU22" s="2950"/>
      <c r="UUV22" s="2950"/>
      <c r="UUW22" s="2950"/>
      <c r="UUX22" s="2950"/>
      <c r="UUY22" s="2950"/>
      <c r="UUZ22" s="2950"/>
      <c r="UVA22" s="2950"/>
      <c r="UVB22" s="2950"/>
      <c r="UVC22" s="2950"/>
      <c r="UVD22" s="2950"/>
      <c r="UVE22" s="2950"/>
      <c r="UVF22" s="2950"/>
      <c r="UVG22" s="2950"/>
      <c r="UVH22" s="2950"/>
      <c r="UVI22" s="2950"/>
      <c r="UVJ22" s="2950"/>
      <c r="UVK22" s="2950"/>
      <c r="UVL22" s="2950"/>
      <c r="UVM22" s="2950"/>
      <c r="UVN22" s="2950"/>
      <c r="UVO22" s="2950"/>
      <c r="UVP22" s="2950"/>
      <c r="UVQ22" s="2950"/>
      <c r="UVR22" s="2950"/>
      <c r="UVS22" s="2950"/>
      <c r="UVT22" s="2950"/>
      <c r="UVU22" s="2950"/>
      <c r="UVV22" s="2950"/>
      <c r="UVW22" s="2950"/>
      <c r="UVX22" s="2950"/>
      <c r="UVY22" s="2950"/>
      <c r="UVZ22" s="2950"/>
      <c r="UWA22" s="2950"/>
      <c r="UWB22" s="2950"/>
      <c r="UWC22" s="2950"/>
      <c r="UWD22" s="2950"/>
      <c r="UWE22" s="2950"/>
      <c r="UWF22" s="2950"/>
      <c r="UWG22" s="2950"/>
      <c r="UWH22" s="2950"/>
      <c r="UWI22" s="2950"/>
      <c r="UWJ22" s="2950"/>
      <c r="UWK22" s="2950"/>
      <c r="UWL22" s="2950"/>
      <c r="UWM22" s="2950"/>
      <c r="UWN22" s="2950"/>
      <c r="UWO22" s="2950"/>
      <c r="UWP22" s="2950"/>
      <c r="UWQ22" s="2950"/>
      <c r="UWR22" s="2950"/>
      <c r="UWS22" s="2950"/>
      <c r="UWT22" s="2950"/>
      <c r="UWU22" s="2950"/>
      <c r="UWV22" s="2950"/>
      <c r="UWW22" s="2950"/>
      <c r="UWX22" s="2950"/>
      <c r="UWY22" s="2950"/>
      <c r="UWZ22" s="2950"/>
      <c r="UXA22" s="2950"/>
      <c r="UXB22" s="2950"/>
      <c r="UXC22" s="2950"/>
      <c r="UXD22" s="2950"/>
      <c r="UXE22" s="2950"/>
      <c r="UXF22" s="2950"/>
      <c r="UXG22" s="2950"/>
      <c r="UXH22" s="2950"/>
      <c r="UXI22" s="2950"/>
      <c r="UXJ22" s="2950"/>
      <c r="UXK22" s="2950"/>
      <c r="UXL22" s="2950"/>
      <c r="UXM22" s="2950"/>
      <c r="UXN22" s="2950"/>
      <c r="UXO22" s="2950"/>
      <c r="UXP22" s="2950"/>
      <c r="UXQ22" s="2950"/>
      <c r="UXR22" s="2950"/>
      <c r="UXS22" s="2950"/>
      <c r="UXT22" s="2950"/>
      <c r="UXU22" s="2950"/>
      <c r="UXV22" s="2950"/>
      <c r="UXW22" s="2950"/>
      <c r="UXX22" s="2950"/>
      <c r="UXY22" s="2950"/>
      <c r="UXZ22" s="2950"/>
      <c r="UYA22" s="2950"/>
      <c r="UYB22" s="2950"/>
      <c r="UYC22" s="2950"/>
      <c r="UYD22" s="2950"/>
      <c r="UYE22" s="2950"/>
      <c r="UYF22" s="2950"/>
      <c r="UYG22" s="2950"/>
      <c r="UYH22" s="2950"/>
      <c r="UYI22" s="2950"/>
      <c r="UYJ22" s="2950"/>
      <c r="UYK22" s="2950"/>
      <c r="UYL22" s="2950"/>
      <c r="UYM22" s="2950"/>
      <c r="UYN22" s="2950"/>
      <c r="UYO22" s="2950"/>
      <c r="UYP22" s="2950"/>
      <c r="UYQ22" s="2950"/>
      <c r="UYR22" s="2950"/>
      <c r="UYS22" s="2950"/>
      <c r="UYT22" s="2950"/>
      <c r="UYU22" s="2950"/>
      <c r="UYV22" s="2950"/>
      <c r="UYW22" s="2950"/>
      <c r="UYX22" s="2950"/>
      <c r="UYY22" s="2950"/>
      <c r="UYZ22" s="2950"/>
      <c r="UZA22" s="2950"/>
      <c r="UZB22" s="2950"/>
      <c r="UZC22" s="2950"/>
      <c r="UZD22" s="2950"/>
      <c r="UZE22" s="2950"/>
      <c r="UZF22" s="2950"/>
      <c r="UZG22" s="2950"/>
      <c r="UZH22" s="2950"/>
      <c r="UZI22" s="2950"/>
      <c r="UZJ22" s="2950"/>
      <c r="UZK22" s="2950"/>
      <c r="UZL22" s="2950"/>
      <c r="UZM22" s="2950"/>
      <c r="UZN22" s="2950"/>
      <c r="UZO22" s="2950"/>
      <c r="UZP22" s="2950"/>
      <c r="UZQ22" s="2950"/>
      <c r="UZR22" s="2950"/>
      <c r="UZS22" s="2950"/>
      <c r="UZT22" s="2950"/>
      <c r="UZU22" s="2950"/>
      <c r="UZV22" s="2950"/>
      <c r="UZW22" s="2950"/>
      <c r="UZX22" s="2950"/>
      <c r="UZY22" s="2950"/>
      <c r="UZZ22" s="2950"/>
      <c r="VAA22" s="2950"/>
      <c r="VAB22" s="2950"/>
      <c r="VAC22" s="2950"/>
      <c r="VAD22" s="2950"/>
      <c r="VAE22" s="2950"/>
      <c r="VAF22" s="2950"/>
      <c r="VAG22" s="2950"/>
      <c r="VAH22" s="2950"/>
      <c r="VAI22" s="2950"/>
      <c r="VAJ22" s="2950"/>
      <c r="VAK22" s="2950"/>
      <c r="VAL22" s="2950"/>
      <c r="VAM22" s="2950"/>
      <c r="VAN22" s="2950"/>
      <c r="VAO22" s="2950"/>
      <c r="VAP22" s="2950"/>
      <c r="VAQ22" s="2950"/>
      <c r="VAR22" s="2950"/>
      <c r="VAS22" s="2950"/>
      <c r="VAT22" s="2950"/>
      <c r="VAU22" s="2950"/>
      <c r="VAV22" s="2950"/>
      <c r="VAW22" s="2950"/>
      <c r="VAX22" s="2950"/>
      <c r="VAY22" s="2950"/>
      <c r="VAZ22" s="2950"/>
      <c r="VBA22" s="2950"/>
      <c r="VBB22" s="2950"/>
      <c r="VBC22" s="2950"/>
      <c r="VBD22" s="2950"/>
      <c r="VBE22" s="2950"/>
      <c r="VBF22" s="2950"/>
      <c r="VBG22" s="2950"/>
      <c r="VBH22" s="2950"/>
      <c r="VBI22" s="2950"/>
      <c r="VBJ22" s="2950"/>
      <c r="VBK22" s="2950"/>
      <c r="VBL22" s="2950"/>
      <c r="VBM22" s="2950"/>
      <c r="VBN22" s="2950"/>
      <c r="VBO22" s="2950"/>
      <c r="VBP22" s="2950"/>
      <c r="VBQ22" s="2950"/>
      <c r="VBR22" s="2950"/>
      <c r="VBS22" s="2950"/>
      <c r="VBT22" s="2950"/>
      <c r="VBU22" s="2950"/>
      <c r="VBV22" s="2950"/>
      <c r="VBW22" s="2950"/>
      <c r="VBX22" s="2950"/>
      <c r="VBY22" s="2950"/>
      <c r="VBZ22" s="2950"/>
      <c r="VCA22" s="2950"/>
      <c r="VCB22" s="2950"/>
      <c r="VCC22" s="2950"/>
      <c r="VCD22" s="2950"/>
      <c r="VCE22" s="2950"/>
      <c r="VCF22" s="2950"/>
      <c r="VCG22" s="2950"/>
      <c r="VCH22" s="2950"/>
      <c r="VCI22" s="2950"/>
      <c r="VCJ22" s="2950"/>
      <c r="VCK22" s="2950"/>
      <c r="VCL22" s="2950"/>
      <c r="VCM22" s="2950"/>
      <c r="VCN22" s="2950"/>
      <c r="VCO22" s="2950"/>
      <c r="VCP22" s="2950"/>
      <c r="VCQ22" s="2950"/>
      <c r="VCR22" s="2950"/>
      <c r="VCS22" s="2950"/>
      <c r="VCT22" s="2950"/>
      <c r="VCU22" s="2950"/>
      <c r="VCV22" s="2950"/>
      <c r="VCW22" s="2950"/>
      <c r="VCX22" s="2950"/>
      <c r="VCY22" s="2950"/>
      <c r="VCZ22" s="2950"/>
      <c r="VDA22" s="2950"/>
      <c r="VDB22" s="2950"/>
      <c r="VDC22" s="2950"/>
      <c r="VDD22" s="2950"/>
      <c r="VDE22" s="2950"/>
      <c r="VDF22" s="2950"/>
      <c r="VDG22" s="2950"/>
      <c r="VDH22" s="2950"/>
      <c r="VDI22" s="2950"/>
      <c r="VDJ22" s="2950"/>
      <c r="VDK22" s="2950"/>
      <c r="VDL22" s="2950"/>
      <c r="VDM22" s="2950"/>
      <c r="VDN22" s="2950"/>
      <c r="VDO22" s="2950"/>
      <c r="VDP22" s="2950"/>
      <c r="VDQ22" s="2950"/>
      <c r="VDR22" s="2950"/>
      <c r="VDS22" s="2950"/>
      <c r="VDT22" s="2950"/>
      <c r="VDU22" s="2950"/>
      <c r="VDV22" s="2950"/>
      <c r="VDW22" s="2950"/>
      <c r="VDX22" s="2950"/>
      <c r="VDY22" s="2950"/>
      <c r="VDZ22" s="2950"/>
      <c r="VEA22" s="2950"/>
      <c r="VEB22" s="2950"/>
      <c r="VEC22" s="2950"/>
      <c r="VED22" s="2950"/>
      <c r="VEE22" s="2950"/>
      <c r="VEF22" s="2950"/>
      <c r="VEG22" s="2950"/>
      <c r="VEH22" s="2950"/>
      <c r="VEI22" s="2950"/>
      <c r="VEJ22" s="2950"/>
      <c r="VEK22" s="2950"/>
      <c r="VEL22" s="2950"/>
      <c r="VEM22" s="2950"/>
      <c r="VEN22" s="2950"/>
      <c r="VEO22" s="2950"/>
      <c r="VEP22" s="2950"/>
      <c r="VEQ22" s="2950"/>
      <c r="VER22" s="2950"/>
      <c r="VES22" s="2950"/>
      <c r="VET22" s="2950"/>
      <c r="VEU22" s="2950"/>
      <c r="VEV22" s="2950"/>
      <c r="VEW22" s="2950"/>
      <c r="VEX22" s="2950"/>
      <c r="VEY22" s="2950"/>
      <c r="VEZ22" s="2950"/>
      <c r="VFA22" s="2950"/>
      <c r="VFB22" s="2950"/>
      <c r="VFC22" s="2950"/>
      <c r="VFD22" s="2950"/>
      <c r="VFE22" s="2950"/>
      <c r="VFF22" s="2950"/>
      <c r="VFG22" s="2950"/>
      <c r="VFH22" s="2950"/>
      <c r="VFI22" s="2950"/>
      <c r="VFJ22" s="2950"/>
      <c r="VFK22" s="2950"/>
      <c r="VFL22" s="2950"/>
      <c r="VFM22" s="2950"/>
      <c r="VFN22" s="2950"/>
      <c r="VFO22" s="2950"/>
      <c r="VFP22" s="2950"/>
      <c r="VFQ22" s="2950"/>
      <c r="VFR22" s="2950"/>
      <c r="VFS22" s="2950"/>
      <c r="VFT22" s="2950"/>
      <c r="VFU22" s="2950"/>
      <c r="VFV22" s="2950"/>
      <c r="VFW22" s="2950"/>
      <c r="VFX22" s="2950"/>
      <c r="VFY22" s="2950"/>
      <c r="VFZ22" s="2950"/>
      <c r="VGA22" s="2950"/>
      <c r="VGB22" s="2950"/>
      <c r="VGC22" s="2950"/>
      <c r="VGD22" s="2950"/>
      <c r="VGE22" s="2950"/>
      <c r="VGF22" s="2950"/>
      <c r="VGG22" s="2950"/>
      <c r="VGH22" s="2950"/>
      <c r="VGI22" s="2950"/>
      <c r="VGJ22" s="2950"/>
      <c r="VGK22" s="2950"/>
      <c r="VGL22" s="2950"/>
      <c r="VGM22" s="2950"/>
      <c r="VGN22" s="2950"/>
      <c r="VGO22" s="2950"/>
      <c r="VGP22" s="2950"/>
      <c r="VGQ22" s="2950"/>
      <c r="VGR22" s="2950"/>
      <c r="VGS22" s="2950"/>
      <c r="VGT22" s="2950"/>
      <c r="VGU22" s="2950"/>
      <c r="VGV22" s="2950"/>
      <c r="VGW22" s="2950"/>
      <c r="VGX22" s="2950"/>
      <c r="VGY22" s="2950"/>
      <c r="VGZ22" s="2950"/>
      <c r="VHA22" s="2950"/>
      <c r="VHB22" s="2950"/>
      <c r="VHC22" s="2950"/>
      <c r="VHD22" s="2950"/>
      <c r="VHE22" s="2950"/>
      <c r="VHF22" s="2950"/>
      <c r="VHG22" s="2950"/>
      <c r="VHH22" s="2950"/>
      <c r="VHI22" s="2950"/>
      <c r="VHJ22" s="2950"/>
      <c r="VHK22" s="2950"/>
      <c r="VHL22" s="2950"/>
      <c r="VHM22" s="2950"/>
      <c r="VHN22" s="2950"/>
      <c r="VHO22" s="2950"/>
      <c r="VHP22" s="2950"/>
      <c r="VHQ22" s="2950"/>
      <c r="VHR22" s="2950"/>
      <c r="VHS22" s="2950"/>
      <c r="VHT22" s="2950"/>
      <c r="VHU22" s="2950"/>
      <c r="VHV22" s="2950"/>
      <c r="VHW22" s="2950"/>
      <c r="VHX22" s="2950"/>
      <c r="VHY22" s="2950"/>
      <c r="VHZ22" s="2950"/>
      <c r="VIA22" s="2950"/>
      <c r="VIB22" s="2950"/>
      <c r="VIC22" s="2950"/>
      <c r="VID22" s="2950"/>
      <c r="VIE22" s="2950"/>
      <c r="VIF22" s="2950"/>
      <c r="VIG22" s="2950"/>
      <c r="VIH22" s="2950"/>
      <c r="VII22" s="2950"/>
      <c r="VIJ22" s="2950"/>
      <c r="VIK22" s="2950"/>
      <c r="VIL22" s="2950"/>
      <c r="VIM22" s="2950"/>
      <c r="VIN22" s="2950"/>
      <c r="VIO22" s="2950"/>
      <c r="VIP22" s="2950"/>
      <c r="VIQ22" s="2950"/>
      <c r="VIR22" s="2950"/>
      <c r="VIS22" s="2950"/>
      <c r="VIT22" s="2950"/>
      <c r="VIU22" s="2950"/>
      <c r="VIV22" s="2950"/>
      <c r="VIW22" s="2950"/>
      <c r="VIX22" s="2950"/>
      <c r="VIY22" s="2950"/>
      <c r="VIZ22" s="2950"/>
      <c r="VJA22" s="2950"/>
      <c r="VJB22" s="2950"/>
      <c r="VJC22" s="2950"/>
      <c r="VJD22" s="2950"/>
      <c r="VJE22" s="2950"/>
      <c r="VJF22" s="2950"/>
      <c r="VJG22" s="2950"/>
      <c r="VJH22" s="2950"/>
      <c r="VJI22" s="2950"/>
      <c r="VJJ22" s="2950"/>
      <c r="VJK22" s="2950"/>
      <c r="VJL22" s="2950"/>
      <c r="VJM22" s="2950"/>
      <c r="VJN22" s="2950"/>
      <c r="VJO22" s="2950"/>
      <c r="VJP22" s="2950"/>
      <c r="VJQ22" s="2950"/>
      <c r="VJR22" s="2950"/>
      <c r="VJS22" s="2950"/>
      <c r="VJT22" s="2950"/>
      <c r="VJU22" s="2950"/>
      <c r="VJV22" s="2950"/>
      <c r="VJW22" s="2950"/>
      <c r="VJX22" s="2950"/>
      <c r="VJY22" s="2950"/>
      <c r="VJZ22" s="2950"/>
      <c r="VKA22" s="2950"/>
      <c r="VKB22" s="2950"/>
      <c r="VKC22" s="2950"/>
      <c r="VKD22" s="2950"/>
      <c r="VKE22" s="2950"/>
      <c r="VKF22" s="2950"/>
      <c r="VKG22" s="2950"/>
      <c r="VKH22" s="2950"/>
      <c r="VKI22" s="2950"/>
      <c r="VKJ22" s="2950"/>
      <c r="VKK22" s="2950"/>
      <c r="VKL22" s="2950"/>
      <c r="VKM22" s="2950"/>
      <c r="VKN22" s="2950"/>
      <c r="VKO22" s="2950"/>
      <c r="VKP22" s="2950"/>
      <c r="VKQ22" s="2950"/>
      <c r="VKR22" s="2950"/>
      <c r="VKS22" s="2950"/>
      <c r="VKT22" s="2950"/>
      <c r="VKU22" s="2950"/>
      <c r="VKV22" s="2950"/>
      <c r="VKW22" s="2950"/>
      <c r="VKX22" s="2950"/>
      <c r="VKY22" s="2950"/>
      <c r="VKZ22" s="2950"/>
      <c r="VLA22" s="2950"/>
      <c r="VLB22" s="2950"/>
      <c r="VLC22" s="2950"/>
      <c r="VLD22" s="2950"/>
      <c r="VLE22" s="2950"/>
      <c r="VLF22" s="2950"/>
      <c r="VLG22" s="2950"/>
      <c r="VLH22" s="2950"/>
      <c r="VLI22" s="2950"/>
      <c r="VLJ22" s="2950"/>
      <c r="VLK22" s="2950"/>
      <c r="VLL22" s="2950"/>
      <c r="VLM22" s="2950"/>
      <c r="VLN22" s="2950"/>
      <c r="VLO22" s="2950"/>
      <c r="VLP22" s="2950"/>
      <c r="VLQ22" s="2950"/>
      <c r="VLR22" s="2950"/>
      <c r="VLS22" s="2950"/>
      <c r="VLT22" s="2950"/>
      <c r="VLU22" s="2950"/>
      <c r="VLV22" s="2950"/>
      <c r="VLW22" s="2950"/>
      <c r="VLX22" s="2950"/>
      <c r="VLY22" s="2950"/>
      <c r="VLZ22" s="2950"/>
      <c r="VMA22" s="2950"/>
      <c r="VMB22" s="2950"/>
      <c r="VMC22" s="2950"/>
      <c r="VMD22" s="2950"/>
      <c r="VME22" s="2950"/>
      <c r="VMF22" s="2950"/>
      <c r="VMG22" s="2950"/>
      <c r="VMH22" s="2950"/>
      <c r="VMI22" s="2950"/>
      <c r="VMJ22" s="2950"/>
      <c r="VMK22" s="2950"/>
      <c r="VML22" s="2950"/>
      <c r="VMM22" s="2950"/>
      <c r="VMN22" s="2950"/>
      <c r="VMO22" s="2950"/>
      <c r="VMP22" s="2950"/>
      <c r="VMQ22" s="2950"/>
      <c r="VMR22" s="2950"/>
      <c r="VMS22" s="2950"/>
      <c r="VMT22" s="2950"/>
      <c r="VMU22" s="2950"/>
      <c r="VMV22" s="2950"/>
      <c r="VMW22" s="2950"/>
      <c r="VMX22" s="2950"/>
      <c r="VMY22" s="2950"/>
      <c r="VMZ22" s="2950"/>
      <c r="VNA22" s="2950"/>
      <c r="VNB22" s="2950"/>
      <c r="VNC22" s="2950"/>
      <c r="VND22" s="2950"/>
      <c r="VNE22" s="2950"/>
      <c r="VNF22" s="2950"/>
      <c r="VNG22" s="2950"/>
      <c r="VNH22" s="2950"/>
      <c r="VNI22" s="2950"/>
      <c r="VNJ22" s="2950"/>
      <c r="VNK22" s="2950"/>
      <c r="VNL22" s="2950"/>
      <c r="VNM22" s="2950"/>
      <c r="VNN22" s="2950"/>
      <c r="VNO22" s="2950"/>
      <c r="VNP22" s="2950"/>
      <c r="VNQ22" s="2950"/>
      <c r="VNR22" s="2950"/>
      <c r="VNS22" s="2950"/>
      <c r="VNT22" s="2950"/>
      <c r="VNU22" s="2950"/>
      <c r="VNV22" s="2950"/>
      <c r="VNW22" s="2950"/>
      <c r="VNX22" s="2950"/>
      <c r="VNY22" s="2950"/>
      <c r="VNZ22" s="2950"/>
      <c r="VOA22" s="2950"/>
      <c r="VOB22" s="2950"/>
      <c r="VOC22" s="2950"/>
      <c r="VOD22" s="2950"/>
      <c r="VOE22" s="2950"/>
      <c r="VOF22" s="2950"/>
      <c r="VOG22" s="2950"/>
      <c r="VOH22" s="2950"/>
      <c r="VOI22" s="2950"/>
      <c r="VOJ22" s="2950"/>
      <c r="VOK22" s="2950"/>
      <c r="VOL22" s="2950"/>
      <c r="VOM22" s="2950"/>
      <c r="VON22" s="2950"/>
      <c r="VOO22" s="2950"/>
      <c r="VOP22" s="2950"/>
      <c r="VOQ22" s="2950"/>
      <c r="VOR22" s="2950"/>
      <c r="VOS22" s="2950"/>
      <c r="VOT22" s="2950"/>
      <c r="VOU22" s="2950"/>
      <c r="VOV22" s="2950"/>
      <c r="VOW22" s="2950"/>
      <c r="VOX22" s="2950"/>
      <c r="VOY22" s="2950"/>
      <c r="VOZ22" s="2950"/>
      <c r="VPA22" s="2950"/>
      <c r="VPB22" s="2950"/>
      <c r="VPC22" s="2950"/>
      <c r="VPD22" s="2950"/>
      <c r="VPE22" s="2950"/>
      <c r="VPF22" s="2950"/>
      <c r="VPG22" s="2950"/>
      <c r="VPH22" s="2950"/>
      <c r="VPI22" s="2950"/>
      <c r="VPJ22" s="2950"/>
      <c r="VPK22" s="2950"/>
      <c r="VPL22" s="2950"/>
      <c r="VPM22" s="2950"/>
      <c r="VPN22" s="2950"/>
      <c r="VPO22" s="2950"/>
      <c r="VPP22" s="2950"/>
      <c r="VPQ22" s="2950"/>
      <c r="VPR22" s="2950"/>
      <c r="VPS22" s="2950"/>
      <c r="VPT22" s="2950"/>
      <c r="VPU22" s="2950"/>
      <c r="VPV22" s="2950"/>
      <c r="VPW22" s="2950"/>
      <c r="VPX22" s="2950"/>
      <c r="VPY22" s="2950"/>
      <c r="VPZ22" s="2950"/>
      <c r="VQA22" s="2950"/>
      <c r="VQB22" s="2950"/>
      <c r="VQC22" s="2950"/>
      <c r="VQD22" s="2950"/>
      <c r="VQE22" s="2950"/>
      <c r="VQF22" s="2950"/>
      <c r="VQG22" s="2950"/>
      <c r="VQH22" s="2950"/>
      <c r="VQI22" s="2950"/>
      <c r="VQJ22" s="2950"/>
      <c r="VQK22" s="2950"/>
      <c r="VQL22" s="2950"/>
      <c r="VQM22" s="2950"/>
      <c r="VQN22" s="2950"/>
      <c r="VQO22" s="2950"/>
      <c r="VQP22" s="2950"/>
      <c r="VQQ22" s="2950"/>
      <c r="VQR22" s="2950"/>
      <c r="VQS22" s="2950"/>
      <c r="VQT22" s="2950"/>
      <c r="VQU22" s="2950"/>
      <c r="VQV22" s="2950"/>
      <c r="VQW22" s="2950"/>
      <c r="VQX22" s="2950"/>
      <c r="VQY22" s="2950"/>
      <c r="VQZ22" s="2950"/>
      <c r="VRA22" s="2950"/>
      <c r="VRB22" s="2950"/>
      <c r="VRC22" s="2950"/>
      <c r="VRD22" s="2950"/>
      <c r="VRE22" s="2950"/>
      <c r="VRF22" s="2950"/>
      <c r="VRG22" s="2950"/>
      <c r="VRH22" s="2950"/>
      <c r="VRI22" s="2950"/>
      <c r="VRJ22" s="2950"/>
      <c r="VRK22" s="2950"/>
      <c r="VRL22" s="2950"/>
      <c r="VRM22" s="2950"/>
      <c r="VRN22" s="2950"/>
      <c r="VRO22" s="2950"/>
      <c r="VRP22" s="2950"/>
      <c r="VRQ22" s="2950"/>
      <c r="VRR22" s="2950"/>
      <c r="VRS22" s="2950"/>
      <c r="VRT22" s="2950"/>
      <c r="VRU22" s="2950"/>
      <c r="VRV22" s="2950"/>
      <c r="VRW22" s="2950"/>
      <c r="VRX22" s="2950"/>
      <c r="VRY22" s="2950"/>
      <c r="VRZ22" s="2950"/>
      <c r="VSA22" s="2950"/>
      <c r="VSB22" s="2950"/>
      <c r="VSC22" s="2950"/>
      <c r="VSD22" s="2950"/>
      <c r="VSE22" s="2950"/>
      <c r="VSF22" s="2950"/>
      <c r="VSG22" s="2950"/>
      <c r="VSH22" s="2950"/>
      <c r="VSI22" s="2950"/>
      <c r="VSJ22" s="2950"/>
      <c r="VSK22" s="2950"/>
      <c r="VSL22" s="2950"/>
      <c r="VSM22" s="2950"/>
      <c r="VSN22" s="2950"/>
      <c r="VSO22" s="2950"/>
      <c r="VSP22" s="2950"/>
      <c r="VSQ22" s="2950"/>
      <c r="VSR22" s="2950"/>
      <c r="VSS22" s="2950"/>
      <c r="VST22" s="2950"/>
      <c r="VSU22" s="2950"/>
      <c r="VSV22" s="2950"/>
      <c r="VSW22" s="2950"/>
      <c r="VSX22" s="2950"/>
      <c r="VSY22" s="2950"/>
      <c r="VSZ22" s="2950"/>
      <c r="VTA22" s="2950"/>
      <c r="VTB22" s="2950"/>
      <c r="VTC22" s="2950"/>
      <c r="VTD22" s="2950"/>
      <c r="VTE22" s="2950"/>
      <c r="VTF22" s="2950"/>
      <c r="VTG22" s="2950"/>
      <c r="VTH22" s="2950"/>
      <c r="VTI22" s="2950"/>
      <c r="VTJ22" s="2950"/>
      <c r="VTK22" s="2950"/>
      <c r="VTL22" s="2950"/>
      <c r="VTM22" s="2950"/>
      <c r="VTN22" s="2950"/>
      <c r="VTO22" s="2950"/>
      <c r="VTP22" s="2950"/>
      <c r="VTQ22" s="2950"/>
      <c r="VTR22" s="2950"/>
      <c r="VTS22" s="2950"/>
      <c r="VTT22" s="2950"/>
      <c r="VTU22" s="2950"/>
      <c r="VTV22" s="2950"/>
      <c r="VTW22" s="2950"/>
      <c r="VTX22" s="2950"/>
      <c r="VTY22" s="2950"/>
      <c r="VTZ22" s="2950"/>
      <c r="VUA22" s="2950"/>
      <c r="VUB22" s="2950"/>
      <c r="VUC22" s="2950"/>
      <c r="VUD22" s="2950"/>
      <c r="VUE22" s="2950"/>
      <c r="VUF22" s="2950"/>
      <c r="VUG22" s="2950"/>
      <c r="VUH22" s="2950"/>
      <c r="VUI22" s="2950"/>
      <c r="VUJ22" s="2950"/>
      <c r="VUK22" s="2950"/>
      <c r="VUL22" s="2950"/>
      <c r="VUM22" s="2950"/>
      <c r="VUN22" s="2950"/>
      <c r="VUO22" s="2950"/>
      <c r="VUP22" s="2950"/>
      <c r="VUQ22" s="2950"/>
      <c r="VUR22" s="2950"/>
      <c r="VUS22" s="2950"/>
      <c r="VUT22" s="2950"/>
      <c r="VUU22" s="2950"/>
      <c r="VUV22" s="2950"/>
      <c r="VUW22" s="2950"/>
      <c r="VUX22" s="2950"/>
      <c r="VUY22" s="2950"/>
      <c r="VUZ22" s="2950"/>
      <c r="VVA22" s="2950"/>
      <c r="VVB22" s="2950"/>
      <c r="VVC22" s="2950"/>
      <c r="VVD22" s="2950"/>
      <c r="VVE22" s="2950"/>
      <c r="VVF22" s="2950"/>
      <c r="VVG22" s="2950"/>
      <c r="VVH22" s="2950"/>
      <c r="VVI22" s="2950"/>
      <c r="VVJ22" s="2950"/>
      <c r="VVK22" s="2950"/>
      <c r="VVL22" s="2950"/>
      <c r="VVM22" s="2950"/>
      <c r="VVN22" s="2950"/>
      <c r="VVO22" s="2950"/>
      <c r="VVP22" s="2950"/>
      <c r="VVQ22" s="2950"/>
      <c r="VVR22" s="2950"/>
      <c r="VVS22" s="2950"/>
      <c r="VVT22" s="2950"/>
      <c r="VVU22" s="2950"/>
      <c r="VVV22" s="2950"/>
      <c r="VVW22" s="2950"/>
      <c r="VVX22" s="2950"/>
      <c r="VVY22" s="2950"/>
      <c r="VVZ22" s="2950"/>
      <c r="VWA22" s="2950"/>
      <c r="VWB22" s="2950"/>
      <c r="VWC22" s="2950"/>
      <c r="VWD22" s="2950"/>
      <c r="VWE22" s="2950"/>
      <c r="VWF22" s="2950"/>
      <c r="VWG22" s="2950"/>
      <c r="VWH22" s="2950"/>
      <c r="VWI22" s="2950"/>
      <c r="VWJ22" s="2950"/>
      <c r="VWK22" s="2950"/>
      <c r="VWL22" s="2950"/>
      <c r="VWM22" s="2950"/>
      <c r="VWN22" s="2950"/>
      <c r="VWO22" s="2950"/>
      <c r="VWP22" s="2950"/>
      <c r="VWQ22" s="2950"/>
      <c r="VWR22" s="2950"/>
      <c r="VWS22" s="2950"/>
      <c r="VWT22" s="2950"/>
      <c r="VWU22" s="2950"/>
      <c r="VWV22" s="2950"/>
      <c r="VWW22" s="2950"/>
      <c r="VWX22" s="2950"/>
      <c r="VWY22" s="2950"/>
      <c r="VWZ22" s="2950"/>
      <c r="VXA22" s="2950"/>
      <c r="VXB22" s="2950"/>
      <c r="VXC22" s="2950"/>
      <c r="VXD22" s="2950"/>
      <c r="VXE22" s="2950"/>
      <c r="VXF22" s="2950"/>
      <c r="VXG22" s="2950"/>
      <c r="VXH22" s="2950"/>
      <c r="VXI22" s="2950"/>
      <c r="VXJ22" s="2950"/>
      <c r="VXK22" s="2950"/>
      <c r="VXL22" s="2950"/>
      <c r="VXM22" s="2950"/>
      <c r="VXN22" s="2950"/>
      <c r="VXO22" s="2950"/>
      <c r="VXP22" s="2950"/>
      <c r="VXQ22" s="2950"/>
      <c r="VXR22" s="2950"/>
      <c r="VXS22" s="2950"/>
      <c r="VXT22" s="2950"/>
      <c r="VXU22" s="2950"/>
      <c r="VXV22" s="2950"/>
      <c r="VXW22" s="2950"/>
      <c r="VXX22" s="2950"/>
      <c r="VXY22" s="2950"/>
      <c r="VXZ22" s="2950"/>
      <c r="VYA22" s="2950"/>
      <c r="VYB22" s="2950"/>
      <c r="VYC22" s="2950"/>
      <c r="VYD22" s="2950"/>
      <c r="VYE22" s="2950"/>
      <c r="VYF22" s="2950"/>
      <c r="VYG22" s="2950"/>
      <c r="VYH22" s="2950"/>
      <c r="VYI22" s="2950"/>
      <c r="VYJ22" s="2950"/>
      <c r="VYK22" s="2950"/>
      <c r="VYL22" s="2950"/>
      <c r="VYM22" s="2950"/>
      <c r="VYN22" s="2950"/>
      <c r="VYO22" s="2950"/>
      <c r="VYP22" s="2950"/>
      <c r="VYQ22" s="2950"/>
      <c r="VYR22" s="2950"/>
      <c r="VYS22" s="2950"/>
      <c r="VYT22" s="2950"/>
      <c r="VYU22" s="2950"/>
      <c r="VYV22" s="2950"/>
      <c r="VYW22" s="2950"/>
      <c r="VYX22" s="2950"/>
      <c r="VYY22" s="2950"/>
      <c r="VYZ22" s="2950"/>
      <c r="VZA22" s="2950"/>
      <c r="VZB22" s="2950"/>
      <c r="VZC22" s="2950"/>
      <c r="VZD22" s="2950"/>
      <c r="VZE22" s="2950"/>
      <c r="VZF22" s="2950"/>
      <c r="VZG22" s="2950"/>
      <c r="VZH22" s="2950"/>
      <c r="VZI22" s="2950"/>
      <c r="VZJ22" s="2950"/>
      <c r="VZK22" s="2950"/>
      <c r="VZL22" s="2950"/>
      <c r="VZM22" s="2950"/>
      <c r="VZN22" s="2950"/>
      <c r="VZO22" s="2950"/>
      <c r="VZP22" s="2950"/>
      <c r="VZQ22" s="2950"/>
      <c r="VZR22" s="2950"/>
      <c r="VZS22" s="2950"/>
      <c r="VZT22" s="2950"/>
      <c r="VZU22" s="2950"/>
      <c r="VZV22" s="2950"/>
      <c r="VZW22" s="2950"/>
      <c r="VZX22" s="2950"/>
      <c r="VZY22" s="2950"/>
      <c r="VZZ22" s="2950"/>
      <c r="WAA22" s="2950"/>
      <c r="WAB22" s="2950"/>
      <c r="WAC22" s="2950"/>
      <c r="WAD22" s="2950"/>
      <c r="WAE22" s="2950"/>
      <c r="WAF22" s="2950"/>
      <c r="WAG22" s="2950"/>
      <c r="WAH22" s="2950"/>
      <c r="WAI22" s="2950"/>
      <c r="WAJ22" s="2950"/>
      <c r="WAK22" s="2950"/>
      <c r="WAL22" s="2950"/>
      <c r="WAM22" s="2950"/>
      <c r="WAN22" s="2950"/>
      <c r="WAO22" s="2950"/>
      <c r="WAP22" s="2950"/>
      <c r="WAQ22" s="2950"/>
      <c r="WAR22" s="2950"/>
      <c r="WAS22" s="2950"/>
      <c r="WAT22" s="2950"/>
      <c r="WAU22" s="2950"/>
      <c r="WAV22" s="2950"/>
      <c r="WAW22" s="2950"/>
      <c r="WAX22" s="2950"/>
      <c r="WAY22" s="2950"/>
      <c r="WAZ22" s="2950"/>
      <c r="WBA22" s="2950"/>
      <c r="WBB22" s="2950"/>
      <c r="WBC22" s="2950"/>
      <c r="WBD22" s="2950"/>
      <c r="WBE22" s="2950"/>
      <c r="WBF22" s="2950"/>
      <c r="WBG22" s="2950"/>
      <c r="WBH22" s="2950"/>
      <c r="WBI22" s="2950"/>
      <c r="WBJ22" s="2950"/>
      <c r="WBK22" s="2950"/>
      <c r="WBL22" s="2950"/>
      <c r="WBM22" s="2950"/>
      <c r="WBN22" s="2950"/>
      <c r="WBO22" s="2950"/>
      <c r="WBP22" s="2950"/>
      <c r="WBQ22" s="2950"/>
      <c r="WBR22" s="2950"/>
      <c r="WBS22" s="2950"/>
      <c r="WBT22" s="2950"/>
      <c r="WBU22" s="2950"/>
      <c r="WBV22" s="2950"/>
      <c r="WBW22" s="2950"/>
      <c r="WBX22" s="2950"/>
      <c r="WBY22" s="2950"/>
      <c r="WBZ22" s="2950"/>
      <c r="WCA22" s="2950"/>
      <c r="WCB22" s="2950"/>
      <c r="WCC22" s="2950"/>
      <c r="WCD22" s="2950"/>
      <c r="WCE22" s="2950"/>
      <c r="WCF22" s="2950"/>
      <c r="WCG22" s="2950"/>
      <c r="WCH22" s="2950"/>
      <c r="WCI22" s="2950"/>
      <c r="WCJ22" s="2950"/>
      <c r="WCK22" s="2950"/>
      <c r="WCL22" s="2950"/>
      <c r="WCM22" s="2950"/>
      <c r="WCN22" s="2950"/>
      <c r="WCO22" s="2950"/>
      <c r="WCP22" s="2950"/>
      <c r="WCQ22" s="2950"/>
      <c r="WCR22" s="2950"/>
      <c r="WCS22" s="2950"/>
      <c r="WCT22" s="2950"/>
      <c r="WCU22" s="2950"/>
      <c r="WCV22" s="2950"/>
      <c r="WCW22" s="2950"/>
      <c r="WCX22" s="2950"/>
      <c r="WCY22" s="2950"/>
      <c r="WCZ22" s="2950"/>
      <c r="WDA22" s="2950"/>
      <c r="WDB22" s="2950"/>
      <c r="WDC22" s="2950"/>
      <c r="WDD22" s="2950"/>
      <c r="WDE22" s="2950"/>
      <c r="WDF22" s="2950"/>
      <c r="WDG22" s="2950"/>
      <c r="WDH22" s="2950"/>
      <c r="WDI22" s="2950"/>
      <c r="WDJ22" s="2950"/>
      <c r="WDK22" s="2950"/>
      <c r="WDL22" s="2950"/>
      <c r="WDM22" s="2950"/>
      <c r="WDN22" s="2950"/>
      <c r="WDO22" s="2950"/>
      <c r="WDP22" s="2950"/>
      <c r="WDQ22" s="2950"/>
      <c r="WDR22" s="2950"/>
      <c r="WDS22" s="2950"/>
      <c r="WDT22" s="2950"/>
      <c r="WDU22" s="2950"/>
      <c r="WDV22" s="2950"/>
      <c r="WDW22" s="2950"/>
      <c r="WDX22" s="2950"/>
      <c r="WDY22" s="2950"/>
      <c r="WDZ22" s="2950"/>
      <c r="WEA22" s="2950"/>
      <c r="WEB22" s="2950"/>
      <c r="WEC22" s="2950"/>
      <c r="WED22" s="2950"/>
      <c r="WEE22" s="2950"/>
      <c r="WEF22" s="2950"/>
      <c r="WEG22" s="2950"/>
      <c r="WEH22" s="2950"/>
      <c r="WEI22" s="2950"/>
      <c r="WEJ22" s="2950"/>
      <c r="WEK22" s="2950"/>
      <c r="WEL22" s="2950"/>
      <c r="WEM22" s="2950"/>
      <c r="WEN22" s="2950"/>
      <c r="WEO22" s="2950"/>
      <c r="WEP22" s="2950"/>
      <c r="WEQ22" s="2950"/>
      <c r="WER22" s="2950"/>
      <c r="WES22" s="2950"/>
      <c r="WET22" s="2950"/>
      <c r="WEU22" s="2950"/>
      <c r="WEV22" s="2950"/>
      <c r="WEW22" s="2950"/>
      <c r="WEX22" s="2950"/>
      <c r="WEY22" s="2950"/>
      <c r="WEZ22" s="2950"/>
      <c r="WFA22" s="2950"/>
      <c r="WFB22" s="2950"/>
      <c r="WFC22" s="2950"/>
      <c r="WFD22" s="2950"/>
      <c r="WFE22" s="2950"/>
      <c r="WFF22" s="2950"/>
      <c r="WFG22" s="2950"/>
      <c r="WFH22" s="2950"/>
      <c r="WFI22" s="2950"/>
      <c r="WFJ22" s="2950"/>
      <c r="WFK22" s="2950"/>
      <c r="WFL22" s="2950"/>
      <c r="WFM22" s="2950"/>
      <c r="WFN22" s="2950"/>
      <c r="WFO22" s="2950"/>
      <c r="WFP22" s="2950"/>
      <c r="WFQ22" s="2950"/>
      <c r="WFR22" s="2950"/>
      <c r="WFS22" s="2950"/>
      <c r="WFT22" s="2950"/>
      <c r="WFU22" s="2950"/>
      <c r="WFV22" s="2950"/>
      <c r="WFW22" s="2950"/>
      <c r="WFX22" s="2950"/>
      <c r="WFY22" s="2950"/>
      <c r="WFZ22" s="2950"/>
      <c r="WGA22" s="2950"/>
      <c r="WGB22" s="2950"/>
      <c r="WGC22" s="2950"/>
      <c r="WGD22" s="2950"/>
      <c r="WGE22" s="2950"/>
      <c r="WGF22" s="2950"/>
      <c r="WGG22" s="2950"/>
      <c r="WGH22" s="2950"/>
      <c r="WGI22" s="2950"/>
      <c r="WGJ22" s="2950"/>
      <c r="WGK22" s="2950"/>
      <c r="WGL22" s="2950"/>
      <c r="WGM22" s="2950"/>
      <c r="WGN22" s="2950"/>
      <c r="WGO22" s="2950"/>
      <c r="WGP22" s="2950"/>
      <c r="WGQ22" s="2950"/>
      <c r="WGR22" s="2950"/>
      <c r="WGS22" s="2950"/>
      <c r="WGT22" s="2950"/>
      <c r="WGU22" s="2950"/>
      <c r="WGV22" s="2950"/>
      <c r="WGW22" s="2950"/>
      <c r="WGX22" s="2950"/>
      <c r="WGY22" s="2950"/>
      <c r="WGZ22" s="2950"/>
      <c r="WHA22" s="2950"/>
      <c r="WHB22" s="2950"/>
      <c r="WHC22" s="2950"/>
      <c r="WHD22" s="2950"/>
      <c r="WHE22" s="2950"/>
      <c r="WHF22" s="2950"/>
      <c r="WHG22" s="2950"/>
      <c r="WHH22" s="2950"/>
      <c r="WHI22" s="2950"/>
      <c r="WHJ22" s="2950"/>
      <c r="WHK22" s="2950"/>
      <c r="WHL22" s="2950"/>
      <c r="WHM22" s="2950"/>
      <c r="WHN22" s="2950"/>
      <c r="WHO22" s="2950"/>
      <c r="WHP22" s="2950"/>
      <c r="WHQ22" s="2950"/>
      <c r="WHR22" s="2950"/>
      <c r="WHS22" s="2950"/>
      <c r="WHT22" s="2950"/>
      <c r="WHU22" s="2950"/>
      <c r="WHV22" s="2950"/>
      <c r="WHW22" s="2950"/>
      <c r="WHX22" s="2950"/>
      <c r="WHY22" s="2950"/>
      <c r="WHZ22" s="2950"/>
      <c r="WIA22" s="2950"/>
      <c r="WIB22" s="2950"/>
      <c r="WIC22" s="2950"/>
      <c r="WID22" s="2950"/>
      <c r="WIE22" s="2950"/>
      <c r="WIF22" s="2950"/>
      <c r="WIG22" s="2950"/>
      <c r="WIH22" s="2950"/>
      <c r="WII22" s="2950"/>
      <c r="WIJ22" s="2950"/>
      <c r="WIK22" s="2950"/>
      <c r="WIL22" s="2950"/>
      <c r="WIM22" s="2950"/>
      <c r="WIN22" s="2950"/>
      <c r="WIO22" s="2950"/>
      <c r="WIP22" s="2950"/>
      <c r="WIQ22" s="2950"/>
      <c r="WIR22" s="2950"/>
      <c r="WIS22" s="2950"/>
      <c r="WIT22" s="2950"/>
      <c r="WIU22" s="2950"/>
      <c r="WIV22" s="2950"/>
      <c r="WIW22" s="2950"/>
      <c r="WIX22" s="2950"/>
      <c r="WIY22" s="2950"/>
      <c r="WIZ22" s="2950"/>
      <c r="WJA22" s="2950"/>
      <c r="WJB22" s="2950"/>
      <c r="WJC22" s="2950"/>
      <c r="WJD22" s="2950"/>
      <c r="WJE22" s="2950"/>
      <c r="WJF22" s="2950"/>
      <c r="WJG22" s="2950"/>
      <c r="WJH22" s="2950"/>
      <c r="WJI22" s="2950"/>
      <c r="WJJ22" s="2950"/>
      <c r="WJK22" s="2950"/>
      <c r="WJL22" s="2950"/>
      <c r="WJM22" s="2950"/>
      <c r="WJN22" s="2950"/>
      <c r="WJO22" s="2950"/>
      <c r="WJP22" s="2950"/>
      <c r="WJQ22" s="2950"/>
      <c r="WJR22" s="2950"/>
      <c r="WJS22" s="2950"/>
      <c r="WJT22" s="2950"/>
      <c r="WJU22" s="2950"/>
      <c r="WJV22" s="2950"/>
      <c r="WJW22" s="2950"/>
      <c r="WJX22" s="2950"/>
      <c r="WJY22" s="2950"/>
      <c r="WJZ22" s="2950"/>
      <c r="WKA22" s="2950"/>
      <c r="WKB22" s="2950"/>
      <c r="WKC22" s="2950"/>
      <c r="WKD22" s="2950"/>
      <c r="WKE22" s="2950"/>
      <c r="WKF22" s="2950"/>
      <c r="WKG22" s="2950"/>
      <c r="WKH22" s="2950"/>
      <c r="WKI22" s="2950"/>
      <c r="WKJ22" s="2950"/>
      <c r="WKK22" s="2950"/>
      <c r="WKL22" s="2950"/>
      <c r="WKM22" s="2950"/>
      <c r="WKN22" s="2950"/>
      <c r="WKO22" s="2950"/>
      <c r="WKP22" s="2950"/>
      <c r="WKQ22" s="2950"/>
      <c r="WKR22" s="2950"/>
      <c r="WKS22" s="2950"/>
      <c r="WKT22" s="2950"/>
      <c r="WKU22" s="2950"/>
      <c r="WKV22" s="2950"/>
      <c r="WKW22" s="2950"/>
      <c r="WKX22" s="2950"/>
      <c r="WKY22" s="2950"/>
      <c r="WKZ22" s="2950"/>
      <c r="WLA22" s="2950"/>
      <c r="WLB22" s="2950"/>
      <c r="WLC22" s="2950"/>
      <c r="WLD22" s="2950"/>
      <c r="WLE22" s="2950"/>
      <c r="WLF22" s="2950"/>
      <c r="WLG22" s="2950"/>
      <c r="WLH22" s="2950"/>
      <c r="WLI22" s="2950"/>
      <c r="WLJ22" s="2950"/>
      <c r="WLK22" s="2950"/>
      <c r="WLL22" s="2950"/>
      <c r="WLM22" s="2950"/>
      <c r="WLN22" s="2950"/>
      <c r="WLO22" s="2950"/>
      <c r="WLP22" s="2950"/>
      <c r="WLQ22" s="2950"/>
      <c r="WLR22" s="2950"/>
      <c r="WLS22" s="2950"/>
      <c r="WLT22" s="2950"/>
      <c r="WLU22" s="2950"/>
      <c r="WLV22" s="2950"/>
      <c r="WLW22" s="2950"/>
      <c r="WLX22" s="2950"/>
      <c r="WLY22" s="2950"/>
      <c r="WLZ22" s="2950"/>
      <c r="WMA22" s="2950"/>
      <c r="WMB22" s="2950"/>
      <c r="WMC22" s="2950"/>
      <c r="WMD22" s="2950"/>
      <c r="WME22" s="2950"/>
      <c r="WMF22" s="2950"/>
      <c r="WMG22" s="2950"/>
      <c r="WMH22" s="2950"/>
      <c r="WMI22" s="2950"/>
      <c r="WMJ22" s="2950"/>
      <c r="WMK22" s="2950"/>
      <c r="WML22" s="2950"/>
      <c r="WMM22" s="2950"/>
      <c r="WMN22" s="2950"/>
      <c r="WMO22" s="2950"/>
      <c r="WMP22" s="2950"/>
      <c r="WMQ22" s="2950"/>
      <c r="WMR22" s="2950"/>
      <c r="WMS22" s="2950"/>
      <c r="WMT22" s="2950"/>
      <c r="WMU22" s="2950"/>
      <c r="WMV22" s="2950"/>
      <c r="WMW22" s="2950"/>
      <c r="WMX22" s="2950"/>
      <c r="WMY22" s="2950"/>
      <c r="WMZ22" s="2950"/>
      <c r="WNA22" s="2950"/>
      <c r="WNB22" s="2950"/>
      <c r="WNC22" s="2950"/>
      <c r="WND22" s="2950"/>
      <c r="WNE22" s="2950"/>
      <c r="WNF22" s="2950"/>
      <c r="WNG22" s="2950"/>
      <c r="WNH22" s="2950"/>
      <c r="WNI22" s="2950"/>
      <c r="WNJ22" s="2950"/>
      <c r="WNK22" s="2950"/>
      <c r="WNL22" s="2950"/>
      <c r="WNM22" s="2950"/>
      <c r="WNN22" s="2950"/>
      <c r="WNO22" s="2950"/>
      <c r="WNP22" s="2950"/>
      <c r="WNQ22" s="2950"/>
      <c r="WNR22" s="2950"/>
      <c r="WNS22" s="2950"/>
      <c r="WNT22" s="2950"/>
      <c r="WNU22" s="2950"/>
      <c r="WNV22" s="2950"/>
      <c r="WNW22" s="2950"/>
      <c r="WNX22" s="2950"/>
      <c r="WNY22" s="2950"/>
      <c r="WNZ22" s="2950"/>
      <c r="WOA22" s="2950"/>
      <c r="WOB22" s="2950"/>
      <c r="WOC22" s="2950"/>
      <c r="WOD22" s="2950"/>
      <c r="WOE22" s="2950"/>
      <c r="WOF22" s="2950"/>
      <c r="WOG22" s="2950"/>
      <c r="WOH22" s="2950"/>
      <c r="WOI22" s="2950"/>
      <c r="WOJ22" s="2950"/>
      <c r="WOK22" s="2950"/>
      <c r="WOL22" s="2950"/>
      <c r="WOM22" s="2950"/>
      <c r="WON22" s="2950"/>
      <c r="WOO22" s="2950"/>
      <c r="WOP22" s="2950"/>
      <c r="WOQ22" s="2950"/>
      <c r="WOR22" s="2950"/>
      <c r="WOS22" s="2950"/>
      <c r="WOT22" s="2950"/>
      <c r="WOU22" s="2950"/>
      <c r="WOV22" s="2950"/>
      <c r="WOW22" s="2950"/>
      <c r="WOX22" s="2950"/>
      <c r="WOY22" s="2950"/>
      <c r="WOZ22" s="2950"/>
      <c r="WPA22" s="2950"/>
      <c r="WPB22" s="2950"/>
      <c r="WPC22" s="2950"/>
      <c r="WPD22" s="2950"/>
      <c r="WPE22" s="2950"/>
      <c r="WPF22" s="2950"/>
      <c r="WPG22" s="2950"/>
      <c r="WPH22" s="2950"/>
      <c r="WPI22" s="2950"/>
      <c r="WPJ22" s="2950"/>
      <c r="WPK22" s="2950"/>
      <c r="WPL22" s="2950"/>
      <c r="WPM22" s="2950"/>
      <c r="WPN22" s="2950"/>
      <c r="WPO22" s="2950"/>
      <c r="WPP22" s="2950"/>
      <c r="WPQ22" s="2950"/>
      <c r="WPR22" s="2950"/>
      <c r="WPS22" s="2950"/>
      <c r="WPT22" s="2950"/>
      <c r="WPU22" s="2950"/>
      <c r="WPV22" s="2950"/>
      <c r="WPW22" s="2950"/>
      <c r="WPX22" s="2950"/>
      <c r="WPY22" s="2950"/>
      <c r="WPZ22" s="2950"/>
      <c r="WQA22" s="2950"/>
      <c r="WQB22" s="2950"/>
      <c r="WQC22" s="2950"/>
      <c r="WQD22" s="2950"/>
      <c r="WQE22" s="2950"/>
      <c r="WQF22" s="2950"/>
      <c r="WQG22" s="2950"/>
      <c r="WQH22" s="2950"/>
      <c r="WQI22" s="2950"/>
      <c r="WQJ22" s="2950"/>
      <c r="WQK22" s="2950"/>
      <c r="WQL22" s="2950"/>
      <c r="WQM22" s="2950"/>
      <c r="WQN22" s="2950"/>
      <c r="WQO22" s="2950"/>
      <c r="WQP22" s="2950"/>
      <c r="WQQ22" s="2950"/>
      <c r="WQR22" s="2950"/>
      <c r="WQS22" s="2950"/>
      <c r="WQT22" s="2950"/>
      <c r="WQU22" s="2950"/>
      <c r="WQV22" s="2950"/>
      <c r="WQW22" s="2950"/>
      <c r="WQX22" s="2950"/>
      <c r="WQY22" s="2950"/>
      <c r="WQZ22" s="2950"/>
      <c r="WRA22" s="2950"/>
      <c r="WRB22" s="2950"/>
      <c r="WRC22" s="2950"/>
      <c r="WRD22" s="2950"/>
      <c r="WRE22" s="2950"/>
      <c r="WRF22" s="2950"/>
      <c r="WRG22" s="2950"/>
      <c r="WRH22" s="2950"/>
      <c r="WRI22" s="2950"/>
      <c r="WRJ22" s="2950"/>
      <c r="WRK22" s="2950"/>
      <c r="WRL22" s="2950"/>
      <c r="WRM22" s="2950"/>
      <c r="WRN22" s="2950"/>
      <c r="WRO22" s="2950"/>
      <c r="WRP22" s="2950"/>
      <c r="WRQ22" s="2950"/>
      <c r="WRR22" s="2950"/>
      <c r="WRS22" s="2950"/>
      <c r="WRT22" s="2950"/>
      <c r="WRU22" s="2950"/>
      <c r="WRV22" s="2950"/>
      <c r="WRW22" s="2950"/>
      <c r="WRX22" s="2950"/>
      <c r="WRY22" s="2950"/>
      <c r="WRZ22" s="2950"/>
      <c r="WSA22" s="2950"/>
      <c r="WSB22" s="2950"/>
      <c r="WSC22" s="2950"/>
      <c r="WSD22" s="2950"/>
      <c r="WSE22" s="2950"/>
      <c r="WSF22" s="2950"/>
      <c r="WSG22" s="2950"/>
      <c r="WSH22" s="2950"/>
      <c r="WSI22" s="2950"/>
      <c r="WSJ22" s="2950"/>
      <c r="WSK22" s="2950"/>
      <c r="WSL22" s="2950"/>
      <c r="WSM22" s="2950"/>
      <c r="WSN22" s="2950"/>
      <c r="WSO22" s="2950"/>
      <c r="WSP22" s="2950"/>
      <c r="WSQ22" s="2950"/>
      <c r="WSR22" s="2950"/>
      <c r="WSS22" s="2950"/>
      <c r="WST22" s="2950"/>
      <c r="WSU22" s="2950"/>
      <c r="WSV22" s="2950"/>
      <c r="WSW22" s="2950"/>
      <c r="WSX22" s="2950"/>
      <c r="WSY22" s="2950"/>
      <c r="WSZ22" s="2950"/>
      <c r="WTA22" s="2950"/>
      <c r="WTB22" s="2950"/>
      <c r="WTC22" s="2950"/>
      <c r="WTD22" s="2950"/>
      <c r="WTE22" s="2950"/>
      <c r="WTF22" s="2950"/>
      <c r="WTG22" s="2950"/>
      <c r="WTH22" s="2950"/>
      <c r="WTI22" s="2950"/>
      <c r="WTJ22" s="2950"/>
      <c r="WTK22" s="2950"/>
      <c r="WTL22" s="2950"/>
      <c r="WTM22" s="2950"/>
      <c r="WTN22" s="2950"/>
      <c r="WTO22" s="2950"/>
      <c r="WTP22" s="2950"/>
      <c r="WTQ22" s="2950"/>
      <c r="WTR22" s="2950"/>
      <c r="WTS22" s="2950"/>
      <c r="WTT22" s="2950"/>
      <c r="WTU22" s="2950"/>
      <c r="WTV22" s="2950"/>
      <c r="WTW22" s="2950"/>
      <c r="WTX22" s="2950"/>
      <c r="WTY22" s="2950"/>
      <c r="WTZ22" s="2950"/>
      <c r="WUA22" s="2950"/>
      <c r="WUB22" s="2950"/>
      <c r="WUC22" s="2950"/>
      <c r="WUD22" s="2950"/>
      <c r="WUE22" s="2950"/>
      <c r="WUF22" s="2950"/>
      <c r="WUG22" s="2950"/>
      <c r="WUH22" s="2950"/>
      <c r="WUI22" s="2950"/>
      <c r="WUJ22" s="2950"/>
      <c r="WUK22" s="2950"/>
      <c r="WUL22" s="2950"/>
      <c r="WUM22" s="2950"/>
      <c r="WUN22" s="2950"/>
      <c r="WUO22" s="2950"/>
      <c r="WUP22" s="2950"/>
      <c r="WUQ22" s="2950"/>
      <c r="WUR22" s="2950"/>
      <c r="WUS22" s="2950"/>
      <c r="WUT22" s="2950"/>
      <c r="WUU22" s="2950"/>
      <c r="WUV22" s="2950"/>
      <c r="WUW22" s="2950"/>
      <c r="WUX22" s="2950"/>
      <c r="WUY22" s="2950"/>
      <c r="WUZ22" s="2950"/>
      <c r="WVA22" s="2950"/>
      <c r="WVB22" s="2950"/>
      <c r="WVC22" s="2950"/>
      <c r="WVD22" s="2950"/>
      <c r="WVE22" s="2950"/>
      <c r="WVF22" s="2950"/>
      <c r="WVG22" s="2950"/>
      <c r="WVH22" s="2950"/>
      <c r="WVI22" s="2950"/>
      <c r="WVJ22" s="2950"/>
      <c r="WVK22" s="2950"/>
      <c r="WVL22" s="2950"/>
      <c r="WVM22" s="2950"/>
      <c r="WVN22" s="2950"/>
      <c r="WVO22" s="2950"/>
      <c r="WVP22" s="2950"/>
      <c r="WVQ22" s="2950"/>
      <c r="WVR22" s="2950"/>
      <c r="WVS22" s="2950"/>
      <c r="WVT22" s="2950"/>
      <c r="WVU22" s="2950"/>
      <c r="WVV22" s="2950"/>
      <c r="WVW22" s="2950"/>
      <c r="WVX22" s="2950"/>
      <c r="WVY22" s="2950"/>
      <c r="WVZ22" s="2950"/>
      <c r="WWA22" s="2950"/>
      <c r="WWB22" s="2950"/>
      <c r="WWC22" s="2950"/>
      <c r="WWD22" s="2950"/>
      <c r="WWE22" s="2950"/>
      <c r="WWF22" s="2950"/>
      <c r="WWG22" s="2950"/>
      <c r="WWH22" s="2950"/>
      <c r="WWI22" s="2950"/>
      <c r="WWJ22" s="2950"/>
      <c r="WWK22" s="2950"/>
      <c r="WWL22" s="2950"/>
      <c r="WWM22" s="2950"/>
      <c r="WWN22" s="2950"/>
      <c r="WWO22" s="2950"/>
      <c r="WWP22" s="2950"/>
      <c r="WWQ22" s="2950"/>
      <c r="WWR22" s="2950"/>
      <c r="WWS22" s="2950"/>
      <c r="WWT22" s="2950"/>
      <c r="WWU22" s="2950"/>
      <c r="WWV22" s="2950"/>
      <c r="WWW22" s="2950"/>
      <c r="WWX22" s="2950"/>
      <c r="WWY22" s="2950"/>
      <c r="WWZ22" s="2950"/>
      <c r="WXA22" s="2950"/>
      <c r="WXB22" s="2950"/>
      <c r="WXC22" s="2950"/>
      <c r="WXD22" s="2950"/>
      <c r="WXE22" s="2950"/>
      <c r="WXF22" s="2950"/>
      <c r="WXG22" s="2950"/>
      <c r="WXH22" s="2950"/>
      <c r="WXI22" s="2950"/>
      <c r="WXJ22" s="2950"/>
      <c r="WXK22" s="2950"/>
      <c r="WXL22" s="2950"/>
      <c r="WXM22" s="2950"/>
      <c r="WXN22" s="2950"/>
      <c r="WXO22" s="2950"/>
      <c r="WXP22" s="2950"/>
      <c r="WXQ22" s="2950"/>
      <c r="WXR22" s="2950"/>
      <c r="WXS22" s="2950"/>
      <c r="WXT22" s="2950"/>
      <c r="WXU22" s="2950"/>
      <c r="WXV22" s="2950"/>
      <c r="WXW22" s="2950"/>
      <c r="WXX22" s="2950"/>
      <c r="WXY22" s="2950"/>
      <c r="WXZ22" s="2950"/>
      <c r="WYA22" s="2950"/>
      <c r="WYB22" s="2950"/>
      <c r="WYC22" s="2950"/>
      <c r="WYD22" s="2950"/>
      <c r="WYE22" s="2950"/>
      <c r="WYF22" s="2950"/>
      <c r="WYG22" s="2950"/>
      <c r="WYH22" s="2950"/>
      <c r="WYI22" s="2950"/>
      <c r="WYJ22" s="2950"/>
      <c r="WYK22" s="2950"/>
      <c r="WYL22" s="2950"/>
      <c r="WYM22" s="2950"/>
      <c r="WYN22" s="2950"/>
      <c r="WYO22" s="2950"/>
      <c r="WYP22" s="2950"/>
      <c r="WYQ22" s="2950"/>
      <c r="WYR22" s="2950"/>
      <c r="WYS22" s="2950"/>
      <c r="WYT22" s="2950"/>
      <c r="WYU22" s="2950"/>
      <c r="WYV22" s="2950"/>
      <c r="WYW22" s="2950"/>
      <c r="WYX22" s="2950"/>
      <c r="WYY22" s="2950"/>
      <c r="WYZ22" s="2950"/>
      <c r="WZA22" s="2950"/>
      <c r="WZB22" s="2950"/>
      <c r="WZC22" s="2950"/>
      <c r="WZD22" s="2950"/>
      <c r="WZE22" s="2950"/>
      <c r="WZF22" s="2950"/>
      <c r="WZG22" s="2950"/>
      <c r="WZH22" s="2950"/>
      <c r="WZI22" s="2950"/>
      <c r="WZJ22" s="2950"/>
      <c r="WZK22" s="2950"/>
      <c r="WZL22" s="2950"/>
      <c r="WZM22" s="2950"/>
      <c r="WZN22" s="2950"/>
      <c r="WZO22" s="2950"/>
      <c r="WZP22" s="2950"/>
      <c r="WZQ22" s="2950"/>
      <c r="WZR22" s="2950"/>
      <c r="WZS22" s="2950"/>
      <c r="WZT22" s="2950"/>
      <c r="WZU22" s="2950"/>
      <c r="WZV22" s="2950"/>
      <c r="WZW22" s="2950"/>
      <c r="WZX22" s="2950"/>
      <c r="WZY22" s="2950"/>
      <c r="WZZ22" s="2950"/>
      <c r="XAA22" s="2950"/>
      <c r="XAB22" s="2950"/>
      <c r="XAC22" s="2950"/>
      <c r="XAD22" s="2950"/>
      <c r="XAE22" s="2950"/>
      <c r="XAF22" s="2950"/>
      <c r="XAG22" s="2950"/>
      <c r="XAH22" s="2950"/>
      <c r="XAI22" s="2950"/>
      <c r="XAJ22" s="2950"/>
      <c r="XAK22" s="2950"/>
      <c r="XAL22" s="2950"/>
      <c r="XAM22" s="2950"/>
      <c r="XAN22" s="2950"/>
      <c r="XAO22" s="2950"/>
      <c r="XAP22" s="2950"/>
      <c r="XAQ22" s="2950"/>
      <c r="XAR22" s="2950"/>
      <c r="XAS22" s="2950"/>
      <c r="XAT22" s="2950"/>
      <c r="XAU22" s="2950"/>
      <c r="XAV22" s="2950"/>
      <c r="XAW22" s="2950"/>
      <c r="XAX22" s="2950"/>
      <c r="XAY22" s="2950"/>
      <c r="XAZ22" s="2950"/>
      <c r="XBA22" s="2950"/>
      <c r="XBB22" s="2950"/>
      <c r="XBC22" s="2950"/>
      <c r="XBD22" s="2950"/>
      <c r="XBE22" s="2950"/>
      <c r="XBF22" s="2950"/>
      <c r="XBG22" s="2950"/>
      <c r="XBH22" s="2950"/>
      <c r="XBI22" s="2950"/>
      <c r="XBJ22" s="2950"/>
      <c r="XBK22" s="2950"/>
      <c r="XBL22" s="2950"/>
      <c r="XBM22" s="2950"/>
      <c r="XBN22" s="2950"/>
      <c r="XBO22" s="2950"/>
      <c r="XBP22" s="2950"/>
      <c r="XBQ22" s="2950"/>
      <c r="XBR22" s="2950"/>
      <c r="XBS22" s="2950"/>
      <c r="XBT22" s="2950"/>
      <c r="XBU22" s="2950"/>
      <c r="XBV22" s="2950"/>
      <c r="XBW22" s="2950"/>
      <c r="XBX22" s="2950"/>
      <c r="XBY22" s="2950"/>
      <c r="XBZ22" s="2950"/>
      <c r="XCA22" s="2950"/>
      <c r="XCB22" s="2950"/>
      <c r="XCC22" s="2950"/>
      <c r="XCD22" s="2950"/>
      <c r="XCE22" s="2950"/>
      <c r="XCF22" s="2950"/>
      <c r="XCG22" s="2950"/>
      <c r="XCH22" s="2950"/>
      <c r="XCI22" s="2950"/>
      <c r="XCJ22" s="2950"/>
      <c r="XCK22" s="2950"/>
      <c r="XCL22" s="2950"/>
      <c r="XCM22" s="2950"/>
      <c r="XCN22" s="2950"/>
      <c r="XCO22" s="2950"/>
      <c r="XCP22" s="2950"/>
      <c r="XCQ22" s="2950"/>
      <c r="XCR22" s="2950"/>
      <c r="XCS22" s="2950"/>
      <c r="XCT22" s="2950"/>
      <c r="XCU22" s="2950"/>
      <c r="XCV22" s="2950"/>
      <c r="XCW22" s="2950"/>
      <c r="XCX22" s="2950"/>
      <c r="XCY22" s="2950"/>
      <c r="XCZ22" s="2950"/>
      <c r="XDA22" s="2950"/>
      <c r="XDB22" s="2950"/>
      <c r="XDC22" s="2950"/>
      <c r="XDD22" s="2950"/>
      <c r="XDE22" s="2950"/>
      <c r="XDF22" s="2950"/>
      <c r="XDG22" s="2950"/>
      <c r="XDH22" s="2950"/>
      <c r="XDI22" s="2950"/>
      <c r="XDJ22" s="2950"/>
      <c r="XDK22" s="2950"/>
      <c r="XDL22" s="2950"/>
      <c r="XDM22" s="2950"/>
      <c r="XDN22" s="2950"/>
      <c r="XDO22" s="2950"/>
      <c r="XDP22" s="2950"/>
      <c r="XDQ22" s="2950"/>
      <c r="XDR22" s="2950"/>
      <c r="XDS22" s="2950"/>
      <c r="XDT22" s="2950"/>
      <c r="XDU22" s="2950"/>
      <c r="XDV22" s="2950"/>
      <c r="XDW22" s="2950"/>
      <c r="XDX22" s="2950"/>
      <c r="XDY22" s="2950"/>
      <c r="XDZ22" s="2950"/>
      <c r="XEA22" s="2950"/>
      <c r="XEB22" s="2950"/>
      <c r="XEC22" s="2950"/>
      <c r="XED22" s="2950"/>
      <c r="XEE22" s="2950"/>
      <c r="XEF22" s="2950"/>
      <c r="XEG22" s="2950"/>
      <c r="XEH22" s="2950"/>
      <c r="XEI22" s="2950"/>
      <c r="XEJ22" s="2950"/>
      <c r="XEK22" s="2950"/>
      <c r="XEL22" s="2950"/>
      <c r="XEM22" s="2950"/>
      <c r="XEN22" s="2950"/>
      <c r="XEO22" s="2950"/>
      <c r="XEP22" s="2950"/>
      <c r="XEQ22" s="2950"/>
      <c r="XER22" s="2950"/>
      <c r="XES22" s="2950"/>
      <c r="XET22" s="2950"/>
      <c r="XEU22" s="2950"/>
    </row>
    <row r="23" spans="1:16375" s="2949" customFormat="1" ht="15" customHeight="1">
      <c r="B23" s="3421"/>
      <c r="C23" s="2959" t="s">
        <v>3271</v>
      </c>
      <c r="D23" s="2959" t="s">
        <v>3247</v>
      </c>
      <c r="E23" s="2959" t="s">
        <v>3272</v>
      </c>
      <c r="F23" s="2969">
        <v>42745</v>
      </c>
      <c r="G23" s="2969">
        <v>46396</v>
      </c>
      <c r="H23" s="2961">
        <v>3534.98</v>
      </c>
      <c r="I23" s="2971">
        <f t="shared" ref="I23:I24" si="3">300*(1+10%)*H23</f>
        <v>1166543.3999999999</v>
      </c>
      <c r="J23" s="2960">
        <f t="shared" ref="J23:J27" si="4">I23*12</f>
        <v>13998520.799999999</v>
      </c>
      <c r="K23" s="2950"/>
      <c r="L23" s="2958">
        <f t="shared" si="2"/>
        <v>11</v>
      </c>
      <c r="M23" s="2950" t="s">
        <v>3290</v>
      </c>
      <c r="N23" s="2978">
        <f>10%/3</f>
        <v>3.3333333333333333E-2</v>
      </c>
      <c r="O23" s="2978">
        <f>ROUND(N23*H23/$N$28,5)</f>
        <v>8.7200000000000003E-3</v>
      </c>
      <c r="P23" s="2950"/>
      <c r="Q23" s="2978"/>
      <c r="R23" s="2950"/>
      <c r="S23" s="2950"/>
      <c r="T23" s="2950"/>
      <c r="U23" s="2950"/>
      <c r="V23" s="2950"/>
      <c r="W23" s="2950"/>
      <c r="X23" s="2950"/>
      <c r="Y23" s="2950"/>
      <c r="Z23" s="2950"/>
      <c r="AA23" s="2950"/>
      <c r="AB23" s="2950"/>
      <c r="AC23" s="2950"/>
      <c r="AD23" s="2950"/>
      <c r="AE23" s="2950"/>
      <c r="AF23" s="2950"/>
      <c r="AG23" s="2950"/>
      <c r="AH23" s="2950"/>
      <c r="AI23" s="2950"/>
      <c r="AJ23" s="2950"/>
      <c r="AK23" s="2950"/>
      <c r="AL23" s="2950"/>
      <c r="AM23" s="2950"/>
      <c r="AN23" s="2950"/>
      <c r="AO23" s="2950"/>
      <c r="AP23" s="2950"/>
      <c r="AQ23" s="2950"/>
      <c r="AR23" s="2950"/>
      <c r="AS23" s="2950"/>
      <c r="AT23" s="2950"/>
      <c r="AU23" s="2950"/>
      <c r="AV23" s="2950"/>
      <c r="AW23" s="2950"/>
      <c r="AX23" s="2950"/>
      <c r="AY23" s="2950"/>
      <c r="AZ23" s="2950"/>
      <c r="BA23" s="2950"/>
      <c r="BB23" s="2950"/>
      <c r="BC23" s="2950"/>
      <c r="BD23" s="2950"/>
      <c r="BE23" s="2950"/>
      <c r="BF23" s="2950"/>
      <c r="BG23" s="2950"/>
      <c r="BH23" s="2950"/>
      <c r="BI23" s="2950"/>
      <c r="BJ23" s="2950"/>
      <c r="BK23" s="2950"/>
      <c r="BL23" s="2950"/>
      <c r="BM23" s="2950"/>
      <c r="BN23" s="2950"/>
      <c r="BO23" s="2950"/>
      <c r="BP23" s="2950"/>
      <c r="BQ23" s="2950"/>
      <c r="BR23" s="2950"/>
      <c r="BS23" s="2950"/>
      <c r="BT23" s="2950"/>
      <c r="BU23" s="2950"/>
      <c r="BV23" s="2950"/>
      <c r="BW23" s="2950"/>
      <c r="BX23" s="2950"/>
      <c r="BY23" s="2950"/>
      <c r="BZ23" s="2950"/>
      <c r="CA23" s="2950"/>
      <c r="CB23" s="2950"/>
      <c r="CC23" s="2950"/>
      <c r="CD23" s="2950"/>
      <c r="CE23" s="2950"/>
      <c r="CF23" s="2950"/>
      <c r="CG23" s="2950"/>
      <c r="CH23" s="2950"/>
      <c r="CI23" s="2950"/>
      <c r="CJ23" s="2950"/>
      <c r="CK23" s="2950"/>
      <c r="CL23" s="2950"/>
      <c r="CM23" s="2950"/>
      <c r="CN23" s="2950"/>
      <c r="CO23" s="2950"/>
      <c r="CP23" s="2950"/>
      <c r="CQ23" s="2950"/>
      <c r="CR23" s="2950"/>
      <c r="CS23" s="2950"/>
      <c r="CT23" s="2950"/>
      <c r="CU23" s="2950"/>
      <c r="CV23" s="2950"/>
      <c r="CW23" s="2950"/>
      <c r="CX23" s="2950"/>
      <c r="CY23" s="2950"/>
      <c r="CZ23" s="2950"/>
      <c r="DA23" s="2950"/>
      <c r="DB23" s="2950"/>
      <c r="DC23" s="2950"/>
      <c r="DD23" s="2950"/>
      <c r="DE23" s="2950"/>
      <c r="DF23" s="2950"/>
      <c r="DG23" s="2950"/>
      <c r="DH23" s="2950"/>
      <c r="DI23" s="2950"/>
      <c r="DJ23" s="2950"/>
      <c r="DK23" s="2950"/>
      <c r="DL23" s="2950"/>
      <c r="DM23" s="2950"/>
      <c r="DN23" s="2950"/>
      <c r="DO23" s="2950"/>
      <c r="DP23" s="2950"/>
      <c r="DQ23" s="2950"/>
      <c r="DR23" s="2950"/>
      <c r="DS23" s="2950"/>
      <c r="DT23" s="2950"/>
      <c r="DU23" s="2950"/>
      <c r="DV23" s="2950"/>
      <c r="DW23" s="2950"/>
      <c r="DX23" s="2950"/>
      <c r="DY23" s="2950"/>
      <c r="DZ23" s="2950"/>
      <c r="EA23" s="2950"/>
      <c r="EB23" s="2950"/>
      <c r="EC23" s="2950"/>
      <c r="ED23" s="2950"/>
      <c r="EE23" s="2950"/>
      <c r="EF23" s="2950"/>
      <c r="EG23" s="2950"/>
      <c r="EH23" s="2950"/>
      <c r="EI23" s="2950"/>
      <c r="EJ23" s="2950"/>
      <c r="EK23" s="2950"/>
      <c r="EL23" s="2950"/>
      <c r="EM23" s="2950"/>
      <c r="EN23" s="2950"/>
      <c r="EO23" s="2950"/>
      <c r="EP23" s="2950"/>
      <c r="EQ23" s="2950"/>
      <c r="ER23" s="2950"/>
      <c r="ES23" s="2950"/>
      <c r="ET23" s="2950"/>
      <c r="EU23" s="2950"/>
      <c r="EV23" s="2950"/>
      <c r="EW23" s="2950"/>
      <c r="EX23" s="2950"/>
      <c r="EY23" s="2950"/>
      <c r="EZ23" s="2950"/>
      <c r="FA23" s="2950"/>
      <c r="FB23" s="2950"/>
      <c r="FC23" s="2950"/>
      <c r="FD23" s="2950"/>
      <c r="FE23" s="2950"/>
      <c r="FF23" s="2950"/>
      <c r="FG23" s="2950"/>
      <c r="FH23" s="2950"/>
      <c r="FI23" s="2950"/>
      <c r="FJ23" s="2950"/>
      <c r="FK23" s="2950"/>
      <c r="FL23" s="2950"/>
      <c r="FM23" s="2950"/>
      <c r="FN23" s="2950"/>
      <c r="FO23" s="2950"/>
      <c r="FP23" s="2950"/>
      <c r="FQ23" s="2950"/>
      <c r="FR23" s="2950"/>
      <c r="FS23" s="2950"/>
      <c r="FT23" s="2950"/>
      <c r="FU23" s="2950"/>
      <c r="FV23" s="2950"/>
      <c r="FW23" s="2950"/>
      <c r="FX23" s="2950"/>
      <c r="FY23" s="2950"/>
      <c r="FZ23" s="2950"/>
      <c r="GA23" s="2950"/>
      <c r="GB23" s="2950"/>
      <c r="GC23" s="2950"/>
      <c r="GD23" s="2950"/>
      <c r="GE23" s="2950"/>
      <c r="GF23" s="2950"/>
      <c r="GG23" s="2950"/>
      <c r="GH23" s="2950"/>
      <c r="GI23" s="2950"/>
      <c r="GJ23" s="2950"/>
      <c r="GK23" s="2950"/>
      <c r="GL23" s="2950"/>
      <c r="GM23" s="2950"/>
      <c r="GN23" s="2950"/>
      <c r="GO23" s="2950"/>
      <c r="GP23" s="2950"/>
      <c r="GQ23" s="2950"/>
      <c r="GR23" s="2950"/>
      <c r="GS23" s="2950"/>
      <c r="GT23" s="2950"/>
      <c r="GU23" s="2950"/>
      <c r="GV23" s="2950"/>
      <c r="GW23" s="2950"/>
      <c r="GX23" s="2950"/>
      <c r="GY23" s="2950"/>
      <c r="GZ23" s="2950"/>
      <c r="HA23" s="2950"/>
      <c r="HB23" s="2950"/>
      <c r="HC23" s="2950"/>
      <c r="HD23" s="2950"/>
      <c r="HE23" s="2950"/>
      <c r="HF23" s="2950"/>
      <c r="HG23" s="2950"/>
      <c r="HH23" s="2950"/>
      <c r="HI23" s="2950"/>
      <c r="HJ23" s="2950"/>
      <c r="HK23" s="2950"/>
      <c r="HL23" s="2950"/>
      <c r="HM23" s="2950"/>
      <c r="HN23" s="2950"/>
      <c r="HO23" s="2950"/>
      <c r="HP23" s="2950"/>
      <c r="HQ23" s="2950"/>
      <c r="HR23" s="2950"/>
      <c r="HS23" s="2950"/>
      <c r="HT23" s="2950"/>
      <c r="HU23" s="2950"/>
      <c r="HV23" s="2950"/>
      <c r="HW23" s="2950"/>
      <c r="HX23" s="2950"/>
      <c r="HY23" s="2950"/>
      <c r="HZ23" s="2950"/>
      <c r="IA23" s="2950"/>
      <c r="IB23" s="2950"/>
      <c r="IC23" s="2950"/>
      <c r="ID23" s="2950"/>
      <c r="IE23" s="2950"/>
      <c r="IF23" s="2950"/>
      <c r="IG23" s="2950"/>
      <c r="IH23" s="2950"/>
      <c r="II23" s="2950"/>
      <c r="IJ23" s="2950"/>
      <c r="IK23" s="2950"/>
      <c r="IL23" s="2950"/>
      <c r="IM23" s="2950"/>
      <c r="IN23" s="2950"/>
      <c r="IO23" s="2950"/>
      <c r="IP23" s="2950"/>
      <c r="IQ23" s="2950"/>
      <c r="IR23" s="2950"/>
      <c r="IS23" s="2950"/>
      <c r="IT23" s="2950"/>
      <c r="IU23" s="2950"/>
      <c r="IV23" s="2950"/>
      <c r="IW23" s="2950"/>
      <c r="IX23" s="2950"/>
      <c r="IY23" s="2950"/>
      <c r="IZ23" s="2950"/>
      <c r="JA23" s="2950"/>
      <c r="JB23" s="2950"/>
      <c r="JC23" s="2950"/>
      <c r="JD23" s="2950"/>
      <c r="JE23" s="2950"/>
      <c r="JF23" s="2950"/>
      <c r="JG23" s="2950"/>
      <c r="JH23" s="2950"/>
      <c r="JI23" s="2950"/>
      <c r="JJ23" s="2950"/>
      <c r="JK23" s="2950"/>
      <c r="JL23" s="2950"/>
      <c r="JM23" s="2950"/>
      <c r="JN23" s="2950"/>
      <c r="JO23" s="2950"/>
      <c r="JP23" s="2950"/>
      <c r="JQ23" s="2950"/>
      <c r="JR23" s="2950"/>
      <c r="JS23" s="2950"/>
      <c r="JT23" s="2950"/>
      <c r="JU23" s="2950"/>
      <c r="JV23" s="2950"/>
      <c r="JW23" s="2950"/>
      <c r="JX23" s="2950"/>
      <c r="JY23" s="2950"/>
      <c r="JZ23" s="2950"/>
      <c r="KA23" s="2950"/>
      <c r="KB23" s="2950"/>
      <c r="KC23" s="2950"/>
      <c r="KD23" s="2950"/>
      <c r="KE23" s="2950"/>
      <c r="KF23" s="2950"/>
      <c r="KG23" s="2950"/>
      <c r="KH23" s="2950"/>
      <c r="KI23" s="2950"/>
      <c r="KJ23" s="2950"/>
      <c r="KK23" s="2950"/>
      <c r="KL23" s="2950"/>
      <c r="KM23" s="2950"/>
      <c r="KN23" s="2950"/>
      <c r="KO23" s="2950"/>
      <c r="KP23" s="2950"/>
      <c r="KQ23" s="2950"/>
      <c r="KR23" s="2950"/>
      <c r="KS23" s="2950"/>
      <c r="KT23" s="2950"/>
      <c r="KU23" s="2950"/>
      <c r="KV23" s="2950"/>
      <c r="KW23" s="2950"/>
      <c r="KX23" s="2950"/>
      <c r="KY23" s="2950"/>
      <c r="KZ23" s="2950"/>
      <c r="LA23" s="2950"/>
      <c r="LB23" s="2950"/>
      <c r="LC23" s="2950"/>
      <c r="LD23" s="2950"/>
      <c r="LE23" s="2950"/>
      <c r="LF23" s="2950"/>
      <c r="LG23" s="2950"/>
      <c r="LH23" s="2950"/>
      <c r="LI23" s="2950"/>
      <c r="LJ23" s="2950"/>
      <c r="LK23" s="2950"/>
      <c r="LL23" s="2950"/>
      <c r="LM23" s="2950"/>
      <c r="LN23" s="2950"/>
      <c r="LO23" s="2950"/>
      <c r="LP23" s="2950"/>
      <c r="LQ23" s="2950"/>
      <c r="LR23" s="2950"/>
      <c r="LS23" s="2950"/>
      <c r="LT23" s="2950"/>
      <c r="LU23" s="2950"/>
      <c r="LV23" s="2950"/>
      <c r="LW23" s="2950"/>
      <c r="LX23" s="2950"/>
      <c r="LY23" s="2950"/>
      <c r="LZ23" s="2950"/>
      <c r="MA23" s="2950"/>
      <c r="MB23" s="2950"/>
      <c r="MC23" s="2950"/>
      <c r="MD23" s="2950"/>
      <c r="ME23" s="2950"/>
      <c r="MF23" s="2950"/>
      <c r="MG23" s="2950"/>
      <c r="MH23" s="2950"/>
      <c r="MI23" s="2950"/>
      <c r="MJ23" s="2950"/>
      <c r="MK23" s="2950"/>
      <c r="ML23" s="2950"/>
      <c r="MM23" s="2950"/>
      <c r="MN23" s="2950"/>
      <c r="MO23" s="2950"/>
      <c r="MP23" s="2950"/>
      <c r="MQ23" s="2950"/>
      <c r="MR23" s="2950"/>
      <c r="MS23" s="2950"/>
      <c r="MT23" s="2950"/>
      <c r="MU23" s="2950"/>
      <c r="MV23" s="2950"/>
      <c r="MW23" s="2950"/>
      <c r="MX23" s="2950"/>
      <c r="MY23" s="2950"/>
      <c r="MZ23" s="2950"/>
      <c r="NA23" s="2950"/>
      <c r="NB23" s="2950"/>
      <c r="NC23" s="2950"/>
      <c r="ND23" s="2950"/>
      <c r="NE23" s="2950"/>
      <c r="NF23" s="2950"/>
      <c r="NG23" s="2950"/>
      <c r="NH23" s="2950"/>
      <c r="NI23" s="2950"/>
      <c r="NJ23" s="2950"/>
      <c r="NK23" s="2950"/>
      <c r="NL23" s="2950"/>
      <c r="NM23" s="2950"/>
      <c r="NN23" s="2950"/>
      <c r="NO23" s="2950"/>
      <c r="NP23" s="2950"/>
      <c r="NQ23" s="2950"/>
      <c r="NR23" s="2950"/>
      <c r="NS23" s="2950"/>
      <c r="NT23" s="2950"/>
      <c r="NU23" s="2950"/>
      <c r="NV23" s="2950"/>
      <c r="NW23" s="2950"/>
      <c r="NX23" s="2950"/>
      <c r="NY23" s="2950"/>
      <c r="NZ23" s="2950"/>
      <c r="OA23" s="2950"/>
      <c r="OB23" s="2950"/>
      <c r="OC23" s="2950"/>
      <c r="OD23" s="2950"/>
      <c r="OE23" s="2950"/>
      <c r="OF23" s="2950"/>
      <c r="OG23" s="2950"/>
      <c r="OH23" s="2950"/>
      <c r="OI23" s="2950"/>
      <c r="OJ23" s="2950"/>
      <c r="OK23" s="2950"/>
      <c r="OL23" s="2950"/>
      <c r="OM23" s="2950"/>
      <c r="ON23" s="2950"/>
      <c r="OO23" s="2950"/>
      <c r="OP23" s="2950"/>
      <c r="OQ23" s="2950"/>
      <c r="OR23" s="2950"/>
      <c r="OS23" s="2950"/>
      <c r="OT23" s="2950"/>
      <c r="OU23" s="2950"/>
      <c r="OV23" s="2950"/>
      <c r="OW23" s="2950"/>
      <c r="OX23" s="2950"/>
      <c r="OY23" s="2950"/>
      <c r="OZ23" s="2950"/>
      <c r="PA23" s="2950"/>
      <c r="PB23" s="2950"/>
      <c r="PC23" s="2950"/>
      <c r="PD23" s="2950"/>
      <c r="PE23" s="2950"/>
      <c r="PF23" s="2950"/>
      <c r="PG23" s="2950"/>
      <c r="PH23" s="2950"/>
      <c r="PI23" s="2950"/>
      <c r="PJ23" s="2950"/>
      <c r="PK23" s="2950"/>
      <c r="PL23" s="2950"/>
      <c r="PM23" s="2950"/>
      <c r="PN23" s="2950"/>
      <c r="PO23" s="2950"/>
      <c r="PP23" s="2950"/>
      <c r="PQ23" s="2950"/>
      <c r="PR23" s="2950"/>
      <c r="PS23" s="2950"/>
      <c r="PT23" s="2950"/>
      <c r="PU23" s="2950"/>
      <c r="PV23" s="2950"/>
      <c r="PW23" s="2950"/>
      <c r="PX23" s="2950"/>
      <c r="PY23" s="2950"/>
      <c r="PZ23" s="2950"/>
      <c r="QA23" s="2950"/>
      <c r="QB23" s="2950"/>
      <c r="QC23" s="2950"/>
      <c r="QD23" s="2950"/>
      <c r="QE23" s="2950"/>
      <c r="QF23" s="2950"/>
      <c r="QG23" s="2950"/>
      <c r="QH23" s="2950"/>
      <c r="QI23" s="2950"/>
      <c r="QJ23" s="2950"/>
      <c r="QK23" s="2950"/>
      <c r="QL23" s="2950"/>
      <c r="QM23" s="2950"/>
      <c r="QN23" s="2950"/>
      <c r="QO23" s="2950"/>
      <c r="QP23" s="2950"/>
      <c r="QQ23" s="2950"/>
      <c r="QR23" s="2950"/>
      <c r="QS23" s="2950"/>
      <c r="QT23" s="2950"/>
      <c r="QU23" s="2950"/>
      <c r="QV23" s="2950"/>
      <c r="QW23" s="2950"/>
      <c r="QX23" s="2950"/>
      <c r="QY23" s="2950"/>
      <c r="QZ23" s="2950"/>
      <c r="RA23" s="2950"/>
      <c r="RB23" s="2950"/>
      <c r="RC23" s="2950"/>
      <c r="RD23" s="2950"/>
      <c r="RE23" s="2950"/>
      <c r="RF23" s="2950"/>
      <c r="RG23" s="2950"/>
      <c r="RH23" s="2950"/>
      <c r="RI23" s="2950"/>
      <c r="RJ23" s="2950"/>
      <c r="RK23" s="2950"/>
      <c r="RL23" s="2950"/>
      <c r="RM23" s="2950"/>
      <c r="RN23" s="2950"/>
      <c r="RO23" s="2950"/>
      <c r="RP23" s="2950"/>
      <c r="RQ23" s="2950"/>
      <c r="RR23" s="2950"/>
      <c r="RS23" s="2950"/>
      <c r="RT23" s="2950"/>
      <c r="RU23" s="2950"/>
      <c r="RV23" s="2950"/>
      <c r="RW23" s="2950"/>
      <c r="RX23" s="2950"/>
      <c r="RY23" s="2950"/>
      <c r="RZ23" s="2950"/>
      <c r="SA23" s="2950"/>
      <c r="SB23" s="2950"/>
      <c r="SC23" s="2950"/>
      <c r="SD23" s="2950"/>
      <c r="SE23" s="2950"/>
      <c r="SF23" s="2950"/>
      <c r="SG23" s="2950"/>
      <c r="SH23" s="2950"/>
      <c r="SI23" s="2950"/>
      <c r="SJ23" s="2950"/>
      <c r="SK23" s="2950"/>
      <c r="SL23" s="2950"/>
      <c r="SM23" s="2950"/>
      <c r="SN23" s="2950"/>
      <c r="SO23" s="2950"/>
      <c r="SP23" s="2950"/>
      <c r="SQ23" s="2950"/>
      <c r="SR23" s="2950"/>
      <c r="SS23" s="2950"/>
      <c r="ST23" s="2950"/>
      <c r="SU23" s="2950"/>
      <c r="SV23" s="2950"/>
      <c r="SW23" s="2950"/>
      <c r="SX23" s="2950"/>
      <c r="SY23" s="2950"/>
      <c r="SZ23" s="2950"/>
      <c r="TA23" s="2950"/>
      <c r="TB23" s="2950"/>
      <c r="TC23" s="2950"/>
      <c r="TD23" s="2950"/>
      <c r="TE23" s="2950"/>
      <c r="TF23" s="2950"/>
      <c r="TG23" s="2950"/>
      <c r="TH23" s="2950"/>
      <c r="TI23" s="2950"/>
      <c r="TJ23" s="2950"/>
      <c r="TK23" s="2950"/>
      <c r="TL23" s="2950"/>
      <c r="TM23" s="2950"/>
      <c r="TN23" s="2950"/>
      <c r="TO23" s="2950"/>
      <c r="TP23" s="2950"/>
      <c r="TQ23" s="2950"/>
      <c r="TR23" s="2950"/>
      <c r="TS23" s="2950"/>
      <c r="TT23" s="2950"/>
      <c r="TU23" s="2950"/>
      <c r="TV23" s="2950"/>
      <c r="TW23" s="2950"/>
      <c r="TX23" s="2950"/>
      <c r="TY23" s="2950"/>
      <c r="TZ23" s="2950"/>
      <c r="UA23" s="2950"/>
      <c r="UB23" s="2950"/>
      <c r="UC23" s="2950"/>
      <c r="UD23" s="2950"/>
      <c r="UE23" s="2950"/>
      <c r="UF23" s="2950"/>
      <c r="UG23" s="2950"/>
      <c r="UH23" s="2950"/>
      <c r="UI23" s="2950"/>
      <c r="UJ23" s="2950"/>
      <c r="UK23" s="2950"/>
      <c r="UL23" s="2950"/>
      <c r="UM23" s="2950"/>
      <c r="UN23" s="2950"/>
      <c r="UO23" s="2950"/>
      <c r="UP23" s="2950"/>
      <c r="UQ23" s="2950"/>
      <c r="UR23" s="2950"/>
      <c r="US23" s="2950"/>
      <c r="UT23" s="2950"/>
      <c r="UU23" s="2950"/>
      <c r="UV23" s="2950"/>
      <c r="UW23" s="2950"/>
      <c r="UX23" s="2950"/>
      <c r="UY23" s="2950"/>
      <c r="UZ23" s="2950"/>
      <c r="VA23" s="2950"/>
      <c r="VB23" s="2950"/>
      <c r="VC23" s="2950"/>
      <c r="VD23" s="2950"/>
      <c r="VE23" s="2950"/>
      <c r="VF23" s="2950"/>
      <c r="VG23" s="2950"/>
      <c r="VH23" s="2950"/>
      <c r="VI23" s="2950"/>
      <c r="VJ23" s="2950"/>
      <c r="VK23" s="2950"/>
      <c r="VL23" s="2950"/>
      <c r="VM23" s="2950"/>
      <c r="VN23" s="2950"/>
      <c r="VO23" s="2950"/>
      <c r="VP23" s="2950"/>
      <c r="VQ23" s="2950"/>
      <c r="VR23" s="2950"/>
      <c r="VS23" s="2950"/>
      <c r="VT23" s="2950"/>
      <c r="VU23" s="2950"/>
      <c r="VV23" s="2950"/>
      <c r="VW23" s="2950"/>
      <c r="VX23" s="2950"/>
      <c r="VY23" s="2950"/>
      <c r="VZ23" s="2950"/>
      <c r="WA23" s="2950"/>
      <c r="WB23" s="2950"/>
      <c r="WC23" s="2950"/>
      <c r="WD23" s="2950"/>
      <c r="WE23" s="2950"/>
      <c r="WF23" s="2950"/>
      <c r="WG23" s="2950"/>
      <c r="WH23" s="2950"/>
      <c r="WI23" s="2950"/>
      <c r="WJ23" s="2950"/>
      <c r="WK23" s="2950"/>
      <c r="WL23" s="2950"/>
      <c r="WM23" s="2950"/>
      <c r="WN23" s="2950"/>
      <c r="WO23" s="2950"/>
      <c r="WP23" s="2950"/>
      <c r="WQ23" s="2950"/>
      <c r="WR23" s="2950"/>
      <c r="WS23" s="2950"/>
      <c r="WT23" s="2950"/>
      <c r="WU23" s="2950"/>
      <c r="WV23" s="2950"/>
      <c r="WW23" s="2950"/>
      <c r="WX23" s="2950"/>
      <c r="WY23" s="2950"/>
      <c r="WZ23" s="2950"/>
      <c r="XA23" s="2950"/>
      <c r="XB23" s="2950"/>
      <c r="XC23" s="2950"/>
      <c r="XD23" s="2950"/>
      <c r="XE23" s="2950"/>
      <c r="XF23" s="2950"/>
      <c r="XG23" s="2950"/>
      <c r="XH23" s="2950"/>
      <c r="XI23" s="2950"/>
      <c r="XJ23" s="2950"/>
      <c r="XK23" s="2950"/>
      <c r="XL23" s="2950"/>
      <c r="XM23" s="2950"/>
      <c r="XN23" s="2950"/>
      <c r="XO23" s="2950"/>
      <c r="XP23" s="2950"/>
      <c r="XQ23" s="2950"/>
      <c r="XR23" s="2950"/>
      <c r="XS23" s="2950"/>
      <c r="XT23" s="2950"/>
      <c r="XU23" s="2950"/>
      <c r="XV23" s="2950"/>
      <c r="XW23" s="2950"/>
      <c r="XX23" s="2950"/>
      <c r="XY23" s="2950"/>
      <c r="XZ23" s="2950"/>
      <c r="YA23" s="2950"/>
      <c r="YB23" s="2950"/>
      <c r="YC23" s="2950"/>
      <c r="YD23" s="2950"/>
      <c r="YE23" s="2950"/>
      <c r="YF23" s="2950"/>
      <c r="YG23" s="2950"/>
      <c r="YH23" s="2950"/>
      <c r="YI23" s="2950"/>
      <c r="YJ23" s="2950"/>
      <c r="YK23" s="2950"/>
      <c r="YL23" s="2950"/>
      <c r="YM23" s="2950"/>
      <c r="YN23" s="2950"/>
      <c r="YO23" s="2950"/>
      <c r="YP23" s="2950"/>
      <c r="YQ23" s="2950"/>
      <c r="YR23" s="2950"/>
      <c r="YS23" s="2950"/>
      <c r="YT23" s="2950"/>
      <c r="YU23" s="2950"/>
      <c r="YV23" s="2950"/>
      <c r="YW23" s="2950"/>
      <c r="YX23" s="2950"/>
      <c r="YY23" s="2950"/>
      <c r="YZ23" s="2950"/>
      <c r="ZA23" s="2950"/>
      <c r="ZB23" s="2950"/>
      <c r="ZC23" s="2950"/>
      <c r="ZD23" s="2950"/>
      <c r="ZE23" s="2950"/>
      <c r="ZF23" s="2950"/>
      <c r="ZG23" s="2950"/>
      <c r="ZH23" s="2950"/>
      <c r="ZI23" s="2950"/>
      <c r="ZJ23" s="2950"/>
      <c r="ZK23" s="2950"/>
      <c r="ZL23" s="2950"/>
      <c r="ZM23" s="2950"/>
      <c r="ZN23" s="2950"/>
      <c r="ZO23" s="2950"/>
      <c r="ZP23" s="2950"/>
      <c r="ZQ23" s="2950"/>
      <c r="ZR23" s="2950"/>
      <c r="ZS23" s="2950"/>
      <c r="ZT23" s="2950"/>
      <c r="ZU23" s="2950"/>
      <c r="ZV23" s="2950"/>
      <c r="ZW23" s="2950"/>
      <c r="ZX23" s="2950"/>
      <c r="ZY23" s="2950"/>
      <c r="ZZ23" s="2950"/>
      <c r="AAA23" s="2950"/>
      <c r="AAB23" s="2950"/>
      <c r="AAC23" s="2950"/>
      <c r="AAD23" s="2950"/>
      <c r="AAE23" s="2950"/>
      <c r="AAF23" s="2950"/>
      <c r="AAG23" s="2950"/>
      <c r="AAH23" s="2950"/>
      <c r="AAI23" s="2950"/>
      <c r="AAJ23" s="2950"/>
      <c r="AAK23" s="2950"/>
      <c r="AAL23" s="2950"/>
      <c r="AAM23" s="2950"/>
      <c r="AAN23" s="2950"/>
      <c r="AAO23" s="2950"/>
      <c r="AAP23" s="2950"/>
      <c r="AAQ23" s="2950"/>
      <c r="AAR23" s="2950"/>
      <c r="AAS23" s="2950"/>
      <c r="AAT23" s="2950"/>
      <c r="AAU23" s="2950"/>
      <c r="AAV23" s="2950"/>
      <c r="AAW23" s="2950"/>
      <c r="AAX23" s="2950"/>
      <c r="AAY23" s="2950"/>
      <c r="AAZ23" s="2950"/>
      <c r="ABA23" s="2950"/>
      <c r="ABB23" s="2950"/>
      <c r="ABC23" s="2950"/>
      <c r="ABD23" s="2950"/>
      <c r="ABE23" s="2950"/>
      <c r="ABF23" s="2950"/>
      <c r="ABG23" s="2950"/>
      <c r="ABH23" s="2950"/>
      <c r="ABI23" s="2950"/>
      <c r="ABJ23" s="2950"/>
      <c r="ABK23" s="2950"/>
      <c r="ABL23" s="2950"/>
      <c r="ABM23" s="2950"/>
      <c r="ABN23" s="2950"/>
      <c r="ABO23" s="2950"/>
      <c r="ABP23" s="2950"/>
      <c r="ABQ23" s="2950"/>
      <c r="ABR23" s="2950"/>
      <c r="ABS23" s="2950"/>
      <c r="ABT23" s="2950"/>
      <c r="ABU23" s="2950"/>
      <c r="ABV23" s="2950"/>
      <c r="ABW23" s="2950"/>
      <c r="ABX23" s="2950"/>
      <c r="ABY23" s="2950"/>
      <c r="ABZ23" s="2950"/>
      <c r="ACA23" s="2950"/>
      <c r="ACB23" s="2950"/>
      <c r="ACC23" s="2950"/>
      <c r="ACD23" s="2950"/>
      <c r="ACE23" s="2950"/>
      <c r="ACF23" s="2950"/>
      <c r="ACG23" s="2950"/>
      <c r="ACH23" s="2950"/>
      <c r="ACI23" s="2950"/>
      <c r="ACJ23" s="2950"/>
      <c r="ACK23" s="2950"/>
      <c r="ACL23" s="2950"/>
      <c r="ACM23" s="2950"/>
      <c r="ACN23" s="2950"/>
      <c r="ACO23" s="2950"/>
      <c r="ACP23" s="2950"/>
      <c r="ACQ23" s="2950"/>
      <c r="ACR23" s="2950"/>
      <c r="ACS23" s="2950"/>
      <c r="ACT23" s="2950"/>
      <c r="ACU23" s="2950"/>
      <c r="ACV23" s="2950"/>
      <c r="ACW23" s="2950"/>
      <c r="ACX23" s="2950"/>
      <c r="ACY23" s="2950"/>
      <c r="ACZ23" s="2950"/>
      <c r="ADA23" s="2950"/>
      <c r="ADB23" s="2950"/>
      <c r="ADC23" s="2950"/>
      <c r="ADD23" s="2950"/>
      <c r="ADE23" s="2950"/>
      <c r="ADF23" s="2950"/>
      <c r="ADG23" s="2950"/>
      <c r="ADH23" s="2950"/>
      <c r="ADI23" s="2950"/>
      <c r="ADJ23" s="2950"/>
      <c r="ADK23" s="2950"/>
      <c r="ADL23" s="2950"/>
      <c r="ADM23" s="2950"/>
      <c r="ADN23" s="2950"/>
      <c r="ADO23" s="2950"/>
      <c r="ADP23" s="2950"/>
      <c r="ADQ23" s="2950"/>
      <c r="ADR23" s="2950"/>
      <c r="ADS23" s="2950"/>
      <c r="ADT23" s="2950"/>
      <c r="ADU23" s="2950"/>
      <c r="ADV23" s="2950"/>
      <c r="ADW23" s="2950"/>
      <c r="ADX23" s="2950"/>
      <c r="ADY23" s="2950"/>
      <c r="ADZ23" s="2950"/>
      <c r="AEA23" s="2950"/>
      <c r="AEB23" s="2950"/>
      <c r="AEC23" s="2950"/>
      <c r="AED23" s="2950"/>
      <c r="AEE23" s="2950"/>
      <c r="AEF23" s="2950"/>
      <c r="AEG23" s="2950"/>
      <c r="AEH23" s="2950"/>
      <c r="AEI23" s="2950"/>
      <c r="AEJ23" s="2950"/>
      <c r="AEK23" s="2950"/>
      <c r="AEL23" s="2950"/>
      <c r="AEM23" s="2950"/>
      <c r="AEN23" s="2950"/>
      <c r="AEO23" s="2950"/>
      <c r="AEP23" s="2950"/>
      <c r="AEQ23" s="2950"/>
      <c r="AER23" s="2950"/>
      <c r="AES23" s="2950"/>
      <c r="AET23" s="2950"/>
      <c r="AEU23" s="2950"/>
      <c r="AEV23" s="2950"/>
      <c r="AEW23" s="2950"/>
      <c r="AEX23" s="2950"/>
      <c r="AEY23" s="2950"/>
      <c r="AEZ23" s="2950"/>
      <c r="AFA23" s="2950"/>
      <c r="AFB23" s="2950"/>
      <c r="AFC23" s="2950"/>
      <c r="AFD23" s="2950"/>
      <c r="AFE23" s="2950"/>
      <c r="AFF23" s="2950"/>
      <c r="AFG23" s="2950"/>
      <c r="AFH23" s="2950"/>
      <c r="AFI23" s="2950"/>
      <c r="AFJ23" s="2950"/>
      <c r="AFK23" s="2950"/>
      <c r="AFL23" s="2950"/>
      <c r="AFM23" s="2950"/>
      <c r="AFN23" s="2950"/>
      <c r="AFO23" s="2950"/>
      <c r="AFP23" s="2950"/>
      <c r="AFQ23" s="2950"/>
      <c r="AFR23" s="2950"/>
      <c r="AFS23" s="2950"/>
      <c r="AFT23" s="2950"/>
      <c r="AFU23" s="2950"/>
      <c r="AFV23" s="2950"/>
      <c r="AFW23" s="2950"/>
      <c r="AFX23" s="2950"/>
      <c r="AFY23" s="2950"/>
      <c r="AFZ23" s="2950"/>
      <c r="AGA23" s="2950"/>
      <c r="AGB23" s="2950"/>
      <c r="AGC23" s="2950"/>
      <c r="AGD23" s="2950"/>
      <c r="AGE23" s="2950"/>
      <c r="AGF23" s="2950"/>
      <c r="AGG23" s="2950"/>
      <c r="AGH23" s="2950"/>
      <c r="AGI23" s="2950"/>
      <c r="AGJ23" s="2950"/>
      <c r="AGK23" s="2950"/>
      <c r="AGL23" s="2950"/>
      <c r="AGM23" s="2950"/>
      <c r="AGN23" s="2950"/>
      <c r="AGO23" s="2950"/>
      <c r="AGP23" s="2950"/>
      <c r="AGQ23" s="2950"/>
      <c r="AGR23" s="2950"/>
      <c r="AGS23" s="2950"/>
      <c r="AGT23" s="2950"/>
      <c r="AGU23" s="2950"/>
      <c r="AGV23" s="2950"/>
      <c r="AGW23" s="2950"/>
      <c r="AGX23" s="2950"/>
      <c r="AGY23" s="2950"/>
      <c r="AGZ23" s="2950"/>
      <c r="AHA23" s="2950"/>
      <c r="AHB23" s="2950"/>
      <c r="AHC23" s="2950"/>
      <c r="AHD23" s="2950"/>
      <c r="AHE23" s="2950"/>
      <c r="AHF23" s="2950"/>
      <c r="AHG23" s="2950"/>
      <c r="AHH23" s="2950"/>
      <c r="AHI23" s="2950"/>
      <c r="AHJ23" s="2950"/>
      <c r="AHK23" s="2950"/>
      <c r="AHL23" s="2950"/>
      <c r="AHM23" s="2950"/>
      <c r="AHN23" s="2950"/>
      <c r="AHO23" s="2950"/>
      <c r="AHP23" s="2950"/>
      <c r="AHQ23" s="2950"/>
      <c r="AHR23" s="2950"/>
      <c r="AHS23" s="2950"/>
      <c r="AHT23" s="2950"/>
      <c r="AHU23" s="2950"/>
      <c r="AHV23" s="2950"/>
      <c r="AHW23" s="2950"/>
      <c r="AHX23" s="2950"/>
      <c r="AHY23" s="2950"/>
      <c r="AHZ23" s="2950"/>
      <c r="AIA23" s="2950"/>
      <c r="AIB23" s="2950"/>
      <c r="AIC23" s="2950"/>
      <c r="AID23" s="2950"/>
      <c r="AIE23" s="2950"/>
      <c r="AIF23" s="2950"/>
      <c r="AIG23" s="2950"/>
      <c r="AIH23" s="2950"/>
      <c r="AII23" s="2950"/>
      <c r="AIJ23" s="2950"/>
      <c r="AIK23" s="2950"/>
      <c r="AIL23" s="2950"/>
      <c r="AIM23" s="2950"/>
      <c r="AIN23" s="2950"/>
      <c r="AIO23" s="2950"/>
      <c r="AIP23" s="2950"/>
      <c r="AIQ23" s="2950"/>
      <c r="AIR23" s="2950"/>
      <c r="AIS23" s="2950"/>
      <c r="AIT23" s="2950"/>
      <c r="AIU23" s="2950"/>
      <c r="AIV23" s="2950"/>
      <c r="AIW23" s="2950"/>
      <c r="AIX23" s="2950"/>
      <c r="AIY23" s="2950"/>
      <c r="AIZ23" s="2950"/>
      <c r="AJA23" s="2950"/>
      <c r="AJB23" s="2950"/>
      <c r="AJC23" s="2950"/>
      <c r="AJD23" s="2950"/>
      <c r="AJE23" s="2950"/>
      <c r="AJF23" s="2950"/>
      <c r="AJG23" s="2950"/>
      <c r="AJH23" s="2950"/>
      <c r="AJI23" s="2950"/>
      <c r="AJJ23" s="2950"/>
      <c r="AJK23" s="2950"/>
      <c r="AJL23" s="2950"/>
      <c r="AJM23" s="2950"/>
      <c r="AJN23" s="2950"/>
      <c r="AJO23" s="2950"/>
      <c r="AJP23" s="2950"/>
      <c r="AJQ23" s="2950"/>
      <c r="AJR23" s="2950"/>
      <c r="AJS23" s="2950"/>
      <c r="AJT23" s="2950"/>
      <c r="AJU23" s="2950"/>
      <c r="AJV23" s="2950"/>
      <c r="AJW23" s="2950"/>
      <c r="AJX23" s="2950"/>
      <c r="AJY23" s="2950"/>
      <c r="AJZ23" s="2950"/>
      <c r="AKA23" s="2950"/>
      <c r="AKB23" s="2950"/>
      <c r="AKC23" s="2950"/>
      <c r="AKD23" s="2950"/>
      <c r="AKE23" s="2950"/>
      <c r="AKF23" s="2950"/>
      <c r="AKG23" s="2950"/>
      <c r="AKH23" s="2950"/>
      <c r="AKI23" s="2950"/>
      <c r="AKJ23" s="2950"/>
      <c r="AKK23" s="2950"/>
      <c r="AKL23" s="2950"/>
      <c r="AKM23" s="2950"/>
      <c r="AKN23" s="2950"/>
      <c r="AKO23" s="2950"/>
      <c r="AKP23" s="2950"/>
      <c r="AKQ23" s="2950"/>
      <c r="AKR23" s="2950"/>
      <c r="AKS23" s="2950"/>
      <c r="AKT23" s="2950"/>
      <c r="AKU23" s="2950"/>
      <c r="AKV23" s="2950"/>
      <c r="AKW23" s="2950"/>
      <c r="AKX23" s="2950"/>
      <c r="AKY23" s="2950"/>
      <c r="AKZ23" s="2950"/>
      <c r="ALA23" s="2950"/>
      <c r="ALB23" s="2950"/>
      <c r="ALC23" s="2950"/>
      <c r="ALD23" s="2950"/>
      <c r="ALE23" s="2950"/>
      <c r="ALF23" s="2950"/>
      <c r="ALG23" s="2950"/>
      <c r="ALH23" s="2950"/>
      <c r="ALI23" s="2950"/>
      <c r="ALJ23" s="2950"/>
      <c r="ALK23" s="2950"/>
      <c r="ALL23" s="2950"/>
      <c r="ALM23" s="2950"/>
      <c r="ALN23" s="2950"/>
      <c r="ALO23" s="2950"/>
      <c r="ALP23" s="2950"/>
      <c r="ALQ23" s="2950"/>
      <c r="ALR23" s="2950"/>
      <c r="ALS23" s="2950"/>
      <c r="ALT23" s="2950"/>
      <c r="ALU23" s="2950"/>
      <c r="ALV23" s="2950"/>
      <c r="ALW23" s="2950"/>
      <c r="ALX23" s="2950"/>
      <c r="ALY23" s="2950"/>
      <c r="ALZ23" s="2950"/>
      <c r="AMA23" s="2950"/>
      <c r="AMB23" s="2950"/>
      <c r="AMC23" s="2950"/>
      <c r="AMD23" s="2950"/>
      <c r="AME23" s="2950"/>
      <c r="AMF23" s="2950"/>
      <c r="AMG23" s="2950"/>
      <c r="AMH23" s="2950"/>
      <c r="AMI23" s="2950"/>
      <c r="AMJ23" s="2950"/>
      <c r="AMK23" s="2950"/>
      <c r="AML23" s="2950"/>
      <c r="AMM23" s="2950"/>
      <c r="AMN23" s="2950"/>
      <c r="AMO23" s="2950"/>
      <c r="AMP23" s="2950"/>
      <c r="AMQ23" s="2950"/>
      <c r="AMR23" s="2950"/>
      <c r="AMS23" s="2950"/>
      <c r="AMT23" s="2950"/>
      <c r="AMU23" s="2950"/>
      <c r="AMV23" s="2950"/>
      <c r="AMW23" s="2950"/>
      <c r="AMX23" s="2950"/>
      <c r="AMY23" s="2950"/>
      <c r="AMZ23" s="2950"/>
      <c r="ANA23" s="2950"/>
      <c r="ANB23" s="2950"/>
      <c r="ANC23" s="2950"/>
      <c r="AND23" s="2950"/>
      <c r="ANE23" s="2950"/>
      <c r="ANF23" s="2950"/>
      <c r="ANG23" s="2950"/>
      <c r="ANH23" s="2950"/>
      <c r="ANI23" s="2950"/>
      <c r="ANJ23" s="2950"/>
      <c r="ANK23" s="2950"/>
      <c r="ANL23" s="2950"/>
      <c r="ANM23" s="2950"/>
      <c r="ANN23" s="2950"/>
      <c r="ANO23" s="2950"/>
      <c r="ANP23" s="2950"/>
      <c r="ANQ23" s="2950"/>
      <c r="ANR23" s="2950"/>
      <c r="ANS23" s="2950"/>
      <c r="ANT23" s="2950"/>
      <c r="ANU23" s="2950"/>
      <c r="ANV23" s="2950"/>
      <c r="ANW23" s="2950"/>
      <c r="ANX23" s="2950"/>
      <c r="ANY23" s="2950"/>
      <c r="ANZ23" s="2950"/>
      <c r="AOA23" s="2950"/>
      <c r="AOB23" s="2950"/>
      <c r="AOC23" s="2950"/>
      <c r="AOD23" s="2950"/>
      <c r="AOE23" s="2950"/>
      <c r="AOF23" s="2950"/>
      <c r="AOG23" s="2950"/>
      <c r="AOH23" s="2950"/>
      <c r="AOI23" s="2950"/>
      <c r="AOJ23" s="2950"/>
      <c r="AOK23" s="2950"/>
      <c r="AOL23" s="2950"/>
      <c r="AOM23" s="2950"/>
      <c r="AON23" s="2950"/>
      <c r="AOO23" s="2950"/>
      <c r="AOP23" s="2950"/>
      <c r="AOQ23" s="2950"/>
      <c r="AOR23" s="2950"/>
      <c r="AOS23" s="2950"/>
      <c r="AOT23" s="2950"/>
      <c r="AOU23" s="2950"/>
      <c r="AOV23" s="2950"/>
      <c r="AOW23" s="2950"/>
      <c r="AOX23" s="2950"/>
      <c r="AOY23" s="2950"/>
      <c r="AOZ23" s="2950"/>
      <c r="APA23" s="2950"/>
      <c r="APB23" s="2950"/>
      <c r="APC23" s="2950"/>
      <c r="APD23" s="2950"/>
      <c r="APE23" s="2950"/>
      <c r="APF23" s="2950"/>
      <c r="APG23" s="2950"/>
      <c r="APH23" s="2950"/>
      <c r="API23" s="2950"/>
      <c r="APJ23" s="2950"/>
      <c r="APK23" s="2950"/>
      <c r="APL23" s="2950"/>
      <c r="APM23" s="2950"/>
      <c r="APN23" s="2950"/>
      <c r="APO23" s="2950"/>
      <c r="APP23" s="2950"/>
      <c r="APQ23" s="2950"/>
      <c r="APR23" s="2950"/>
      <c r="APS23" s="2950"/>
      <c r="APT23" s="2950"/>
      <c r="APU23" s="2950"/>
      <c r="APV23" s="2950"/>
      <c r="APW23" s="2950"/>
      <c r="APX23" s="2950"/>
      <c r="APY23" s="2950"/>
      <c r="APZ23" s="2950"/>
      <c r="AQA23" s="2950"/>
      <c r="AQB23" s="2950"/>
      <c r="AQC23" s="2950"/>
      <c r="AQD23" s="2950"/>
      <c r="AQE23" s="2950"/>
      <c r="AQF23" s="2950"/>
      <c r="AQG23" s="2950"/>
      <c r="AQH23" s="2950"/>
      <c r="AQI23" s="2950"/>
      <c r="AQJ23" s="2950"/>
      <c r="AQK23" s="2950"/>
      <c r="AQL23" s="2950"/>
      <c r="AQM23" s="2950"/>
      <c r="AQN23" s="2950"/>
      <c r="AQO23" s="2950"/>
      <c r="AQP23" s="2950"/>
      <c r="AQQ23" s="2950"/>
      <c r="AQR23" s="2950"/>
      <c r="AQS23" s="2950"/>
      <c r="AQT23" s="2950"/>
      <c r="AQU23" s="2950"/>
      <c r="AQV23" s="2950"/>
      <c r="AQW23" s="2950"/>
      <c r="AQX23" s="2950"/>
      <c r="AQY23" s="2950"/>
      <c r="AQZ23" s="2950"/>
      <c r="ARA23" s="2950"/>
      <c r="ARB23" s="2950"/>
      <c r="ARC23" s="2950"/>
      <c r="ARD23" s="2950"/>
      <c r="ARE23" s="2950"/>
      <c r="ARF23" s="2950"/>
      <c r="ARG23" s="2950"/>
      <c r="ARH23" s="2950"/>
      <c r="ARI23" s="2950"/>
      <c r="ARJ23" s="2950"/>
      <c r="ARK23" s="2950"/>
      <c r="ARL23" s="2950"/>
      <c r="ARM23" s="2950"/>
      <c r="ARN23" s="2950"/>
      <c r="ARO23" s="2950"/>
      <c r="ARP23" s="2950"/>
      <c r="ARQ23" s="2950"/>
      <c r="ARR23" s="2950"/>
      <c r="ARS23" s="2950"/>
      <c r="ART23" s="2950"/>
      <c r="ARU23" s="2950"/>
      <c r="ARV23" s="2950"/>
      <c r="ARW23" s="2950"/>
      <c r="ARX23" s="2950"/>
      <c r="ARY23" s="2950"/>
      <c r="ARZ23" s="2950"/>
      <c r="ASA23" s="2950"/>
      <c r="ASB23" s="2950"/>
      <c r="ASC23" s="2950"/>
      <c r="ASD23" s="2950"/>
      <c r="ASE23" s="2950"/>
      <c r="ASF23" s="2950"/>
      <c r="ASG23" s="2950"/>
      <c r="ASH23" s="2950"/>
      <c r="ASI23" s="2950"/>
      <c r="ASJ23" s="2950"/>
      <c r="ASK23" s="2950"/>
      <c r="ASL23" s="2950"/>
      <c r="ASM23" s="2950"/>
      <c r="ASN23" s="2950"/>
      <c r="ASO23" s="2950"/>
      <c r="ASP23" s="2950"/>
      <c r="ASQ23" s="2950"/>
      <c r="ASR23" s="2950"/>
      <c r="ASS23" s="2950"/>
      <c r="AST23" s="2950"/>
      <c r="ASU23" s="2950"/>
      <c r="ASV23" s="2950"/>
      <c r="ASW23" s="2950"/>
      <c r="ASX23" s="2950"/>
      <c r="ASY23" s="2950"/>
      <c r="ASZ23" s="2950"/>
      <c r="ATA23" s="2950"/>
      <c r="ATB23" s="2950"/>
      <c r="ATC23" s="2950"/>
      <c r="ATD23" s="2950"/>
      <c r="ATE23" s="2950"/>
      <c r="ATF23" s="2950"/>
      <c r="ATG23" s="2950"/>
      <c r="ATH23" s="2950"/>
      <c r="ATI23" s="2950"/>
      <c r="ATJ23" s="2950"/>
      <c r="ATK23" s="2950"/>
      <c r="ATL23" s="2950"/>
      <c r="ATM23" s="2950"/>
      <c r="ATN23" s="2950"/>
      <c r="ATO23" s="2950"/>
      <c r="ATP23" s="2950"/>
      <c r="ATQ23" s="2950"/>
      <c r="ATR23" s="2950"/>
      <c r="ATS23" s="2950"/>
      <c r="ATT23" s="2950"/>
      <c r="ATU23" s="2950"/>
      <c r="ATV23" s="2950"/>
      <c r="ATW23" s="2950"/>
      <c r="ATX23" s="2950"/>
      <c r="ATY23" s="2950"/>
      <c r="ATZ23" s="2950"/>
      <c r="AUA23" s="2950"/>
      <c r="AUB23" s="2950"/>
      <c r="AUC23" s="2950"/>
      <c r="AUD23" s="2950"/>
      <c r="AUE23" s="2950"/>
      <c r="AUF23" s="2950"/>
      <c r="AUG23" s="2950"/>
      <c r="AUH23" s="2950"/>
      <c r="AUI23" s="2950"/>
      <c r="AUJ23" s="2950"/>
      <c r="AUK23" s="2950"/>
      <c r="AUL23" s="2950"/>
      <c r="AUM23" s="2950"/>
      <c r="AUN23" s="2950"/>
      <c r="AUO23" s="2950"/>
      <c r="AUP23" s="2950"/>
      <c r="AUQ23" s="2950"/>
      <c r="AUR23" s="2950"/>
      <c r="AUS23" s="2950"/>
      <c r="AUT23" s="2950"/>
      <c r="AUU23" s="2950"/>
      <c r="AUV23" s="2950"/>
      <c r="AUW23" s="2950"/>
      <c r="AUX23" s="2950"/>
      <c r="AUY23" s="2950"/>
      <c r="AUZ23" s="2950"/>
      <c r="AVA23" s="2950"/>
      <c r="AVB23" s="2950"/>
      <c r="AVC23" s="2950"/>
      <c r="AVD23" s="2950"/>
      <c r="AVE23" s="2950"/>
      <c r="AVF23" s="2950"/>
      <c r="AVG23" s="2950"/>
      <c r="AVH23" s="2950"/>
      <c r="AVI23" s="2950"/>
      <c r="AVJ23" s="2950"/>
      <c r="AVK23" s="2950"/>
      <c r="AVL23" s="2950"/>
      <c r="AVM23" s="2950"/>
      <c r="AVN23" s="2950"/>
      <c r="AVO23" s="2950"/>
      <c r="AVP23" s="2950"/>
      <c r="AVQ23" s="2950"/>
      <c r="AVR23" s="2950"/>
      <c r="AVS23" s="2950"/>
      <c r="AVT23" s="2950"/>
      <c r="AVU23" s="2950"/>
      <c r="AVV23" s="2950"/>
      <c r="AVW23" s="2950"/>
      <c r="AVX23" s="2950"/>
      <c r="AVY23" s="2950"/>
      <c r="AVZ23" s="2950"/>
      <c r="AWA23" s="2950"/>
      <c r="AWB23" s="2950"/>
      <c r="AWC23" s="2950"/>
      <c r="AWD23" s="2950"/>
      <c r="AWE23" s="2950"/>
      <c r="AWF23" s="2950"/>
      <c r="AWG23" s="2950"/>
      <c r="AWH23" s="2950"/>
      <c r="AWI23" s="2950"/>
      <c r="AWJ23" s="2950"/>
      <c r="AWK23" s="2950"/>
      <c r="AWL23" s="2950"/>
      <c r="AWM23" s="2950"/>
      <c r="AWN23" s="2950"/>
      <c r="AWO23" s="2950"/>
      <c r="AWP23" s="2950"/>
      <c r="AWQ23" s="2950"/>
      <c r="AWR23" s="2950"/>
      <c r="AWS23" s="2950"/>
      <c r="AWT23" s="2950"/>
      <c r="AWU23" s="2950"/>
      <c r="AWV23" s="2950"/>
      <c r="AWW23" s="2950"/>
      <c r="AWX23" s="2950"/>
      <c r="AWY23" s="2950"/>
      <c r="AWZ23" s="2950"/>
      <c r="AXA23" s="2950"/>
      <c r="AXB23" s="2950"/>
      <c r="AXC23" s="2950"/>
      <c r="AXD23" s="2950"/>
      <c r="AXE23" s="2950"/>
      <c r="AXF23" s="2950"/>
      <c r="AXG23" s="2950"/>
      <c r="AXH23" s="2950"/>
      <c r="AXI23" s="2950"/>
      <c r="AXJ23" s="2950"/>
      <c r="AXK23" s="2950"/>
      <c r="AXL23" s="2950"/>
      <c r="AXM23" s="2950"/>
      <c r="AXN23" s="2950"/>
      <c r="AXO23" s="2950"/>
      <c r="AXP23" s="2950"/>
      <c r="AXQ23" s="2950"/>
      <c r="AXR23" s="2950"/>
      <c r="AXS23" s="2950"/>
      <c r="AXT23" s="2950"/>
      <c r="AXU23" s="2950"/>
      <c r="AXV23" s="2950"/>
      <c r="AXW23" s="2950"/>
      <c r="AXX23" s="2950"/>
      <c r="AXY23" s="2950"/>
      <c r="AXZ23" s="2950"/>
      <c r="AYA23" s="2950"/>
      <c r="AYB23" s="2950"/>
      <c r="AYC23" s="2950"/>
      <c r="AYD23" s="2950"/>
      <c r="AYE23" s="2950"/>
      <c r="AYF23" s="2950"/>
      <c r="AYG23" s="2950"/>
      <c r="AYH23" s="2950"/>
      <c r="AYI23" s="2950"/>
      <c r="AYJ23" s="2950"/>
      <c r="AYK23" s="2950"/>
      <c r="AYL23" s="2950"/>
      <c r="AYM23" s="2950"/>
      <c r="AYN23" s="2950"/>
      <c r="AYO23" s="2950"/>
      <c r="AYP23" s="2950"/>
      <c r="AYQ23" s="2950"/>
      <c r="AYR23" s="2950"/>
      <c r="AYS23" s="2950"/>
      <c r="AYT23" s="2950"/>
      <c r="AYU23" s="2950"/>
      <c r="AYV23" s="2950"/>
      <c r="AYW23" s="2950"/>
      <c r="AYX23" s="2950"/>
      <c r="AYY23" s="2950"/>
      <c r="AYZ23" s="2950"/>
      <c r="AZA23" s="2950"/>
      <c r="AZB23" s="2950"/>
      <c r="AZC23" s="2950"/>
      <c r="AZD23" s="2950"/>
      <c r="AZE23" s="2950"/>
      <c r="AZF23" s="2950"/>
      <c r="AZG23" s="2950"/>
      <c r="AZH23" s="2950"/>
      <c r="AZI23" s="2950"/>
      <c r="AZJ23" s="2950"/>
      <c r="AZK23" s="2950"/>
      <c r="AZL23" s="2950"/>
      <c r="AZM23" s="2950"/>
      <c r="AZN23" s="2950"/>
      <c r="AZO23" s="2950"/>
      <c r="AZP23" s="2950"/>
      <c r="AZQ23" s="2950"/>
      <c r="AZR23" s="2950"/>
      <c r="AZS23" s="2950"/>
      <c r="AZT23" s="2950"/>
      <c r="AZU23" s="2950"/>
      <c r="AZV23" s="2950"/>
      <c r="AZW23" s="2950"/>
      <c r="AZX23" s="2950"/>
      <c r="AZY23" s="2950"/>
      <c r="AZZ23" s="2950"/>
      <c r="BAA23" s="2950"/>
      <c r="BAB23" s="2950"/>
      <c r="BAC23" s="2950"/>
      <c r="BAD23" s="2950"/>
      <c r="BAE23" s="2950"/>
      <c r="BAF23" s="2950"/>
      <c r="BAG23" s="2950"/>
      <c r="BAH23" s="2950"/>
      <c r="BAI23" s="2950"/>
      <c r="BAJ23" s="2950"/>
      <c r="BAK23" s="2950"/>
      <c r="BAL23" s="2950"/>
      <c r="BAM23" s="2950"/>
      <c r="BAN23" s="2950"/>
      <c r="BAO23" s="2950"/>
      <c r="BAP23" s="2950"/>
      <c r="BAQ23" s="2950"/>
      <c r="BAR23" s="2950"/>
      <c r="BAS23" s="2950"/>
      <c r="BAT23" s="2950"/>
      <c r="BAU23" s="2950"/>
      <c r="BAV23" s="2950"/>
      <c r="BAW23" s="2950"/>
      <c r="BAX23" s="2950"/>
      <c r="BAY23" s="2950"/>
      <c r="BAZ23" s="2950"/>
      <c r="BBA23" s="2950"/>
      <c r="BBB23" s="2950"/>
      <c r="BBC23" s="2950"/>
      <c r="BBD23" s="2950"/>
      <c r="BBE23" s="2950"/>
      <c r="BBF23" s="2950"/>
      <c r="BBG23" s="2950"/>
      <c r="BBH23" s="2950"/>
      <c r="BBI23" s="2950"/>
      <c r="BBJ23" s="2950"/>
      <c r="BBK23" s="2950"/>
      <c r="BBL23" s="2950"/>
      <c r="BBM23" s="2950"/>
      <c r="BBN23" s="2950"/>
      <c r="BBO23" s="2950"/>
      <c r="BBP23" s="2950"/>
      <c r="BBQ23" s="2950"/>
      <c r="BBR23" s="2950"/>
      <c r="BBS23" s="2950"/>
      <c r="BBT23" s="2950"/>
      <c r="BBU23" s="2950"/>
      <c r="BBV23" s="2950"/>
      <c r="BBW23" s="2950"/>
      <c r="BBX23" s="2950"/>
      <c r="BBY23" s="2950"/>
      <c r="BBZ23" s="2950"/>
      <c r="BCA23" s="2950"/>
      <c r="BCB23" s="2950"/>
      <c r="BCC23" s="2950"/>
      <c r="BCD23" s="2950"/>
      <c r="BCE23" s="2950"/>
      <c r="BCF23" s="2950"/>
      <c r="BCG23" s="2950"/>
      <c r="BCH23" s="2950"/>
      <c r="BCI23" s="2950"/>
      <c r="BCJ23" s="2950"/>
      <c r="BCK23" s="2950"/>
      <c r="BCL23" s="2950"/>
      <c r="BCM23" s="2950"/>
      <c r="BCN23" s="2950"/>
      <c r="BCO23" s="2950"/>
      <c r="BCP23" s="2950"/>
      <c r="BCQ23" s="2950"/>
      <c r="BCR23" s="2950"/>
      <c r="BCS23" s="2950"/>
      <c r="BCT23" s="2950"/>
      <c r="BCU23" s="2950"/>
      <c r="BCV23" s="2950"/>
      <c r="BCW23" s="2950"/>
      <c r="BCX23" s="2950"/>
      <c r="BCY23" s="2950"/>
      <c r="BCZ23" s="2950"/>
      <c r="BDA23" s="2950"/>
      <c r="BDB23" s="2950"/>
      <c r="BDC23" s="2950"/>
      <c r="BDD23" s="2950"/>
      <c r="BDE23" s="2950"/>
      <c r="BDF23" s="2950"/>
      <c r="BDG23" s="2950"/>
      <c r="BDH23" s="2950"/>
      <c r="BDI23" s="2950"/>
      <c r="BDJ23" s="2950"/>
      <c r="BDK23" s="2950"/>
      <c r="BDL23" s="2950"/>
      <c r="BDM23" s="2950"/>
      <c r="BDN23" s="2950"/>
      <c r="BDO23" s="2950"/>
      <c r="BDP23" s="2950"/>
      <c r="BDQ23" s="2950"/>
      <c r="BDR23" s="2950"/>
      <c r="BDS23" s="2950"/>
      <c r="BDT23" s="2950"/>
      <c r="BDU23" s="2950"/>
      <c r="BDV23" s="2950"/>
      <c r="BDW23" s="2950"/>
      <c r="BDX23" s="2950"/>
      <c r="BDY23" s="2950"/>
      <c r="BDZ23" s="2950"/>
      <c r="BEA23" s="2950"/>
      <c r="BEB23" s="2950"/>
      <c r="BEC23" s="2950"/>
      <c r="BED23" s="2950"/>
      <c r="BEE23" s="2950"/>
      <c r="BEF23" s="2950"/>
      <c r="BEG23" s="2950"/>
      <c r="BEH23" s="2950"/>
      <c r="BEI23" s="2950"/>
      <c r="BEJ23" s="2950"/>
      <c r="BEK23" s="2950"/>
      <c r="BEL23" s="2950"/>
      <c r="BEM23" s="2950"/>
      <c r="BEN23" s="2950"/>
      <c r="BEO23" s="2950"/>
      <c r="BEP23" s="2950"/>
      <c r="BEQ23" s="2950"/>
      <c r="BER23" s="2950"/>
      <c r="BES23" s="2950"/>
      <c r="BET23" s="2950"/>
      <c r="BEU23" s="2950"/>
      <c r="BEV23" s="2950"/>
      <c r="BEW23" s="2950"/>
      <c r="BEX23" s="2950"/>
      <c r="BEY23" s="2950"/>
      <c r="BEZ23" s="2950"/>
      <c r="BFA23" s="2950"/>
      <c r="BFB23" s="2950"/>
      <c r="BFC23" s="2950"/>
      <c r="BFD23" s="2950"/>
      <c r="BFE23" s="2950"/>
      <c r="BFF23" s="2950"/>
      <c r="BFG23" s="2950"/>
      <c r="BFH23" s="2950"/>
      <c r="BFI23" s="2950"/>
      <c r="BFJ23" s="2950"/>
      <c r="BFK23" s="2950"/>
      <c r="BFL23" s="2950"/>
      <c r="BFM23" s="2950"/>
      <c r="BFN23" s="2950"/>
      <c r="BFO23" s="2950"/>
      <c r="BFP23" s="2950"/>
      <c r="BFQ23" s="2950"/>
      <c r="BFR23" s="2950"/>
      <c r="BFS23" s="2950"/>
      <c r="BFT23" s="2950"/>
      <c r="BFU23" s="2950"/>
      <c r="BFV23" s="2950"/>
      <c r="BFW23" s="2950"/>
      <c r="BFX23" s="2950"/>
      <c r="BFY23" s="2950"/>
      <c r="BFZ23" s="2950"/>
      <c r="BGA23" s="2950"/>
      <c r="BGB23" s="2950"/>
      <c r="BGC23" s="2950"/>
      <c r="BGD23" s="2950"/>
      <c r="BGE23" s="2950"/>
      <c r="BGF23" s="2950"/>
      <c r="BGG23" s="2950"/>
      <c r="BGH23" s="2950"/>
      <c r="BGI23" s="2950"/>
      <c r="BGJ23" s="2950"/>
      <c r="BGK23" s="2950"/>
      <c r="BGL23" s="2950"/>
      <c r="BGM23" s="2950"/>
      <c r="BGN23" s="2950"/>
      <c r="BGO23" s="2950"/>
      <c r="BGP23" s="2950"/>
      <c r="BGQ23" s="2950"/>
      <c r="BGR23" s="2950"/>
      <c r="BGS23" s="2950"/>
      <c r="BGT23" s="2950"/>
      <c r="BGU23" s="2950"/>
      <c r="BGV23" s="2950"/>
      <c r="BGW23" s="2950"/>
      <c r="BGX23" s="2950"/>
      <c r="BGY23" s="2950"/>
      <c r="BGZ23" s="2950"/>
      <c r="BHA23" s="2950"/>
      <c r="BHB23" s="2950"/>
      <c r="BHC23" s="2950"/>
      <c r="BHD23" s="2950"/>
      <c r="BHE23" s="2950"/>
      <c r="BHF23" s="2950"/>
      <c r="BHG23" s="2950"/>
      <c r="BHH23" s="2950"/>
      <c r="BHI23" s="2950"/>
      <c r="BHJ23" s="2950"/>
      <c r="BHK23" s="2950"/>
      <c r="BHL23" s="2950"/>
      <c r="BHM23" s="2950"/>
      <c r="BHN23" s="2950"/>
      <c r="BHO23" s="2950"/>
      <c r="BHP23" s="2950"/>
      <c r="BHQ23" s="2950"/>
      <c r="BHR23" s="2950"/>
      <c r="BHS23" s="2950"/>
      <c r="BHT23" s="2950"/>
      <c r="BHU23" s="2950"/>
      <c r="BHV23" s="2950"/>
      <c r="BHW23" s="2950"/>
      <c r="BHX23" s="2950"/>
      <c r="BHY23" s="2950"/>
      <c r="BHZ23" s="2950"/>
      <c r="BIA23" s="2950"/>
      <c r="BIB23" s="2950"/>
      <c r="BIC23" s="2950"/>
      <c r="BID23" s="2950"/>
      <c r="BIE23" s="2950"/>
      <c r="BIF23" s="2950"/>
      <c r="BIG23" s="2950"/>
      <c r="BIH23" s="2950"/>
      <c r="BII23" s="2950"/>
      <c r="BIJ23" s="2950"/>
      <c r="BIK23" s="2950"/>
      <c r="BIL23" s="2950"/>
      <c r="BIM23" s="2950"/>
      <c r="BIN23" s="2950"/>
      <c r="BIO23" s="2950"/>
      <c r="BIP23" s="2950"/>
      <c r="BIQ23" s="2950"/>
      <c r="BIR23" s="2950"/>
      <c r="BIS23" s="2950"/>
      <c r="BIT23" s="2950"/>
      <c r="BIU23" s="2950"/>
      <c r="BIV23" s="2950"/>
      <c r="BIW23" s="2950"/>
      <c r="BIX23" s="2950"/>
      <c r="BIY23" s="2950"/>
      <c r="BIZ23" s="2950"/>
      <c r="BJA23" s="2950"/>
      <c r="BJB23" s="2950"/>
      <c r="BJC23" s="2950"/>
      <c r="BJD23" s="2950"/>
      <c r="BJE23" s="2950"/>
      <c r="BJF23" s="2950"/>
      <c r="BJG23" s="2950"/>
      <c r="BJH23" s="2950"/>
      <c r="BJI23" s="2950"/>
      <c r="BJJ23" s="2950"/>
      <c r="BJK23" s="2950"/>
      <c r="BJL23" s="2950"/>
      <c r="BJM23" s="2950"/>
      <c r="BJN23" s="2950"/>
      <c r="BJO23" s="2950"/>
      <c r="BJP23" s="2950"/>
      <c r="BJQ23" s="2950"/>
      <c r="BJR23" s="2950"/>
      <c r="BJS23" s="2950"/>
      <c r="BJT23" s="2950"/>
      <c r="BJU23" s="2950"/>
      <c r="BJV23" s="2950"/>
      <c r="BJW23" s="2950"/>
      <c r="BJX23" s="2950"/>
      <c r="BJY23" s="2950"/>
      <c r="BJZ23" s="2950"/>
      <c r="BKA23" s="2950"/>
      <c r="BKB23" s="2950"/>
      <c r="BKC23" s="2950"/>
      <c r="BKD23" s="2950"/>
      <c r="BKE23" s="2950"/>
      <c r="BKF23" s="2950"/>
      <c r="BKG23" s="2950"/>
      <c r="BKH23" s="2950"/>
      <c r="BKI23" s="2950"/>
      <c r="BKJ23" s="2950"/>
      <c r="BKK23" s="2950"/>
      <c r="BKL23" s="2950"/>
      <c r="BKM23" s="2950"/>
      <c r="BKN23" s="2950"/>
      <c r="BKO23" s="2950"/>
      <c r="BKP23" s="2950"/>
      <c r="BKQ23" s="2950"/>
      <c r="BKR23" s="2950"/>
      <c r="BKS23" s="2950"/>
      <c r="BKT23" s="2950"/>
      <c r="BKU23" s="2950"/>
      <c r="BKV23" s="2950"/>
      <c r="BKW23" s="2950"/>
      <c r="BKX23" s="2950"/>
      <c r="BKY23" s="2950"/>
      <c r="BKZ23" s="2950"/>
      <c r="BLA23" s="2950"/>
      <c r="BLB23" s="2950"/>
      <c r="BLC23" s="2950"/>
      <c r="BLD23" s="2950"/>
      <c r="BLE23" s="2950"/>
      <c r="BLF23" s="2950"/>
      <c r="BLG23" s="2950"/>
      <c r="BLH23" s="2950"/>
      <c r="BLI23" s="2950"/>
      <c r="BLJ23" s="2950"/>
      <c r="BLK23" s="2950"/>
      <c r="BLL23" s="2950"/>
      <c r="BLM23" s="2950"/>
      <c r="BLN23" s="2950"/>
      <c r="BLO23" s="2950"/>
      <c r="BLP23" s="2950"/>
      <c r="BLQ23" s="2950"/>
      <c r="BLR23" s="2950"/>
      <c r="BLS23" s="2950"/>
      <c r="BLT23" s="2950"/>
      <c r="BLU23" s="2950"/>
      <c r="BLV23" s="2950"/>
      <c r="BLW23" s="2950"/>
      <c r="BLX23" s="2950"/>
      <c r="BLY23" s="2950"/>
      <c r="BLZ23" s="2950"/>
      <c r="BMA23" s="2950"/>
      <c r="BMB23" s="2950"/>
      <c r="BMC23" s="2950"/>
      <c r="BMD23" s="2950"/>
      <c r="BME23" s="2950"/>
      <c r="BMF23" s="2950"/>
      <c r="BMG23" s="2950"/>
      <c r="BMH23" s="2950"/>
      <c r="BMI23" s="2950"/>
      <c r="BMJ23" s="2950"/>
      <c r="BMK23" s="2950"/>
      <c r="BML23" s="2950"/>
      <c r="BMM23" s="2950"/>
      <c r="BMN23" s="2950"/>
      <c r="BMO23" s="2950"/>
      <c r="BMP23" s="2950"/>
      <c r="BMQ23" s="2950"/>
      <c r="BMR23" s="2950"/>
      <c r="BMS23" s="2950"/>
      <c r="BMT23" s="2950"/>
      <c r="BMU23" s="2950"/>
      <c r="BMV23" s="2950"/>
      <c r="BMW23" s="2950"/>
      <c r="BMX23" s="2950"/>
      <c r="BMY23" s="2950"/>
      <c r="BMZ23" s="2950"/>
      <c r="BNA23" s="2950"/>
      <c r="BNB23" s="2950"/>
      <c r="BNC23" s="2950"/>
      <c r="BND23" s="2950"/>
      <c r="BNE23" s="2950"/>
      <c r="BNF23" s="2950"/>
      <c r="BNG23" s="2950"/>
      <c r="BNH23" s="2950"/>
      <c r="BNI23" s="2950"/>
      <c r="BNJ23" s="2950"/>
      <c r="BNK23" s="2950"/>
      <c r="BNL23" s="2950"/>
      <c r="BNM23" s="2950"/>
      <c r="BNN23" s="2950"/>
      <c r="BNO23" s="2950"/>
      <c r="BNP23" s="2950"/>
      <c r="BNQ23" s="2950"/>
      <c r="BNR23" s="2950"/>
      <c r="BNS23" s="2950"/>
      <c r="BNT23" s="2950"/>
      <c r="BNU23" s="2950"/>
      <c r="BNV23" s="2950"/>
      <c r="BNW23" s="2950"/>
      <c r="BNX23" s="2950"/>
      <c r="BNY23" s="2950"/>
      <c r="BNZ23" s="2950"/>
      <c r="BOA23" s="2950"/>
      <c r="BOB23" s="2950"/>
      <c r="BOC23" s="2950"/>
      <c r="BOD23" s="2950"/>
      <c r="BOE23" s="2950"/>
      <c r="BOF23" s="2950"/>
      <c r="BOG23" s="2950"/>
      <c r="BOH23" s="2950"/>
      <c r="BOI23" s="2950"/>
      <c r="BOJ23" s="2950"/>
      <c r="BOK23" s="2950"/>
      <c r="BOL23" s="2950"/>
      <c r="BOM23" s="2950"/>
      <c r="BON23" s="2950"/>
      <c r="BOO23" s="2950"/>
      <c r="BOP23" s="2950"/>
      <c r="BOQ23" s="2950"/>
      <c r="BOR23" s="2950"/>
      <c r="BOS23" s="2950"/>
      <c r="BOT23" s="2950"/>
      <c r="BOU23" s="2950"/>
      <c r="BOV23" s="2950"/>
      <c r="BOW23" s="2950"/>
      <c r="BOX23" s="2950"/>
      <c r="BOY23" s="2950"/>
      <c r="BOZ23" s="2950"/>
      <c r="BPA23" s="2950"/>
      <c r="BPB23" s="2950"/>
      <c r="BPC23" s="2950"/>
      <c r="BPD23" s="2950"/>
      <c r="BPE23" s="2950"/>
      <c r="BPF23" s="2950"/>
      <c r="BPG23" s="2950"/>
      <c r="BPH23" s="2950"/>
      <c r="BPI23" s="2950"/>
      <c r="BPJ23" s="2950"/>
      <c r="BPK23" s="2950"/>
      <c r="BPL23" s="2950"/>
      <c r="BPM23" s="2950"/>
      <c r="BPN23" s="2950"/>
      <c r="BPO23" s="2950"/>
      <c r="BPP23" s="2950"/>
      <c r="BPQ23" s="2950"/>
      <c r="BPR23" s="2950"/>
      <c r="BPS23" s="2950"/>
      <c r="BPT23" s="2950"/>
      <c r="BPU23" s="2950"/>
      <c r="BPV23" s="2950"/>
      <c r="BPW23" s="2950"/>
      <c r="BPX23" s="2950"/>
      <c r="BPY23" s="2950"/>
      <c r="BPZ23" s="2950"/>
      <c r="BQA23" s="2950"/>
      <c r="BQB23" s="2950"/>
      <c r="BQC23" s="2950"/>
      <c r="BQD23" s="2950"/>
      <c r="BQE23" s="2950"/>
      <c r="BQF23" s="2950"/>
      <c r="BQG23" s="2950"/>
      <c r="BQH23" s="2950"/>
      <c r="BQI23" s="2950"/>
      <c r="BQJ23" s="2950"/>
      <c r="BQK23" s="2950"/>
      <c r="BQL23" s="2950"/>
      <c r="BQM23" s="2950"/>
      <c r="BQN23" s="2950"/>
      <c r="BQO23" s="2950"/>
      <c r="BQP23" s="2950"/>
      <c r="BQQ23" s="2950"/>
      <c r="BQR23" s="2950"/>
      <c r="BQS23" s="2950"/>
      <c r="BQT23" s="2950"/>
      <c r="BQU23" s="2950"/>
      <c r="BQV23" s="2950"/>
      <c r="BQW23" s="2950"/>
      <c r="BQX23" s="2950"/>
      <c r="BQY23" s="2950"/>
      <c r="BQZ23" s="2950"/>
      <c r="BRA23" s="2950"/>
      <c r="BRB23" s="2950"/>
      <c r="BRC23" s="2950"/>
      <c r="BRD23" s="2950"/>
      <c r="BRE23" s="2950"/>
      <c r="BRF23" s="2950"/>
      <c r="BRG23" s="2950"/>
      <c r="BRH23" s="2950"/>
      <c r="BRI23" s="2950"/>
      <c r="BRJ23" s="2950"/>
      <c r="BRK23" s="2950"/>
      <c r="BRL23" s="2950"/>
      <c r="BRM23" s="2950"/>
      <c r="BRN23" s="2950"/>
      <c r="BRO23" s="2950"/>
      <c r="BRP23" s="2950"/>
      <c r="BRQ23" s="2950"/>
      <c r="BRR23" s="2950"/>
      <c r="BRS23" s="2950"/>
      <c r="BRT23" s="2950"/>
      <c r="BRU23" s="2950"/>
      <c r="BRV23" s="2950"/>
      <c r="BRW23" s="2950"/>
      <c r="BRX23" s="2950"/>
      <c r="BRY23" s="2950"/>
      <c r="BRZ23" s="2950"/>
      <c r="BSA23" s="2950"/>
      <c r="BSB23" s="2950"/>
      <c r="BSC23" s="2950"/>
      <c r="BSD23" s="2950"/>
      <c r="BSE23" s="2950"/>
      <c r="BSF23" s="2950"/>
      <c r="BSG23" s="2950"/>
      <c r="BSH23" s="2950"/>
      <c r="BSI23" s="2950"/>
      <c r="BSJ23" s="2950"/>
      <c r="BSK23" s="2950"/>
      <c r="BSL23" s="2950"/>
      <c r="BSM23" s="2950"/>
      <c r="BSN23" s="2950"/>
      <c r="BSO23" s="2950"/>
      <c r="BSP23" s="2950"/>
      <c r="BSQ23" s="2950"/>
      <c r="BSR23" s="2950"/>
      <c r="BSS23" s="2950"/>
      <c r="BST23" s="2950"/>
      <c r="BSU23" s="2950"/>
      <c r="BSV23" s="2950"/>
      <c r="BSW23" s="2950"/>
      <c r="BSX23" s="2950"/>
      <c r="BSY23" s="2950"/>
      <c r="BSZ23" s="2950"/>
      <c r="BTA23" s="2950"/>
      <c r="BTB23" s="2950"/>
      <c r="BTC23" s="2950"/>
      <c r="BTD23" s="2950"/>
      <c r="BTE23" s="2950"/>
      <c r="BTF23" s="2950"/>
      <c r="BTG23" s="2950"/>
      <c r="BTH23" s="2950"/>
      <c r="BTI23" s="2950"/>
      <c r="BTJ23" s="2950"/>
      <c r="BTK23" s="2950"/>
      <c r="BTL23" s="2950"/>
      <c r="BTM23" s="2950"/>
      <c r="BTN23" s="2950"/>
      <c r="BTO23" s="2950"/>
      <c r="BTP23" s="2950"/>
      <c r="BTQ23" s="2950"/>
      <c r="BTR23" s="2950"/>
      <c r="BTS23" s="2950"/>
      <c r="BTT23" s="2950"/>
      <c r="BTU23" s="2950"/>
      <c r="BTV23" s="2950"/>
      <c r="BTW23" s="2950"/>
      <c r="BTX23" s="2950"/>
      <c r="BTY23" s="2950"/>
      <c r="BTZ23" s="2950"/>
      <c r="BUA23" s="2950"/>
      <c r="BUB23" s="2950"/>
      <c r="BUC23" s="2950"/>
      <c r="BUD23" s="2950"/>
      <c r="BUE23" s="2950"/>
      <c r="BUF23" s="2950"/>
      <c r="BUG23" s="2950"/>
      <c r="BUH23" s="2950"/>
      <c r="BUI23" s="2950"/>
      <c r="BUJ23" s="2950"/>
      <c r="BUK23" s="2950"/>
      <c r="BUL23" s="2950"/>
      <c r="BUM23" s="2950"/>
      <c r="BUN23" s="2950"/>
      <c r="BUO23" s="2950"/>
      <c r="BUP23" s="2950"/>
      <c r="BUQ23" s="2950"/>
      <c r="BUR23" s="2950"/>
      <c r="BUS23" s="2950"/>
      <c r="BUT23" s="2950"/>
      <c r="BUU23" s="2950"/>
      <c r="BUV23" s="2950"/>
      <c r="BUW23" s="2950"/>
      <c r="BUX23" s="2950"/>
      <c r="BUY23" s="2950"/>
      <c r="BUZ23" s="2950"/>
      <c r="BVA23" s="2950"/>
      <c r="BVB23" s="2950"/>
      <c r="BVC23" s="2950"/>
      <c r="BVD23" s="2950"/>
      <c r="BVE23" s="2950"/>
      <c r="BVF23" s="2950"/>
      <c r="BVG23" s="2950"/>
      <c r="BVH23" s="2950"/>
      <c r="BVI23" s="2950"/>
      <c r="BVJ23" s="2950"/>
      <c r="BVK23" s="2950"/>
      <c r="BVL23" s="2950"/>
      <c r="BVM23" s="2950"/>
      <c r="BVN23" s="2950"/>
      <c r="BVO23" s="2950"/>
      <c r="BVP23" s="2950"/>
      <c r="BVQ23" s="2950"/>
      <c r="BVR23" s="2950"/>
      <c r="BVS23" s="2950"/>
      <c r="BVT23" s="2950"/>
      <c r="BVU23" s="2950"/>
      <c r="BVV23" s="2950"/>
      <c r="BVW23" s="2950"/>
      <c r="BVX23" s="2950"/>
      <c r="BVY23" s="2950"/>
      <c r="BVZ23" s="2950"/>
      <c r="BWA23" s="2950"/>
      <c r="BWB23" s="2950"/>
      <c r="BWC23" s="2950"/>
      <c r="BWD23" s="2950"/>
      <c r="BWE23" s="2950"/>
      <c r="BWF23" s="2950"/>
      <c r="BWG23" s="2950"/>
      <c r="BWH23" s="2950"/>
      <c r="BWI23" s="2950"/>
      <c r="BWJ23" s="2950"/>
      <c r="BWK23" s="2950"/>
      <c r="BWL23" s="2950"/>
      <c r="BWM23" s="2950"/>
      <c r="BWN23" s="2950"/>
      <c r="BWO23" s="2950"/>
      <c r="BWP23" s="2950"/>
      <c r="BWQ23" s="2950"/>
      <c r="BWR23" s="2950"/>
      <c r="BWS23" s="2950"/>
      <c r="BWT23" s="2950"/>
      <c r="BWU23" s="2950"/>
      <c r="BWV23" s="2950"/>
      <c r="BWW23" s="2950"/>
      <c r="BWX23" s="2950"/>
      <c r="BWY23" s="2950"/>
      <c r="BWZ23" s="2950"/>
      <c r="BXA23" s="2950"/>
      <c r="BXB23" s="2950"/>
      <c r="BXC23" s="2950"/>
      <c r="BXD23" s="2950"/>
      <c r="BXE23" s="2950"/>
      <c r="BXF23" s="2950"/>
      <c r="BXG23" s="2950"/>
      <c r="BXH23" s="2950"/>
      <c r="BXI23" s="2950"/>
      <c r="BXJ23" s="2950"/>
      <c r="BXK23" s="2950"/>
      <c r="BXL23" s="2950"/>
      <c r="BXM23" s="2950"/>
      <c r="BXN23" s="2950"/>
      <c r="BXO23" s="2950"/>
      <c r="BXP23" s="2950"/>
      <c r="BXQ23" s="2950"/>
      <c r="BXR23" s="2950"/>
      <c r="BXS23" s="2950"/>
      <c r="BXT23" s="2950"/>
      <c r="BXU23" s="2950"/>
      <c r="BXV23" s="2950"/>
      <c r="BXW23" s="2950"/>
      <c r="BXX23" s="2950"/>
      <c r="BXY23" s="2950"/>
      <c r="BXZ23" s="2950"/>
      <c r="BYA23" s="2950"/>
      <c r="BYB23" s="2950"/>
      <c r="BYC23" s="2950"/>
      <c r="BYD23" s="2950"/>
      <c r="BYE23" s="2950"/>
      <c r="BYF23" s="2950"/>
      <c r="BYG23" s="2950"/>
      <c r="BYH23" s="2950"/>
      <c r="BYI23" s="2950"/>
      <c r="BYJ23" s="2950"/>
      <c r="BYK23" s="2950"/>
      <c r="BYL23" s="2950"/>
      <c r="BYM23" s="2950"/>
      <c r="BYN23" s="2950"/>
      <c r="BYO23" s="2950"/>
      <c r="BYP23" s="2950"/>
      <c r="BYQ23" s="2950"/>
      <c r="BYR23" s="2950"/>
      <c r="BYS23" s="2950"/>
      <c r="BYT23" s="2950"/>
      <c r="BYU23" s="2950"/>
      <c r="BYV23" s="2950"/>
      <c r="BYW23" s="2950"/>
      <c r="BYX23" s="2950"/>
      <c r="BYY23" s="2950"/>
      <c r="BYZ23" s="2950"/>
      <c r="BZA23" s="2950"/>
      <c r="BZB23" s="2950"/>
      <c r="BZC23" s="2950"/>
      <c r="BZD23" s="2950"/>
      <c r="BZE23" s="2950"/>
      <c r="BZF23" s="2950"/>
      <c r="BZG23" s="2950"/>
      <c r="BZH23" s="2950"/>
      <c r="BZI23" s="2950"/>
      <c r="BZJ23" s="2950"/>
      <c r="BZK23" s="2950"/>
      <c r="BZL23" s="2950"/>
      <c r="BZM23" s="2950"/>
      <c r="BZN23" s="2950"/>
      <c r="BZO23" s="2950"/>
      <c r="BZP23" s="2950"/>
      <c r="BZQ23" s="2950"/>
      <c r="BZR23" s="2950"/>
      <c r="BZS23" s="2950"/>
      <c r="BZT23" s="2950"/>
      <c r="BZU23" s="2950"/>
      <c r="BZV23" s="2950"/>
      <c r="BZW23" s="2950"/>
      <c r="BZX23" s="2950"/>
      <c r="BZY23" s="2950"/>
      <c r="BZZ23" s="2950"/>
      <c r="CAA23" s="2950"/>
      <c r="CAB23" s="2950"/>
      <c r="CAC23" s="2950"/>
      <c r="CAD23" s="2950"/>
      <c r="CAE23" s="2950"/>
      <c r="CAF23" s="2950"/>
      <c r="CAG23" s="2950"/>
      <c r="CAH23" s="2950"/>
      <c r="CAI23" s="2950"/>
      <c r="CAJ23" s="2950"/>
      <c r="CAK23" s="2950"/>
      <c r="CAL23" s="2950"/>
      <c r="CAM23" s="2950"/>
      <c r="CAN23" s="2950"/>
      <c r="CAO23" s="2950"/>
      <c r="CAP23" s="2950"/>
      <c r="CAQ23" s="2950"/>
      <c r="CAR23" s="2950"/>
      <c r="CAS23" s="2950"/>
      <c r="CAT23" s="2950"/>
      <c r="CAU23" s="2950"/>
      <c r="CAV23" s="2950"/>
      <c r="CAW23" s="2950"/>
      <c r="CAX23" s="2950"/>
      <c r="CAY23" s="2950"/>
      <c r="CAZ23" s="2950"/>
      <c r="CBA23" s="2950"/>
      <c r="CBB23" s="2950"/>
      <c r="CBC23" s="2950"/>
      <c r="CBD23" s="2950"/>
      <c r="CBE23" s="2950"/>
      <c r="CBF23" s="2950"/>
      <c r="CBG23" s="2950"/>
      <c r="CBH23" s="2950"/>
      <c r="CBI23" s="2950"/>
      <c r="CBJ23" s="2950"/>
      <c r="CBK23" s="2950"/>
      <c r="CBL23" s="2950"/>
      <c r="CBM23" s="2950"/>
      <c r="CBN23" s="2950"/>
      <c r="CBO23" s="2950"/>
      <c r="CBP23" s="2950"/>
      <c r="CBQ23" s="2950"/>
      <c r="CBR23" s="2950"/>
      <c r="CBS23" s="2950"/>
      <c r="CBT23" s="2950"/>
      <c r="CBU23" s="2950"/>
      <c r="CBV23" s="2950"/>
      <c r="CBW23" s="2950"/>
      <c r="CBX23" s="2950"/>
      <c r="CBY23" s="2950"/>
      <c r="CBZ23" s="2950"/>
      <c r="CCA23" s="2950"/>
      <c r="CCB23" s="2950"/>
      <c r="CCC23" s="2950"/>
      <c r="CCD23" s="2950"/>
      <c r="CCE23" s="2950"/>
      <c r="CCF23" s="2950"/>
      <c r="CCG23" s="2950"/>
      <c r="CCH23" s="2950"/>
      <c r="CCI23" s="2950"/>
      <c r="CCJ23" s="2950"/>
      <c r="CCK23" s="2950"/>
      <c r="CCL23" s="2950"/>
      <c r="CCM23" s="2950"/>
      <c r="CCN23" s="2950"/>
      <c r="CCO23" s="2950"/>
      <c r="CCP23" s="2950"/>
      <c r="CCQ23" s="2950"/>
      <c r="CCR23" s="2950"/>
      <c r="CCS23" s="2950"/>
      <c r="CCT23" s="2950"/>
      <c r="CCU23" s="2950"/>
      <c r="CCV23" s="2950"/>
      <c r="CCW23" s="2950"/>
      <c r="CCX23" s="2950"/>
      <c r="CCY23" s="2950"/>
      <c r="CCZ23" s="2950"/>
      <c r="CDA23" s="2950"/>
      <c r="CDB23" s="2950"/>
      <c r="CDC23" s="2950"/>
      <c r="CDD23" s="2950"/>
      <c r="CDE23" s="2950"/>
      <c r="CDF23" s="2950"/>
      <c r="CDG23" s="2950"/>
      <c r="CDH23" s="2950"/>
      <c r="CDI23" s="2950"/>
      <c r="CDJ23" s="2950"/>
      <c r="CDK23" s="2950"/>
      <c r="CDL23" s="2950"/>
      <c r="CDM23" s="2950"/>
      <c r="CDN23" s="2950"/>
      <c r="CDO23" s="2950"/>
      <c r="CDP23" s="2950"/>
      <c r="CDQ23" s="2950"/>
      <c r="CDR23" s="2950"/>
      <c r="CDS23" s="2950"/>
      <c r="CDT23" s="2950"/>
      <c r="CDU23" s="2950"/>
      <c r="CDV23" s="2950"/>
      <c r="CDW23" s="2950"/>
      <c r="CDX23" s="2950"/>
      <c r="CDY23" s="2950"/>
      <c r="CDZ23" s="2950"/>
      <c r="CEA23" s="2950"/>
      <c r="CEB23" s="2950"/>
      <c r="CEC23" s="2950"/>
      <c r="CED23" s="2950"/>
      <c r="CEE23" s="2950"/>
      <c r="CEF23" s="2950"/>
      <c r="CEG23" s="2950"/>
      <c r="CEH23" s="2950"/>
      <c r="CEI23" s="2950"/>
      <c r="CEJ23" s="2950"/>
      <c r="CEK23" s="2950"/>
      <c r="CEL23" s="2950"/>
      <c r="CEM23" s="2950"/>
      <c r="CEN23" s="2950"/>
      <c r="CEO23" s="2950"/>
      <c r="CEP23" s="2950"/>
      <c r="CEQ23" s="2950"/>
      <c r="CER23" s="2950"/>
      <c r="CES23" s="2950"/>
      <c r="CET23" s="2950"/>
      <c r="CEU23" s="2950"/>
      <c r="CEV23" s="2950"/>
      <c r="CEW23" s="2950"/>
      <c r="CEX23" s="2950"/>
      <c r="CEY23" s="2950"/>
      <c r="CEZ23" s="2950"/>
      <c r="CFA23" s="2950"/>
      <c r="CFB23" s="2950"/>
      <c r="CFC23" s="2950"/>
      <c r="CFD23" s="2950"/>
      <c r="CFE23" s="2950"/>
      <c r="CFF23" s="2950"/>
      <c r="CFG23" s="2950"/>
      <c r="CFH23" s="2950"/>
      <c r="CFI23" s="2950"/>
      <c r="CFJ23" s="2950"/>
      <c r="CFK23" s="2950"/>
      <c r="CFL23" s="2950"/>
      <c r="CFM23" s="2950"/>
      <c r="CFN23" s="2950"/>
      <c r="CFO23" s="2950"/>
      <c r="CFP23" s="2950"/>
      <c r="CFQ23" s="2950"/>
      <c r="CFR23" s="2950"/>
      <c r="CFS23" s="2950"/>
      <c r="CFT23" s="2950"/>
      <c r="CFU23" s="2950"/>
      <c r="CFV23" s="2950"/>
      <c r="CFW23" s="2950"/>
      <c r="CFX23" s="2950"/>
      <c r="CFY23" s="2950"/>
      <c r="CFZ23" s="2950"/>
      <c r="CGA23" s="2950"/>
      <c r="CGB23" s="2950"/>
      <c r="CGC23" s="2950"/>
      <c r="CGD23" s="2950"/>
      <c r="CGE23" s="2950"/>
      <c r="CGF23" s="2950"/>
      <c r="CGG23" s="2950"/>
      <c r="CGH23" s="2950"/>
      <c r="CGI23" s="2950"/>
      <c r="CGJ23" s="2950"/>
      <c r="CGK23" s="2950"/>
      <c r="CGL23" s="2950"/>
      <c r="CGM23" s="2950"/>
      <c r="CGN23" s="2950"/>
      <c r="CGO23" s="2950"/>
      <c r="CGP23" s="2950"/>
      <c r="CGQ23" s="2950"/>
      <c r="CGR23" s="2950"/>
      <c r="CGS23" s="2950"/>
      <c r="CGT23" s="2950"/>
      <c r="CGU23" s="2950"/>
      <c r="CGV23" s="2950"/>
      <c r="CGW23" s="2950"/>
      <c r="CGX23" s="2950"/>
      <c r="CGY23" s="2950"/>
      <c r="CGZ23" s="2950"/>
      <c r="CHA23" s="2950"/>
      <c r="CHB23" s="2950"/>
      <c r="CHC23" s="2950"/>
      <c r="CHD23" s="2950"/>
      <c r="CHE23" s="2950"/>
      <c r="CHF23" s="2950"/>
      <c r="CHG23" s="2950"/>
      <c r="CHH23" s="2950"/>
      <c r="CHI23" s="2950"/>
      <c r="CHJ23" s="2950"/>
      <c r="CHK23" s="2950"/>
      <c r="CHL23" s="2950"/>
      <c r="CHM23" s="2950"/>
      <c r="CHN23" s="2950"/>
      <c r="CHO23" s="2950"/>
      <c r="CHP23" s="2950"/>
      <c r="CHQ23" s="2950"/>
      <c r="CHR23" s="2950"/>
      <c r="CHS23" s="2950"/>
      <c r="CHT23" s="2950"/>
      <c r="CHU23" s="2950"/>
      <c r="CHV23" s="2950"/>
      <c r="CHW23" s="2950"/>
      <c r="CHX23" s="2950"/>
      <c r="CHY23" s="2950"/>
      <c r="CHZ23" s="2950"/>
      <c r="CIA23" s="2950"/>
      <c r="CIB23" s="2950"/>
      <c r="CIC23" s="2950"/>
      <c r="CID23" s="2950"/>
      <c r="CIE23" s="2950"/>
      <c r="CIF23" s="2950"/>
      <c r="CIG23" s="2950"/>
      <c r="CIH23" s="2950"/>
      <c r="CII23" s="2950"/>
      <c r="CIJ23" s="2950"/>
      <c r="CIK23" s="2950"/>
      <c r="CIL23" s="2950"/>
      <c r="CIM23" s="2950"/>
      <c r="CIN23" s="2950"/>
      <c r="CIO23" s="2950"/>
      <c r="CIP23" s="2950"/>
      <c r="CIQ23" s="2950"/>
      <c r="CIR23" s="2950"/>
      <c r="CIS23" s="2950"/>
      <c r="CIT23" s="2950"/>
      <c r="CIU23" s="2950"/>
      <c r="CIV23" s="2950"/>
      <c r="CIW23" s="2950"/>
      <c r="CIX23" s="2950"/>
      <c r="CIY23" s="2950"/>
      <c r="CIZ23" s="2950"/>
      <c r="CJA23" s="2950"/>
      <c r="CJB23" s="2950"/>
      <c r="CJC23" s="2950"/>
      <c r="CJD23" s="2950"/>
      <c r="CJE23" s="2950"/>
      <c r="CJF23" s="2950"/>
      <c r="CJG23" s="2950"/>
      <c r="CJH23" s="2950"/>
      <c r="CJI23" s="2950"/>
      <c r="CJJ23" s="2950"/>
      <c r="CJK23" s="2950"/>
      <c r="CJL23" s="2950"/>
      <c r="CJM23" s="2950"/>
      <c r="CJN23" s="2950"/>
      <c r="CJO23" s="2950"/>
      <c r="CJP23" s="2950"/>
      <c r="CJQ23" s="2950"/>
      <c r="CJR23" s="2950"/>
      <c r="CJS23" s="2950"/>
      <c r="CJT23" s="2950"/>
      <c r="CJU23" s="2950"/>
      <c r="CJV23" s="2950"/>
      <c r="CJW23" s="2950"/>
      <c r="CJX23" s="2950"/>
      <c r="CJY23" s="2950"/>
      <c r="CJZ23" s="2950"/>
      <c r="CKA23" s="2950"/>
      <c r="CKB23" s="2950"/>
      <c r="CKC23" s="2950"/>
      <c r="CKD23" s="2950"/>
      <c r="CKE23" s="2950"/>
      <c r="CKF23" s="2950"/>
      <c r="CKG23" s="2950"/>
      <c r="CKH23" s="2950"/>
      <c r="CKI23" s="2950"/>
      <c r="CKJ23" s="2950"/>
      <c r="CKK23" s="2950"/>
      <c r="CKL23" s="2950"/>
      <c r="CKM23" s="2950"/>
      <c r="CKN23" s="2950"/>
      <c r="CKO23" s="2950"/>
      <c r="CKP23" s="2950"/>
      <c r="CKQ23" s="2950"/>
      <c r="CKR23" s="2950"/>
      <c r="CKS23" s="2950"/>
      <c r="CKT23" s="2950"/>
      <c r="CKU23" s="2950"/>
      <c r="CKV23" s="2950"/>
      <c r="CKW23" s="2950"/>
      <c r="CKX23" s="2950"/>
      <c r="CKY23" s="2950"/>
      <c r="CKZ23" s="2950"/>
      <c r="CLA23" s="2950"/>
      <c r="CLB23" s="2950"/>
      <c r="CLC23" s="2950"/>
      <c r="CLD23" s="2950"/>
      <c r="CLE23" s="2950"/>
      <c r="CLF23" s="2950"/>
      <c r="CLG23" s="2950"/>
      <c r="CLH23" s="2950"/>
      <c r="CLI23" s="2950"/>
      <c r="CLJ23" s="2950"/>
      <c r="CLK23" s="2950"/>
      <c r="CLL23" s="2950"/>
      <c r="CLM23" s="2950"/>
      <c r="CLN23" s="2950"/>
      <c r="CLO23" s="2950"/>
      <c r="CLP23" s="2950"/>
      <c r="CLQ23" s="2950"/>
      <c r="CLR23" s="2950"/>
      <c r="CLS23" s="2950"/>
      <c r="CLT23" s="2950"/>
      <c r="CLU23" s="2950"/>
      <c r="CLV23" s="2950"/>
      <c r="CLW23" s="2950"/>
      <c r="CLX23" s="2950"/>
      <c r="CLY23" s="2950"/>
      <c r="CLZ23" s="2950"/>
      <c r="CMA23" s="2950"/>
      <c r="CMB23" s="2950"/>
      <c r="CMC23" s="2950"/>
      <c r="CMD23" s="2950"/>
      <c r="CME23" s="2950"/>
      <c r="CMF23" s="2950"/>
      <c r="CMG23" s="2950"/>
      <c r="CMH23" s="2950"/>
      <c r="CMI23" s="2950"/>
      <c r="CMJ23" s="2950"/>
      <c r="CMK23" s="2950"/>
      <c r="CML23" s="2950"/>
      <c r="CMM23" s="2950"/>
      <c r="CMN23" s="2950"/>
      <c r="CMO23" s="2950"/>
      <c r="CMP23" s="2950"/>
      <c r="CMQ23" s="2950"/>
      <c r="CMR23" s="2950"/>
      <c r="CMS23" s="2950"/>
      <c r="CMT23" s="2950"/>
      <c r="CMU23" s="2950"/>
      <c r="CMV23" s="2950"/>
      <c r="CMW23" s="2950"/>
      <c r="CMX23" s="2950"/>
      <c r="CMY23" s="2950"/>
      <c r="CMZ23" s="2950"/>
      <c r="CNA23" s="2950"/>
      <c r="CNB23" s="2950"/>
      <c r="CNC23" s="2950"/>
      <c r="CND23" s="2950"/>
      <c r="CNE23" s="2950"/>
      <c r="CNF23" s="2950"/>
      <c r="CNG23" s="2950"/>
      <c r="CNH23" s="2950"/>
      <c r="CNI23" s="2950"/>
      <c r="CNJ23" s="2950"/>
      <c r="CNK23" s="2950"/>
      <c r="CNL23" s="2950"/>
      <c r="CNM23" s="2950"/>
      <c r="CNN23" s="2950"/>
      <c r="CNO23" s="2950"/>
      <c r="CNP23" s="2950"/>
      <c r="CNQ23" s="2950"/>
      <c r="CNR23" s="2950"/>
      <c r="CNS23" s="2950"/>
      <c r="CNT23" s="2950"/>
      <c r="CNU23" s="2950"/>
      <c r="CNV23" s="2950"/>
      <c r="CNW23" s="2950"/>
      <c r="CNX23" s="2950"/>
      <c r="CNY23" s="2950"/>
      <c r="CNZ23" s="2950"/>
      <c r="COA23" s="2950"/>
      <c r="COB23" s="2950"/>
      <c r="COC23" s="2950"/>
      <c r="COD23" s="2950"/>
      <c r="COE23" s="2950"/>
      <c r="COF23" s="2950"/>
      <c r="COG23" s="2950"/>
      <c r="COH23" s="2950"/>
      <c r="COI23" s="2950"/>
      <c r="COJ23" s="2950"/>
      <c r="COK23" s="2950"/>
      <c r="COL23" s="2950"/>
      <c r="COM23" s="2950"/>
      <c r="CON23" s="2950"/>
      <c r="COO23" s="2950"/>
      <c r="COP23" s="2950"/>
      <c r="COQ23" s="2950"/>
      <c r="COR23" s="2950"/>
      <c r="COS23" s="2950"/>
      <c r="COT23" s="2950"/>
      <c r="COU23" s="2950"/>
      <c r="COV23" s="2950"/>
      <c r="COW23" s="2950"/>
      <c r="COX23" s="2950"/>
      <c r="COY23" s="2950"/>
      <c r="COZ23" s="2950"/>
      <c r="CPA23" s="2950"/>
      <c r="CPB23" s="2950"/>
      <c r="CPC23" s="2950"/>
      <c r="CPD23" s="2950"/>
      <c r="CPE23" s="2950"/>
      <c r="CPF23" s="2950"/>
      <c r="CPG23" s="2950"/>
      <c r="CPH23" s="2950"/>
      <c r="CPI23" s="2950"/>
      <c r="CPJ23" s="2950"/>
      <c r="CPK23" s="2950"/>
      <c r="CPL23" s="2950"/>
      <c r="CPM23" s="2950"/>
      <c r="CPN23" s="2950"/>
      <c r="CPO23" s="2950"/>
      <c r="CPP23" s="2950"/>
      <c r="CPQ23" s="2950"/>
      <c r="CPR23" s="2950"/>
      <c r="CPS23" s="2950"/>
      <c r="CPT23" s="2950"/>
      <c r="CPU23" s="2950"/>
      <c r="CPV23" s="2950"/>
      <c r="CPW23" s="2950"/>
      <c r="CPX23" s="2950"/>
      <c r="CPY23" s="2950"/>
      <c r="CPZ23" s="2950"/>
      <c r="CQA23" s="2950"/>
      <c r="CQB23" s="2950"/>
      <c r="CQC23" s="2950"/>
      <c r="CQD23" s="2950"/>
      <c r="CQE23" s="2950"/>
      <c r="CQF23" s="2950"/>
      <c r="CQG23" s="2950"/>
      <c r="CQH23" s="2950"/>
      <c r="CQI23" s="2950"/>
      <c r="CQJ23" s="2950"/>
      <c r="CQK23" s="2950"/>
      <c r="CQL23" s="2950"/>
      <c r="CQM23" s="2950"/>
      <c r="CQN23" s="2950"/>
      <c r="CQO23" s="2950"/>
      <c r="CQP23" s="2950"/>
      <c r="CQQ23" s="2950"/>
      <c r="CQR23" s="2950"/>
      <c r="CQS23" s="2950"/>
      <c r="CQT23" s="2950"/>
      <c r="CQU23" s="2950"/>
      <c r="CQV23" s="2950"/>
      <c r="CQW23" s="2950"/>
      <c r="CQX23" s="2950"/>
      <c r="CQY23" s="2950"/>
      <c r="CQZ23" s="2950"/>
      <c r="CRA23" s="2950"/>
      <c r="CRB23" s="2950"/>
      <c r="CRC23" s="2950"/>
      <c r="CRD23" s="2950"/>
      <c r="CRE23" s="2950"/>
      <c r="CRF23" s="2950"/>
      <c r="CRG23" s="2950"/>
      <c r="CRH23" s="2950"/>
      <c r="CRI23" s="2950"/>
      <c r="CRJ23" s="2950"/>
      <c r="CRK23" s="2950"/>
      <c r="CRL23" s="2950"/>
      <c r="CRM23" s="2950"/>
      <c r="CRN23" s="2950"/>
      <c r="CRO23" s="2950"/>
      <c r="CRP23" s="2950"/>
      <c r="CRQ23" s="2950"/>
      <c r="CRR23" s="2950"/>
      <c r="CRS23" s="2950"/>
      <c r="CRT23" s="2950"/>
      <c r="CRU23" s="2950"/>
      <c r="CRV23" s="2950"/>
      <c r="CRW23" s="2950"/>
      <c r="CRX23" s="2950"/>
      <c r="CRY23" s="2950"/>
      <c r="CRZ23" s="2950"/>
      <c r="CSA23" s="2950"/>
      <c r="CSB23" s="2950"/>
      <c r="CSC23" s="2950"/>
      <c r="CSD23" s="2950"/>
      <c r="CSE23" s="2950"/>
      <c r="CSF23" s="2950"/>
      <c r="CSG23" s="2950"/>
      <c r="CSH23" s="2950"/>
      <c r="CSI23" s="2950"/>
      <c r="CSJ23" s="2950"/>
      <c r="CSK23" s="2950"/>
      <c r="CSL23" s="2950"/>
      <c r="CSM23" s="2950"/>
      <c r="CSN23" s="2950"/>
      <c r="CSO23" s="2950"/>
      <c r="CSP23" s="2950"/>
      <c r="CSQ23" s="2950"/>
      <c r="CSR23" s="2950"/>
      <c r="CSS23" s="2950"/>
      <c r="CST23" s="2950"/>
      <c r="CSU23" s="2950"/>
      <c r="CSV23" s="2950"/>
      <c r="CSW23" s="2950"/>
      <c r="CSX23" s="2950"/>
      <c r="CSY23" s="2950"/>
      <c r="CSZ23" s="2950"/>
      <c r="CTA23" s="2950"/>
      <c r="CTB23" s="2950"/>
      <c r="CTC23" s="2950"/>
      <c r="CTD23" s="2950"/>
      <c r="CTE23" s="2950"/>
      <c r="CTF23" s="2950"/>
      <c r="CTG23" s="2950"/>
      <c r="CTH23" s="2950"/>
      <c r="CTI23" s="2950"/>
      <c r="CTJ23" s="2950"/>
      <c r="CTK23" s="2950"/>
      <c r="CTL23" s="2950"/>
      <c r="CTM23" s="2950"/>
      <c r="CTN23" s="2950"/>
      <c r="CTO23" s="2950"/>
      <c r="CTP23" s="2950"/>
      <c r="CTQ23" s="2950"/>
      <c r="CTR23" s="2950"/>
      <c r="CTS23" s="2950"/>
      <c r="CTT23" s="2950"/>
      <c r="CTU23" s="2950"/>
      <c r="CTV23" s="2950"/>
      <c r="CTW23" s="2950"/>
      <c r="CTX23" s="2950"/>
      <c r="CTY23" s="2950"/>
      <c r="CTZ23" s="2950"/>
      <c r="CUA23" s="2950"/>
      <c r="CUB23" s="2950"/>
      <c r="CUC23" s="2950"/>
      <c r="CUD23" s="2950"/>
      <c r="CUE23" s="2950"/>
      <c r="CUF23" s="2950"/>
      <c r="CUG23" s="2950"/>
      <c r="CUH23" s="2950"/>
      <c r="CUI23" s="2950"/>
      <c r="CUJ23" s="2950"/>
      <c r="CUK23" s="2950"/>
      <c r="CUL23" s="2950"/>
      <c r="CUM23" s="2950"/>
      <c r="CUN23" s="2950"/>
      <c r="CUO23" s="2950"/>
      <c r="CUP23" s="2950"/>
      <c r="CUQ23" s="2950"/>
      <c r="CUR23" s="2950"/>
      <c r="CUS23" s="2950"/>
      <c r="CUT23" s="2950"/>
      <c r="CUU23" s="2950"/>
      <c r="CUV23" s="2950"/>
      <c r="CUW23" s="2950"/>
      <c r="CUX23" s="2950"/>
      <c r="CUY23" s="2950"/>
      <c r="CUZ23" s="2950"/>
      <c r="CVA23" s="2950"/>
      <c r="CVB23" s="2950"/>
      <c r="CVC23" s="2950"/>
      <c r="CVD23" s="2950"/>
      <c r="CVE23" s="2950"/>
      <c r="CVF23" s="2950"/>
      <c r="CVG23" s="2950"/>
      <c r="CVH23" s="2950"/>
      <c r="CVI23" s="2950"/>
      <c r="CVJ23" s="2950"/>
      <c r="CVK23" s="2950"/>
      <c r="CVL23" s="2950"/>
      <c r="CVM23" s="2950"/>
      <c r="CVN23" s="2950"/>
      <c r="CVO23" s="2950"/>
      <c r="CVP23" s="2950"/>
      <c r="CVQ23" s="2950"/>
      <c r="CVR23" s="2950"/>
      <c r="CVS23" s="2950"/>
      <c r="CVT23" s="2950"/>
      <c r="CVU23" s="2950"/>
      <c r="CVV23" s="2950"/>
      <c r="CVW23" s="2950"/>
      <c r="CVX23" s="2950"/>
      <c r="CVY23" s="2950"/>
      <c r="CVZ23" s="2950"/>
      <c r="CWA23" s="2950"/>
      <c r="CWB23" s="2950"/>
      <c r="CWC23" s="2950"/>
      <c r="CWD23" s="2950"/>
      <c r="CWE23" s="2950"/>
      <c r="CWF23" s="2950"/>
      <c r="CWG23" s="2950"/>
      <c r="CWH23" s="2950"/>
      <c r="CWI23" s="2950"/>
      <c r="CWJ23" s="2950"/>
      <c r="CWK23" s="2950"/>
      <c r="CWL23" s="2950"/>
      <c r="CWM23" s="2950"/>
      <c r="CWN23" s="2950"/>
      <c r="CWO23" s="2950"/>
      <c r="CWP23" s="2950"/>
      <c r="CWQ23" s="2950"/>
      <c r="CWR23" s="2950"/>
      <c r="CWS23" s="2950"/>
      <c r="CWT23" s="2950"/>
      <c r="CWU23" s="2950"/>
      <c r="CWV23" s="2950"/>
      <c r="CWW23" s="2950"/>
      <c r="CWX23" s="2950"/>
      <c r="CWY23" s="2950"/>
      <c r="CWZ23" s="2950"/>
      <c r="CXA23" s="2950"/>
      <c r="CXB23" s="2950"/>
      <c r="CXC23" s="2950"/>
      <c r="CXD23" s="2950"/>
      <c r="CXE23" s="2950"/>
      <c r="CXF23" s="2950"/>
      <c r="CXG23" s="2950"/>
      <c r="CXH23" s="2950"/>
      <c r="CXI23" s="2950"/>
      <c r="CXJ23" s="2950"/>
      <c r="CXK23" s="2950"/>
      <c r="CXL23" s="2950"/>
      <c r="CXM23" s="2950"/>
      <c r="CXN23" s="2950"/>
      <c r="CXO23" s="2950"/>
      <c r="CXP23" s="2950"/>
      <c r="CXQ23" s="2950"/>
      <c r="CXR23" s="2950"/>
      <c r="CXS23" s="2950"/>
      <c r="CXT23" s="2950"/>
      <c r="CXU23" s="2950"/>
      <c r="CXV23" s="2950"/>
      <c r="CXW23" s="2950"/>
      <c r="CXX23" s="2950"/>
      <c r="CXY23" s="2950"/>
      <c r="CXZ23" s="2950"/>
      <c r="CYA23" s="2950"/>
      <c r="CYB23" s="2950"/>
      <c r="CYC23" s="2950"/>
      <c r="CYD23" s="2950"/>
      <c r="CYE23" s="2950"/>
      <c r="CYF23" s="2950"/>
      <c r="CYG23" s="2950"/>
      <c r="CYH23" s="2950"/>
      <c r="CYI23" s="2950"/>
      <c r="CYJ23" s="2950"/>
      <c r="CYK23" s="2950"/>
      <c r="CYL23" s="2950"/>
      <c r="CYM23" s="2950"/>
      <c r="CYN23" s="2950"/>
      <c r="CYO23" s="2950"/>
      <c r="CYP23" s="2950"/>
      <c r="CYQ23" s="2950"/>
      <c r="CYR23" s="2950"/>
      <c r="CYS23" s="2950"/>
      <c r="CYT23" s="2950"/>
      <c r="CYU23" s="2950"/>
      <c r="CYV23" s="2950"/>
      <c r="CYW23" s="2950"/>
      <c r="CYX23" s="2950"/>
      <c r="CYY23" s="2950"/>
      <c r="CYZ23" s="2950"/>
      <c r="CZA23" s="2950"/>
      <c r="CZB23" s="2950"/>
      <c r="CZC23" s="2950"/>
      <c r="CZD23" s="2950"/>
      <c r="CZE23" s="2950"/>
      <c r="CZF23" s="2950"/>
      <c r="CZG23" s="2950"/>
      <c r="CZH23" s="2950"/>
      <c r="CZI23" s="2950"/>
      <c r="CZJ23" s="2950"/>
      <c r="CZK23" s="2950"/>
      <c r="CZL23" s="2950"/>
      <c r="CZM23" s="2950"/>
      <c r="CZN23" s="2950"/>
      <c r="CZO23" s="2950"/>
      <c r="CZP23" s="2950"/>
      <c r="CZQ23" s="2950"/>
      <c r="CZR23" s="2950"/>
      <c r="CZS23" s="2950"/>
      <c r="CZT23" s="2950"/>
      <c r="CZU23" s="2950"/>
      <c r="CZV23" s="2950"/>
      <c r="CZW23" s="2950"/>
      <c r="CZX23" s="2950"/>
      <c r="CZY23" s="2950"/>
      <c r="CZZ23" s="2950"/>
      <c r="DAA23" s="2950"/>
      <c r="DAB23" s="2950"/>
      <c r="DAC23" s="2950"/>
      <c r="DAD23" s="2950"/>
      <c r="DAE23" s="2950"/>
      <c r="DAF23" s="2950"/>
      <c r="DAG23" s="2950"/>
      <c r="DAH23" s="2950"/>
      <c r="DAI23" s="2950"/>
      <c r="DAJ23" s="2950"/>
      <c r="DAK23" s="2950"/>
      <c r="DAL23" s="2950"/>
      <c r="DAM23" s="2950"/>
      <c r="DAN23" s="2950"/>
      <c r="DAO23" s="2950"/>
      <c r="DAP23" s="2950"/>
      <c r="DAQ23" s="2950"/>
      <c r="DAR23" s="2950"/>
      <c r="DAS23" s="2950"/>
      <c r="DAT23" s="2950"/>
      <c r="DAU23" s="2950"/>
      <c r="DAV23" s="2950"/>
      <c r="DAW23" s="2950"/>
      <c r="DAX23" s="2950"/>
      <c r="DAY23" s="2950"/>
      <c r="DAZ23" s="2950"/>
      <c r="DBA23" s="2950"/>
      <c r="DBB23" s="2950"/>
      <c r="DBC23" s="2950"/>
      <c r="DBD23" s="2950"/>
      <c r="DBE23" s="2950"/>
      <c r="DBF23" s="2950"/>
      <c r="DBG23" s="2950"/>
      <c r="DBH23" s="2950"/>
      <c r="DBI23" s="2950"/>
      <c r="DBJ23" s="2950"/>
      <c r="DBK23" s="2950"/>
      <c r="DBL23" s="2950"/>
      <c r="DBM23" s="2950"/>
      <c r="DBN23" s="2950"/>
      <c r="DBO23" s="2950"/>
      <c r="DBP23" s="2950"/>
      <c r="DBQ23" s="2950"/>
      <c r="DBR23" s="2950"/>
      <c r="DBS23" s="2950"/>
      <c r="DBT23" s="2950"/>
      <c r="DBU23" s="2950"/>
      <c r="DBV23" s="2950"/>
      <c r="DBW23" s="2950"/>
      <c r="DBX23" s="2950"/>
      <c r="DBY23" s="2950"/>
      <c r="DBZ23" s="2950"/>
      <c r="DCA23" s="2950"/>
      <c r="DCB23" s="2950"/>
      <c r="DCC23" s="2950"/>
      <c r="DCD23" s="2950"/>
      <c r="DCE23" s="2950"/>
      <c r="DCF23" s="2950"/>
      <c r="DCG23" s="2950"/>
      <c r="DCH23" s="2950"/>
      <c r="DCI23" s="2950"/>
      <c r="DCJ23" s="2950"/>
      <c r="DCK23" s="2950"/>
      <c r="DCL23" s="2950"/>
      <c r="DCM23" s="2950"/>
      <c r="DCN23" s="2950"/>
      <c r="DCO23" s="2950"/>
      <c r="DCP23" s="2950"/>
      <c r="DCQ23" s="2950"/>
      <c r="DCR23" s="2950"/>
      <c r="DCS23" s="2950"/>
      <c r="DCT23" s="2950"/>
      <c r="DCU23" s="2950"/>
      <c r="DCV23" s="2950"/>
      <c r="DCW23" s="2950"/>
      <c r="DCX23" s="2950"/>
      <c r="DCY23" s="2950"/>
      <c r="DCZ23" s="2950"/>
      <c r="DDA23" s="2950"/>
      <c r="DDB23" s="2950"/>
      <c r="DDC23" s="2950"/>
      <c r="DDD23" s="2950"/>
      <c r="DDE23" s="2950"/>
      <c r="DDF23" s="2950"/>
      <c r="DDG23" s="2950"/>
      <c r="DDH23" s="2950"/>
      <c r="DDI23" s="2950"/>
      <c r="DDJ23" s="2950"/>
      <c r="DDK23" s="2950"/>
      <c r="DDL23" s="2950"/>
      <c r="DDM23" s="2950"/>
      <c r="DDN23" s="2950"/>
      <c r="DDO23" s="2950"/>
      <c r="DDP23" s="2950"/>
      <c r="DDQ23" s="2950"/>
      <c r="DDR23" s="2950"/>
      <c r="DDS23" s="2950"/>
      <c r="DDT23" s="2950"/>
      <c r="DDU23" s="2950"/>
      <c r="DDV23" s="2950"/>
      <c r="DDW23" s="2950"/>
      <c r="DDX23" s="2950"/>
      <c r="DDY23" s="2950"/>
      <c r="DDZ23" s="2950"/>
      <c r="DEA23" s="2950"/>
      <c r="DEB23" s="2950"/>
      <c r="DEC23" s="2950"/>
      <c r="DED23" s="2950"/>
      <c r="DEE23" s="2950"/>
      <c r="DEF23" s="2950"/>
      <c r="DEG23" s="2950"/>
      <c r="DEH23" s="2950"/>
      <c r="DEI23" s="2950"/>
      <c r="DEJ23" s="2950"/>
      <c r="DEK23" s="2950"/>
      <c r="DEL23" s="2950"/>
      <c r="DEM23" s="2950"/>
      <c r="DEN23" s="2950"/>
      <c r="DEO23" s="2950"/>
      <c r="DEP23" s="2950"/>
      <c r="DEQ23" s="2950"/>
      <c r="DER23" s="2950"/>
      <c r="DES23" s="2950"/>
      <c r="DET23" s="2950"/>
      <c r="DEU23" s="2950"/>
      <c r="DEV23" s="2950"/>
      <c r="DEW23" s="2950"/>
      <c r="DEX23" s="2950"/>
      <c r="DEY23" s="2950"/>
      <c r="DEZ23" s="2950"/>
      <c r="DFA23" s="2950"/>
      <c r="DFB23" s="2950"/>
      <c r="DFC23" s="2950"/>
      <c r="DFD23" s="2950"/>
      <c r="DFE23" s="2950"/>
      <c r="DFF23" s="2950"/>
      <c r="DFG23" s="2950"/>
      <c r="DFH23" s="2950"/>
      <c r="DFI23" s="2950"/>
      <c r="DFJ23" s="2950"/>
      <c r="DFK23" s="2950"/>
      <c r="DFL23" s="2950"/>
      <c r="DFM23" s="2950"/>
      <c r="DFN23" s="2950"/>
      <c r="DFO23" s="2950"/>
      <c r="DFP23" s="2950"/>
      <c r="DFQ23" s="2950"/>
      <c r="DFR23" s="2950"/>
      <c r="DFS23" s="2950"/>
      <c r="DFT23" s="2950"/>
      <c r="DFU23" s="2950"/>
      <c r="DFV23" s="2950"/>
      <c r="DFW23" s="2950"/>
      <c r="DFX23" s="2950"/>
      <c r="DFY23" s="2950"/>
      <c r="DFZ23" s="2950"/>
      <c r="DGA23" s="2950"/>
      <c r="DGB23" s="2950"/>
      <c r="DGC23" s="2950"/>
      <c r="DGD23" s="2950"/>
      <c r="DGE23" s="2950"/>
      <c r="DGF23" s="2950"/>
      <c r="DGG23" s="2950"/>
      <c r="DGH23" s="2950"/>
      <c r="DGI23" s="2950"/>
      <c r="DGJ23" s="2950"/>
      <c r="DGK23" s="2950"/>
      <c r="DGL23" s="2950"/>
      <c r="DGM23" s="2950"/>
      <c r="DGN23" s="2950"/>
      <c r="DGO23" s="2950"/>
      <c r="DGP23" s="2950"/>
      <c r="DGQ23" s="2950"/>
      <c r="DGR23" s="2950"/>
      <c r="DGS23" s="2950"/>
      <c r="DGT23" s="2950"/>
      <c r="DGU23" s="2950"/>
      <c r="DGV23" s="2950"/>
      <c r="DGW23" s="2950"/>
      <c r="DGX23" s="2950"/>
      <c r="DGY23" s="2950"/>
      <c r="DGZ23" s="2950"/>
      <c r="DHA23" s="2950"/>
      <c r="DHB23" s="2950"/>
      <c r="DHC23" s="2950"/>
      <c r="DHD23" s="2950"/>
      <c r="DHE23" s="2950"/>
      <c r="DHF23" s="2950"/>
      <c r="DHG23" s="2950"/>
      <c r="DHH23" s="2950"/>
      <c r="DHI23" s="2950"/>
      <c r="DHJ23" s="2950"/>
      <c r="DHK23" s="2950"/>
      <c r="DHL23" s="2950"/>
      <c r="DHM23" s="2950"/>
      <c r="DHN23" s="2950"/>
      <c r="DHO23" s="2950"/>
      <c r="DHP23" s="2950"/>
      <c r="DHQ23" s="2950"/>
      <c r="DHR23" s="2950"/>
      <c r="DHS23" s="2950"/>
      <c r="DHT23" s="2950"/>
      <c r="DHU23" s="2950"/>
      <c r="DHV23" s="2950"/>
      <c r="DHW23" s="2950"/>
      <c r="DHX23" s="2950"/>
      <c r="DHY23" s="2950"/>
      <c r="DHZ23" s="2950"/>
      <c r="DIA23" s="2950"/>
      <c r="DIB23" s="2950"/>
      <c r="DIC23" s="2950"/>
      <c r="DID23" s="2950"/>
      <c r="DIE23" s="2950"/>
      <c r="DIF23" s="2950"/>
      <c r="DIG23" s="2950"/>
      <c r="DIH23" s="2950"/>
      <c r="DII23" s="2950"/>
      <c r="DIJ23" s="2950"/>
      <c r="DIK23" s="2950"/>
      <c r="DIL23" s="2950"/>
      <c r="DIM23" s="2950"/>
      <c r="DIN23" s="2950"/>
      <c r="DIO23" s="2950"/>
      <c r="DIP23" s="2950"/>
      <c r="DIQ23" s="2950"/>
      <c r="DIR23" s="2950"/>
      <c r="DIS23" s="2950"/>
      <c r="DIT23" s="2950"/>
      <c r="DIU23" s="2950"/>
      <c r="DIV23" s="2950"/>
      <c r="DIW23" s="2950"/>
      <c r="DIX23" s="2950"/>
      <c r="DIY23" s="2950"/>
      <c r="DIZ23" s="2950"/>
      <c r="DJA23" s="2950"/>
      <c r="DJB23" s="2950"/>
      <c r="DJC23" s="2950"/>
      <c r="DJD23" s="2950"/>
      <c r="DJE23" s="2950"/>
      <c r="DJF23" s="2950"/>
      <c r="DJG23" s="2950"/>
      <c r="DJH23" s="2950"/>
      <c r="DJI23" s="2950"/>
      <c r="DJJ23" s="2950"/>
      <c r="DJK23" s="2950"/>
      <c r="DJL23" s="2950"/>
      <c r="DJM23" s="2950"/>
      <c r="DJN23" s="2950"/>
      <c r="DJO23" s="2950"/>
      <c r="DJP23" s="2950"/>
      <c r="DJQ23" s="2950"/>
      <c r="DJR23" s="2950"/>
      <c r="DJS23" s="2950"/>
      <c r="DJT23" s="2950"/>
      <c r="DJU23" s="2950"/>
      <c r="DJV23" s="2950"/>
      <c r="DJW23" s="2950"/>
      <c r="DJX23" s="2950"/>
      <c r="DJY23" s="2950"/>
      <c r="DJZ23" s="2950"/>
      <c r="DKA23" s="2950"/>
      <c r="DKB23" s="2950"/>
      <c r="DKC23" s="2950"/>
      <c r="DKD23" s="2950"/>
      <c r="DKE23" s="2950"/>
      <c r="DKF23" s="2950"/>
      <c r="DKG23" s="2950"/>
      <c r="DKH23" s="2950"/>
      <c r="DKI23" s="2950"/>
      <c r="DKJ23" s="2950"/>
      <c r="DKK23" s="2950"/>
      <c r="DKL23" s="2950"/>
      <c r="DKM23" s="2950"/>
      <c r="DKN23" s="2950"/>
      <c r="DKO23" s="2950"/>
      <c r="DKP23" s="2950"/>
      <c r="DKQ23" s="2950"/>
      <c r="DKR23" s="2950"/>
      <c r="DKS23" s="2950"/>
      <c r="DKT23" s="2950"/>
      <c r="DKU23" s="2950"/>
      <c r="DKV23" s="2950"/>
      <c r="DKW23" s="2950"/>
      <c r="DKX23" s="2950"/>
      <c r="DKY23" s="2950"/>
      <c r="DKZ23" s="2950"/>
      <c r="DLA23" s="2950"/>
      <c r="DLB23" s="2950"/>
      <c r="DLC23" s="2950"/>
      <c r="DLD23" s="2950"/>
      <c r="DLE23" s="2950"/>
      <c r="DLF23" s="2950"/>
      <c r="DLG23" s="2950"/>
      <c r="DLH23" s="2950"/>
      <c r="DLI23" s="2950"/>
      <c r="DLJ23" s="2950"/>
      <c r="DLK23" s="2950"/>
      <c r="DLL23" s="2950"/>
      <c r="DLM23" s="2950"/>
      <c r="DLN23" s="2950"/>
      <c r="DLO23" s="2950"/>
      <c r="DLP23" s="2950"/>
      <c r="DLQ23" s="2950"/>
      <c r="DLR23" s="2950"/>
      <c r="DLS23" s="2950"/>
      <c r="DLT23" s="2950"/>
      <c r="DLU23" s="2950"/>
      <c r="DLV23" s="2950"/>
      <c r="DLW23" s="2950"/>
      <c r="DLX23" s="2950"/>
      <c r="DLY23" s="2950"/>
      <c r="DLZ23" s="2950"/>
      <c r="DMA23" s="2950"/>
      <c r="DMB23" s="2950"/>
      <c r="DMC23" s="2950"/>
      <c r="DMD23" s="2950"/>
      <c r="DME23" s="2950"/>
      <c r="DMF23" s="2950"/>
      <c r="DMG23" s="2950"/>
      <c r="DMH23" s="2950"/>
      <c r="DMI23" s="2950"/>
      <c r="DMJ23" s="2950"/>
      <c r="DMK23" s="2950"/>
      <c r="DML23" s="2950"/>
      <c r="DMM23" s="2950"/>
      <c r="DMN23" s="2950"/>
      <c r="DMO23" s="2950"/>
      <c r="DMP23" s="2950"/>
      <c r="DMQ23" s="2950"/>
      <c r="DMR23" s="2950"/>
      <c r="DMS23" s="2950"/>
      <c r="DMT23" s="2950"/>
      <c r="DMU23" s="2950"/>
      <c r="DMV23" s="2950"/>
      <c r="DMW23" s="2950"/>
      <c r="DMX23" s="2950"/>
      <c r="DMY23" s="2950"/>
      <c r="DMZ23" s="2950"/>
      <c r="DNA23" s="2950"/>
      <c r="DNB23" s="2950"/>
      <c r="DNC23" s="2950"/>
      <c r="DND23" s="2950"/>
      <c r="DNE23" s="2950"/>
      <c r="DNF23" s="2950"/>
      <c r="DNG23" s="2950"/>
      <c r="DNH23" s="2950"/>
      <c r="DNI23" s="2950"/>
      <c r="DNJ23" s="2950"/>
      <c r="DNK23" s="2950"/>
      <c r="DNL23" s="2950"/>
      <c r="DNM23" s="2950"/>
      <c r="DNN23" s="2950"/>
      <c r="DNO23" s="2950"/>
      <c r="DNP23" s="2950"/>
      <c r="DNQ23" s="2950"/>
      <c r="DNR23" s="2950"/>
      <c r="DNS23" s="2950"/>
      <c r="DNT23" s="2950"/>
      <c r="DNU23" s="2950"/>
      <c r="DNV23" s="2950"/>
      <c r="DNW23" s="2950"/>
      <c r="DNX23" s="2950"/>
      <c r="DNY23" s="2950"/>
      <c r="DNZ23" s="2950"/>
      <c r="DOA23" s="2950"/>
      <c r="DOB23" s="2950"/>
      <c r="DOC23" s="2950"/>
      <c r="DOD23" s="2950"/>
      <c r="DOE23" s="2950"/>
      <c r="DOF23" s="2950"/>
      <c r="DOG23" s="2950"/>
      <c r="DOH23" s="2950"/>
      <c r="DOI23" s="2950"/>
      <c r="DOJ23" s="2950"/>
      <c r="DOK23" s="2950"/>
      <c r="DOL23" s="2950"/>
      <c r="DOM23" s="2950"/>
      <c r="DON23" s="2950"/>
      <c r="DOO23" s="2950"/>
      <c r="DOP23" s="2950"/>
      <c r="DOQ23" s="2950"/>
      <c r="DOR23" s="2950"/>
      <c r="DOS23" s="2950"/>
      <c r="DOT23" s="2950"/>
      <c r="DOU23" s="2950"/>
      <c r="DOV23" s="2950"/>
      <c r="DOW23" s="2950"/>
      <c r="DOX23" s="2950"/>
      <c r="DOY23" s="2950"/>
      <c r="DOZ23" s="2950"/>
      <c r="DPA23" s="2950"/>
      <c r="DPB23" s="2950"/>
      <c r="DPC23" s="2950"/>
      <c r="DPD23" s="2950"/>
      <c r="DPE23" s="2950"/>
      <c r="DPF23" s="2950"/>
      <c r="DPG23" s="2950"/>
      <c r="DPH23" s="2950"/>
      <c r="DPI23" s="2950"/>
      <c r="DPJ23" s="2950"/>
      <c r="DPK23" s="2950"/>
      <c r="DPL23" s="2950"/>
      <c r="DPM23" s="2950"/>
      <c r="DPN23" s="2950"/>
      <c r="DPO23" s="2950"/>
      <c r="DPP23" s="2950"/>
      <c r="DPQ23" s="2950"/>
      <c r="DPR23" s="2950"/>
      <c r="DPS23" s="2950"/>
      <c r="DPT23" s="2950"/>
      <c r="DPU23" s="2950"/>
      <c r="DPV23" s="2950"/>
      <c r="DPW23" s="2950"/>
      <c r="DPX23" s="2950"/>
      <c r="DPY23" s="2950"/>
      <c r="DPZ23" s="2950"/>
      <c r="DQA23" s="2950"/>
      <c r="DQB23" s="2950"/>
      <c r="DQC23" s="2950"/>
      <c r="DQD23" s="2950"/>
      <c r="DQE23" s="2950"/>
      <c r="DQF23" s="2950"/>
      <c r="DQG23" s="2950"/>
      <c r="DQH23" s="2950"/>
      <c r="DQI23" s="2950"/>
      <c r="DQJ23" s="2950"/>
      <c r="DQK23" s="2950"/>
      <c r="DQL23" s="2950"/>
      <c r="DQM23" s="2950"/>
      <c r="DQN23" s="2950"/>
      <c r="DQO23" s="2950"/>
      <c r="DQP23" s="2950"/>
      <c r="DQQ23" s="2950"/>
      <c r="DQR23" s="2950"/>
      <c r="DQS23" s="2950"/>
      <c r="DQT23" s="2950"/>
      <c r="DQU23" s="2950"/>
      <c r="DQV23" s="2950"/>
      <c r="DQW23" s="2950"/>
      <c r="DQX23" s="2950"/>
      <c r="DQY23" s="2950"/>
      <c r="DQZ23" s="2950"/>
      <c r="DRA23" s="2950"/>
      <c r="DRB23" s="2950"/>
      <c r="DRC23" s="2950"/>
      <c r="DRD23" s="2950"/>
      <c r="DRE23" s="2950"/>
      <c r="DRF23" s="2950"/>
      <c r="DRG23" s="2950"/>
      <c r="DRH23" s="2950"/>
      <c r="DRI23" s="2950"/>
      <c r="DRJ23" s="2950"/>
      <c r="DRK23" s="2950"/>
      <c r="DRL23" s="2950"/>
      <c r="DRM23" s="2950"/>
      <c r="DRN23" s="2950"/>
      <c r="DRO23" s="2950"/>
      <c r="DRP23" s="2950"/>
      <c r="DRQ23" s="2950"/>
      <c r="DRR23" s="2950"/>
      <c r="DRS23" s="2950"/>
      <c r="DRT23" s="2950"/>
      <c r="DRU23" s="2950"/>
      <c r="DRV23" s="2950"/>
      <c r="DRW23" s="2950"/>
      <c r="DRX23" s="2950"/>
      <c r="DRY23" s="2950"/>
      <c r="DRZ23" s="2950"/>
      <c r="DSA23" s="2950"/>
      <c r="DSB23" s="2950"/>
      <c r="DSC23" s="2950"/>
      <c r="DSD23" s="2950"/>
      <c r="DSE23" s="2950"/>
      <c r="DSF23" s="2950"/>
      <c r="DSG23" s="2950"/>
      <c r="DSH23" s="2950"/>
      <c r="DSI23" s="2950"/>
      <c r="DSJ23" s="2950"/>
      <c r="DSK23" s="2950"/>
      <c r="DSL23" s="2950"/>
      <c r="DSM23" s="2950"/>
      <c r="DSN23" s="2950"/>
      <c r="DSO23" s="2950"/>
      <c r="DSP23" s="2950"/>
      <c r="DSQ23" s="2950"/>
      <c r="DSR23" s="2950"/>
      <c r="DSS23" s="2950"/>
      <c r="DST23" s="2950"/>
      <c r="DSU23" s="2950"/>
      <c r="DSV23" s="2950"/>
      <c r="DSW23" s="2950"/>
      <c r="DSX23" s="2950"/>
      <c r="DSY23" s="2950"/>
      <c r="DSZ23" s="2950"/>
      <c r="DTA23" s="2950"/>
      <c r="DTB23" s="2950"/>
      <c r="DTC23" s="2950"/>
      <c r="DTD23" s="2950"/>
      <c r="DTE23" s="2950"/>
      <c r="DTF23" s="2950"/>
      <c r="DTG23" s="2950"/>
      <c r="DTH23" s="2950"/>
      <c r="DTI23" s="2950"/>
      <c r="DTJ23" s="2950"/>
      <c r="DTK23" s="2950"/>
      <c r="DTL23" s="2950"/>
      <c r="DTM23" s="2950"/>
      <c r="DTN23" s="2950"/>
      <c r="DTO23" s="2950"/>
      <c r="DTP23" s="2950"/>
      <c r="DTQ23" s="2950"/>
      <c r="DTR23" s="2950"/>
      <c r="DTS23" s="2950"/>
      <c r="DTT23" s="2950"/>
      <c r="DTU23" s="2950"/>
      <c r="DTV23" s="2950"/>
      <c r="DTW23" s="2950"/>
      <c r="DTX23" s="2950"/>
      <c r="DTY23" s="2950"/>
      <c r="DTZ23" s="2950"/>
      <c r="DUA23" s="2950"/>
      <c r="DUB23" s="2950"/>
      <c r="DUC23" s="2950"/>
      <c r="DUD23" s="2950"/>
      <c r="DUE23" s="2950"/>
      <c r="DUF23" s="2950"/>
      <c r="DUG23" s="2950"/>
      <c r="DUH23" s="2950"/>
      <c r="DUI23" s="2950"/>
      <c r="DUJ23" s="2950"/>
      <c r="DUK23" s="2950"/>
      <c r="DUL23" s="2950"/>
      <c r="DUM23" s="2950"/>
      <c r="DUN23" s="2950"/>
      <c r="DUO23" s="2950"/>
      <c r="DUP23" s="2950"/>
      <c r="DUQ23" s="2950"/>
      <c r="DUR23" s="2950"/>
      <c r="DUS23" s="2950"/>
      <c r="DUT23" s="2950"/>
      <c r="DUU23" s="2950"/>
      <c r="DUV23" s="2950"/>
      <c r="DUW23" s="2950"/>
      <c r="DUX23" s="2950"/>
      <c r="DUY23" s="2950"/>
      <c r="DUZ23" s="2950"/>
      <c r="DVA23" s="2950"/>
      <c r="DVB23" s="2950"/>
      <c r="DVC23" s="2950"/>
      <c r="DVD23" s="2950"/>
      <c r="DVE23" s="2950"/>
      <c r="DVF23" s="2950"/>
      <c r="DVG23" s="2950"/>
      <c r="DVH23" s="2950"/>
      <c r="DVI23" s="2950"/>
      <c r="DVJ23" s="2950"/>
      <c r="DVK23" s="2950"/>
      <c r="DVL23" s="2950"/>
      <c r="DVM23" s="2950"/>
      <c r="DVN23" s="2950"/>
      <c r="DVO23" s="2950"/>
      <c r="DVP23" s="2950"/>
      <c r="DVQ23" s="2950"/>
      <c r="DVR23" s="2950"/>
      <c r="DVS23" s="2950"/>
      <c r="DVT23" s="2950"/>
      <c r="DVU23" s="2950"/>
      <c r="DVV23" s="2950"/>
      <c r="DVW23" s="2950"/>
      <c r="DVX23" s="2950"/>
      <c r="DVY23" s="2950"/>
      <c r="DVZ23" s="2950"/>
      <c r="DWA23" s="2950"/>
      <c r="DWB23" s="2950"/>
      <c r="DWC23" s="2950"/>
      <c r="DWD23" s="2950"/>
      <c r="DWE23" s="2950"/>
      <c r="DWF23" s="2950"/>
      <c r="DWG23" s="2950"/>
      <c r="DWH23" s="2950"/>
      <c r="DWI23" s="2950"/>
      <c r="DWJ23" s="2950"/>
      <c r="DWK23" s="2950"/>
      <c r="DWL23" s="2950"/>
      <c r="DWM23" s="2950"/>
      <c r="DWN23" s="2950"/>
      <c r="DWO23" s="2950"/>
      <c r="DWP23" s="2950"/>
      <c r="DWQ23" s="2950"/>
      <c r="DWR23" s="2950"/>
      <c r="DWS23" s="2950"/>
      <c r="DWT23" s="2950"/>
      <c r="DWU23" s="2950"/>
      <c r="DWV23" s="2950"/>
      <c r="DWW23" s="2950"/>
      <c r="DWX23" s="2950"/>
      <c r="DWY23" s="2950"/>
      <c r="DWZ23" s="2950"/>
      <c r="DXA23" s="2950"/>
      <c r="DXB23" s="2950"/>
      <c r="DXC23" s="2950"/>
      <c r="DXD23" s="2950"/>
      <c r="DXE23" s="2950"/>
      <c r="DXF23" s="2950"/>
      <c r="DXG23" s="2950"/>
      <c r="DXH23" s="2950"/>
      <c r="DXI23" s="2950"/>
      <c r="DXJ23" s="2950"/>
      <c r="DXK23" s="2950"/>
      <c r="DXL23" s="2950"/>
      <c r="DXM23" s="2950"/>
      <c r="DXN23" s="2950"/>
      <c r="DXO23" s="2950"/>
      <c r="DXP23" s="2950"/>
      <c r="DXQ23" s="2950"/>
      <c r="DXR23" s="2950"/>
      <c r="DXS23" s="2950"/>
      <c r="DXT23" s="2950"/>
      <c r="DXU23" s="2950"/>
      <c r="DXV23" s="2950"/>
      <c r="DXW23" s="2950"/>
      <c r="DXX23" s="2950"/>
      <c r="DXY23" s="2950"/>
      <c r="DXZ23" s="2950"/>
      <c r="DYA23" s="2950"/>
      <c r="DYB23" s="2950"/>
      <c r="DYC23" s="2950"/>
      <c r="DYD23" s="2950"/>
      <c r="DYE23" s="2950"/>
      <c r="DYF23" s="2950"/>
      <c r="DYG23" s="2950"/>
      <c r="DYH23" s="2950"/>
      <c r="DYI23" s="2950"/>
      <c r="DYJ23" s="2950"/>
      <c r="DYK23" s="2950"/>
      <c r="DYL23" s="2950"/>
      <c r="DYM23" s="2950"/>
      <c r="DYN23" s="2950"/>
      <c r="DYO23" s="2950"/>
      <c r="DYP23" s="2950"/>
      <c r="DYQ23" s="2950"/>
      <c r="DYR23" s="2950"/>
      <c r="DYS23" s="2950"/>
      <c r="DYT23" s="2950"/>
      <c r="DYU23" s="2950"/>
      <c r="DYV23" s="2950"/>
      <c r="DYW23" s="2950"/>
      <c r="DYX23" s="2950"/>
      <c r="DYY23" s="2950"/>
      <c r="DYZ23" s="2950"/>
      <c r="DZA23" s="2950"/>
      <c r="DZB23" s="2950"/>
      <c r="DZC23" s="2950"/>
      <c r="DZD23" s="2950"/>
      <c r="DZE23" s="2950"/>
      <c r="DZF23" s="2950"/>
      <c r="DZG23" s="2950"/>
      <c r="DZH23" s="2950"/>
      <c r="DZI23" s="2950"/>
      <c r="DZJ23" s="2950"/>
      <c r="DZK23" s="2950"/>
      <c r="DZL23" s="2950"/>
      <c r="DZM23" s="2950"/>
      <c r="DZN23" s="2950"/>
      <c r="DZO23" s="2950"/>
      <c r="DZP23" s="2950"/>
      <c r="DZQ23" s="2950"/>
      <c r="DZR23" s="2950"/>
      <c r="DZS23" s="2950"/>
      <c r="DZT23" s="2950"/>
      <c r="DZU23" s="2950"/>
      <c r="DZV23" s="2950"/>
      <c r="DZW23" s="2950"/>
      <c r="DZX23" s="2950"/>
      <c r="DZY23" s="2950"/>
      <c r="DZZ23" s="2950"/>
      <c r="EAA23" s="2950"/>
      <c r="EAB23" s="2950"/>
      <c r="EAC23" s="2950"/>
      <c r="EAD23" s="2950"/>
      <c r="EAE23" s="2950"/>
      <c r="EAF23" s="2950"/>
      <c r="EAG23" s="2950"/>
      <c r="EAH23" s="2950"/>
      <c r="EAI23" s="2950"/>
      <c r="EAJ23" s="2950"/>
      <c r="EAK23" s="2950"/>
      <c r="EAL23" s="2950"/>
      <c r="EAM23" s="2950"/>
      <c r="EAN23" s="2950"/>
      <c r="EAO23" s="2950"/>
      <c r="EAP23" s="2950"/>
      <c r="EAQ23" s="2950"/>
      <c r="EAR23" s="2950"/>
      <c r="EAS23" s="2950"/>
      <c r="EAT23" s="2950"/>
      <c r="EAU23" s="2950"/>
      <c r="EAV23" s="2950"/>
      <c r="EAW23" s="2950"/>
      <c r="EAX23" s="2950"/>
      <c r="EAY23" s="2950"/>
      <c r="EAZ23" s="2950"/>
      <c r="EBA23" s="2950"/>
      <c r="EBB23" s="2950"/>
      <c r="EBC23" s="2950"/>
      <c r="EBD23" s="2950"/>
      <c r="EBE23" s="2950"/>
      <c r="EBF23" s="2950"/>
      <c r="EBG23" s="2950"/>
      <c r="EBH23" s="2950"/>
      <c r="EBI23" s="2950"/>
      <c r="EBJ23" s="2950"/>
      <c r="EBK23" s="2950"/>
      <c r="EBL23" s="2950"/>
      <c r="EBM23" s="2950"/>
      <c r="EBN23" s="2950"/>
      <c r="EBO23" s="2950"/>
      <c r="EBP23" s="2950"/>
      <c r="EBQ23" s="2950"/>
      <c r="EBR23" s="2950"/>
      <c r="EBS23" s="2950"/>
      <c r="EBT23" s="2950"/>
      <c r="EBU23" s="2950"/>
      <c r="EBV23" s="2950"/>
      <c r="EBW23" s="2950"/>
      <c r="EBX23" s="2950"/>
      <c r="EBY23" s="2950"/>
      <c r="EBZ23" s="2950"/>
      <c r="ECA23" s="2950"/>
      <c r="ECB23" s="2950"/>
      <c r="ECC23" s="2950"/>
      <c r="ECD23" s="2950"/>
      <c r="ECE23" s="2950"/>
      <c r="ECF23" s="2950"/>
      <c r="ECG23" s="2950"/>
      <c r="ECH23" s="2950"/>
      <c r="ECI23" s="2950"/>
      <c r="ECJ23" s="2950"/>
      <c r="ECK23" s="2950"/>
      <c r="ECL23" s="2950"/>
      <c r="ECM23" s="2950"/>
      <c r="ECN23" s="2950"/>
      <c r="ECO23" s="2950"/>
      <c r="ECP23" s="2950"/>
      <c r="ECQ23" s="2950"/>
      <c r="ECR23" s="2950"/>
      <c r="ECS23" s="2950"/>
      <c r="ECT23" s="2950"/>
      <c r="ECU23" s="2950"/>
      <c r="ECV23" s="2950"/>
      <c r="ECW23" s="2950"/>
      <c r="ECX23" s="2950"/>
      <c r="ECY23" s="2950"/>
      <c r="ECZ23" s="2950"/>
      <c r="EDA23" s="2950"/>
      <c r="EDB23" s="2950"/>
      <c r="EDC23" s="2950"/>
      <c r="EDD23" s="2950"/>
      <c r="EDE23" s="2950"/>
      <c r="EDF23" s="2950"/>
      <c r="EDG23" s="2950"/>
      <c r="EDH23" s="2950"/>
      <c r="EDI23" s="2950"/>
      <c r="EDJ23" s="2950"/>
      <c r="EDK23" s="2950"/>
      <c r="EDL23" s="2950"/>
      <c r="EDM23" s="2950"/>
      <c r="EDN23" s="2950"/>
      <c r="EDO23" s="2950"/>
      <c r="EDP23" s="2950"/>
      <c r="EDQ23" s="2950"/>
      <c r="EDR23" s="2950"/>
      <c r="EDS23" s="2950"/>
      <c r="EDT23" s="2950"/>
      <c r="EDU23" s="2950"/>
      <c r="EDV23" s="2950"/>
      <c r="EDW23" s="2950"/>
      <c r="EDX23" s="2950"/>
      <c r="EDY23" s="2950"/>
      <c r="EDZ23" s="2950"/>
      <c r="EEA23" s="2950"/>
      <c r="EEB23" s="2950"/>
      <c r="EEC23" s="2950"/>
      <c r="EED23" s="2950"/>
      <c r="EEE23" s="2950"/>
      <c r="EEF23" s="2950"/>
      <c r="EEG23" s="2950"/>
      <c r="EEH23" s="2950"/>
      <c r="EEI23" s="2950"/>
      <c r="EEJ23" s="2950"/>
      <c r="EEK23" s="2950"/>
      <c r="EEL23" s="2950"/>
      <c r="EEM23" s="2950"/>
      <c r="EEN23" s="2950"/>
      <c r="EEO23" s="2950"/>
      <c r="EEP23" s="2950"/>
      <c r="EEQ23" s="2950"/>
      <c r="EER23" s="2950"/>
      <c r="EES23" s="2950"/>
      <c r="EET23" s="2950"/>
      <c r="EEU23" s="2950"/>
      <c r="EEV23" s="2950"/>
      <c r="EEW23" s="2950"/>
      <c r="EEX23" s="2950"/>
      <c r="EEY23" s="2950"/>
      <c r="EEZ23" s="2950"/>
      <c r="EFA23" s="2950"/>
      <c r="EFB23" s="2950"/>
      <c r="EFC23" s="2950"/>
      <c r="EFD23" s="2950"/>
      <c r="EFE23" s="2950"/>
      <c r="EFF23" s="2950"/>
      <c r="EFG23" s="2950"/>
      <c r="EFH23" s="2950"/>
      <c r="EFI23" s="2950"/>
      <c r="EFJ23" s="2950"/>
      <c r="EFK23" s="2950"/>
      <c r="EFL23" s="2950"/>
      <c r="EFM23" s="2950"/>
      <c r="EFN23" s="2950"/>
      <c r="EFO23" s="2950"/>
      <c r="EFP23" s="2950"/>
      <c r="EFQ23" s="2950"/>
      <c r="EFR23" s="2950"/>
      <c r="EFS23" s="2950"/>
      <c r="EFT23" s="2950"/>
      <c r="EFU23" s="2950"/>
      <c r="EFV23" s="2950"/>
      <c r="EFW23" s="2950"/>
      <c r="EFX23" s="2950"/>
      <c r="EFY23" s="2950"/>
      <c r="EFZ23" s="2950"/>
      <c r="EGA23" s="2950"/>
      <c r="EGB23" s="2950"/>
      <c r="EGC23" s="2950"/>
      <c r="EGD23" s="2950"/>
      <c r="EGE23" s="2950"/>
      <c r="EGF23" s="2950"/>
      <c r="EGG23" s="2950"/>
      <c r="EGH23" s="2950"/>
      <c r="EGI23" s="2950"/>
      <c r="EGJ23" s="2950"/>
      <c r="EGK23" s="2950"/>
      <c r="EGL23" s="2950"/>
      <c r="EGM23" s="2950"/>
      <c r="EGN23" s="2950"/>
      <c r="EGO23" s="2950"/>
      <c r="EGP23" s="2950"/>
      <c r="EGQ23" s="2950"/>
      <c r="EGR23" s="2950"/>
      <c r="EGS23" s="2950"/>
      <c r="EGT23" s="2950"/>
      <c r="EGU23" s="2950"/>
      <c r="EGV23" s="2950"/>
      <c r="EGW23" s="2950"/>
      <c r="EGX23" s="2950"/>
      <c r="EGY23" s="2950"/>
      <c r="EGZ23" s="2950"/>
      <c r="EHA23" s="2950"/>
      <c r="EHB23" s="2950"/>
      <c r="EHC23" s="2950"/>
      <c r="EHD23" s="2950"/>
      <c r="EHE23" s="2950"/>
      <c r="EHF23" s="2950"/>
      <c r="EHG23" s="2950"/>
      <c r="EHH23" s="2950"/>
      <c r="EHI23" s="2950"/>
      <c r="EHJ23" s="2950"/>
      <c r="EHK23" s="2950"/>
      <c r="EHL23" s="2950"/>
      <c r="EHM23" s="2950"/>
      <c r="EHN23" s="2950"/>
      <c r="EHO23" s="2950"/>
      <c r="EHP23" s="2950"/>
      <c r="EHQ23" s="2950"/>
      <c r="EHR23" s="2950"/>
      <c r="EHS23" s="2950"/>
      <c r="EHT23" s="2950"/>
      <c r="EHU23" s="2950"/>
      <c r="EHV23" s="2950"/>
      <c r="EHW23" s="2950"/>
      <c r="EHX23" s="2950"/>
      <c r="EHY23" s="2950"/>
      <c r="EHZ23" s="2950"/>
      <c r="EIA23" s="2950"/>
      <c r="EIB23" s="2950"/>
      <c r="EIC23" s="2950"/>
      <c r="EID23" s="2950"/>
      <c r="EIE23" s="2950"/>
      <c r="EIF23" s="2950"/>
      <c r="EIG23" s="2950"/>
      <c r="EIH23" s="2950"/>
      <c r="EII23" s="2950"/>
      <c r="EIJ23" s="2950"/>
      <c r="EIK23" s="2950"/>
      <c r="EIL23" s="2950"/>
      <c r="EIM23" s="2950"/>
      <c r="EIN23" s="2950"/>
      <c r="EIO23" s="2950"/>
      <c r="EIP23" s="2950"/>
      <c r="EIQ23" s="2950"/>
      <c r="EIR23" s="2950"/>
      <c r="EIS23" s="2950"/>
      <c r="EIT23" s="2950"/>
      <c r="EIU23" s="2950"/>
      <c r="EIV23" s="2950"/>
      <c r="EIW23" s="2950"/>
      <c r="EIX23" s="2950"/>
      <c r="EIY23" s="2950"/>
      <c r="EIZ23" s="2950"/>
      <c r="EJA23" s="2950"/>
      <c r="EJB23" s="2950"/>
      <c r="EJC23" s="2950"/>
      <c r="EJD23" s="2950"/>
      <c r="EJE23" s="2950"/>
      <c r="EJF23" s="2950"/>
      <c r="EJG23" s="2950"/>
      <c r="EJH23" s="2950"/>
      <c r="EJI23" s="2950"/>
      <c r="EJJ23" s="2950"/>
      <c r="EJK23" s="2950"/>
      <c r="EJL23" s="2950"/>
      <c r="EJM23" s="2950"/>
      <c r="EJN23" s="2950"/>
      <c r="EJO23" s="2950"/>
      <c r="EJP23" s="2950"/>
      <c r="EJQ23" s="2950"/>
      <c r="EJR23" s="2950"/>
      <c r="EJS23" s="2950"/>
      <c r="EJT23" s="2950"/>
      <c r="EJU23" s="2950"/>
      <c r="EJV23" s="2950"/>
      <c r="EJW23" s="2950"/>
      <c r="EJX23" s="2950"/>
      <c r="EJY23" s="2950"/>
      <c r="EJZ23" s="2950"/>
      <c r="EKA23" s="2950"/>
      <c r="EKB23" s="2950"/>
      <c r="EKC23" s="2950"/>
      <c r="EKD23" s="2950"/>
      <c r="EKE23" s="2950"/>
      <c r="EKF23" s="2950"/>
      <c r="EKG23" s="2950"/>
      <c r="EKH23" s="2950"/>
      <c r="EKI23" s="2950"/>
      <c r="EKJ23" s="2950"/>
      <c r="EKK23" s="2950"/>
      <c r="EKL23" s="2950"/>
      <c r="EKM23" s="2950"/>
      <c r="EKN23" s="2950"/>
      <c r="EKO23" s="2950"/>
      <c r="EKP23" s="2950"/>
      <c r="EKQ23" s="2950"/>
      <c r="EKR23" s="2950"/>
      <c r="EKS23" s="2950"/>
      <c r="EKT23" s="2950"/>
      <c r="EKU23" s="2950"/>
      <c r="EKV23" s="2950"/>
      <c r="EKW23" s="2950"/>
      <c r="EKX23" s="2950"/>
      <c r="EKY23" s="2950"/>
      <c r="EKZ23" s="2950"/>
      <c r="ELA23" s="2950"/>
      <c r="ELB23" s="2950"/>
      <c r="ELC23" s="2950"/>
      <c r="ELD23" s="2950"/>
      <c r="ELE23" s="2950"/>
      <c r="ELF23" s="2950"/>
      <c r="ELG23" s="2950"/>
      <c r="ELH23" s="2950"/>
      <c r="ELI23" s="2950"/>
      <c r="ELJ23" s="2950"/>
      <c r="ELK23" s="2950"/>
      <c r="ELL23" s="2950"/>
      <c r="ELM23" s="2950"/>
      <c r="ELN23" s="2950"/>
      <c r="ELO23" s="2950"/>
      <c r="ELP23" s="2950"/>
      <c r="ELQ23" s="2950"/>
      <c r="ELR23" s="2950"/>
      <c r="ELS23" s="2950"/>
      <c r="ELT23" s="2950"/>
      <c r="ELU23" s="2950"/>
      <c r="ELV23" s="2950"/>
      <c r="ELW23" s="2950"/>
      <c r="ELX23" s="2950"/>
      <c r="ELY23" s="2950"/>
      <c r="ELZ23" s="2950"/>
      <c r="EMA23" s="2950"/>
      <c r="EMB23" s="2950"/>
      <c r="EMC23" s="2950"/>
      <c r="EMD23" s="2950"/>
      <c r="EME23" s="2950"/>
      <c r="EMF23" s="2950"/>
      <c r="EMG23" s="2950"/>
      <c r="EMH23" s="2950"/>
      <c r="EMI23" s="2950"/>
      <c r="EMJ23" s="2950"/>
      <c r="EMK23" s="2950"/>
      <c r="EML23" s="2950"/>
      <c r="EMM23" s="2950"/>
      <c r="EMN23" s="2950"/>
      <c r="EMO23" s="2950"/>
      <c r="EMP23" s="2950"/>
      <c r="EMQ23" s="2950"/>
      <c r="EMR23" s="2950"/>
      <c r="EMS23" s="2950"/>
      <c r="EMT23" s="2950"/>
      <c r="EMU23" s="2950"/>
      <c r="EMV23" s="2950"/>
      <c r="EMW23" s="2950"/>
      <c r="EMX23" s="2950"/>
      <c r="EMY23" s="2950"/>
      <c r="EMZ23" s="2950"/>
      <c r="ENA23" s="2950"/>
      <c r="ENB23" s="2950"/>
      <c r="ENC23" s="2950"/>
      <c r="END23" s="2950"/>
      <c r="ENE23" s="2950"/>
      <c r="ENF23" s="2950"/>
      <c r="ENG23" s="2950"/>
      <c r="ENH23" s="2950"/>
      <c r="ENI23" s="2950"/>
      <c r="ENJ23" s="2950"/>
      <c r="ENK23" s="2950"/>
      <c r="ENL23" s="2950"/>
      <c r="ENM23" s="2950"/>
      <c r="ENN23" s="2950"/>
      <c r="ENO23" s="2950"/>
      <c r="ENP23" s="2950"/>
      <c r="ENQ23" s="2950"/>
      <c r="ENR23" s="2950"/>
      <c r="ENS23" s="2950"/>
      <c r="ENT23" s="2950"/>
      <c r="ENU23" s="2950"/>
      <c r="ENV23" s="2950"/>
      <c r="ENW23" s="2950"/>
      <c r="ENX23" s="2950"/>
      <c r="ENY23" s="2950"/>
      <c r="ENZ23" s="2950"/>
      <c r="EOA23" s="2950"/>
      <c r="EOB23" s="2950"/>
      <c r="EOC23" s="2950"/>
      <c r="EOD23" s="2950"/>
      <c r="EOE23" s="2950"/>
      <c r="EOF23" s="2950"/>
      <c r="EOG23" s="2950"/>
      <c r="EOH23" s="2950"/>
      <c r="EOI23" s="2950"/>
      <c r="EOJ23" s="2950"/>
      <c r="EOK23" s="2950"/>
      <c r="EOL23" s="2950"/>
      <c r="EOM23" s="2950"/>
      <c r="EON23" s="2950"/>
      <c r="EOO23" s="2950"/>
      <c r="EOP23" s="2950"/>
      <c r="EOQ23" s="2950"/>
      <c r="EOR23" s="2950"/>
      <c r="EOS23" s="2950"/>
      <c r="EOT23" s="2950"/>
      <c r="EOU23" s="2950"/>
      <c r="EOV23" s="2950"/>
      <c r="EOW23" s="2950"/>
      <c r="EOX23" s="2950"/>
      <c r="EOY23" s="2950"/>
      <c r="EOZ23" s="2950"/>
      <c r="EPA23" s="2950"/>
      <c r="EPB23" s="2950"/>
      <c r="EPC23" s="2950"/>
      <c r="EPD23" s="2950"/>
      <c r="EPE23" s="2950"/>
      <c r="EPF23" s="2950"/>
      <c r="EPG23" s="2950"/>
      <c r="EPH23" s="2950"/>
      <c r="EPI23" s="2950"/>
      <c r="EPJ23" s="2950"/>
      <c r="EPK23" s="2950"/>
      <c r="EPL23" s="2950"/>
      <c r="EPM23" s="2950"/>
      <c r="EPN23" s="2950"/>
      <c r="EPO23" s="2950"/>
      <c r="EPP23" s="2950"/>
      <c r="EPQ23" s="2950"/>
      <c r="EPR23" s="2950"/>
      <c r="EPS23" s="2950"/>
      <c r="EPT23" s="2950"/>
      <c r="EPU23" s="2950"/>
      <c r="EPV23" s="2950"/>
      <c r="EPW23" s="2950"/>
      <c r="EPX23" s="2950"/>
      <c r="EPY23" s="2950"/>
      <c r="EPZ23" s="2950"/>
      <c r="EQA23" s="2950"/>
      <c r="EQB23" s="2950"/>
      <c r="EQC23" s="2950"/>
      <c r="EQD23" s="2950"/>
      <c r="EQE23" s="2950"/>
      <c r="EQF23" s="2950"/>
      <c r="EQG23" s="2950"/>
      <c r="EQH23" s="2950"/>
      <c r="EQI23" s="2950"/>
      <c r="EQJ23" s="2950"/>
      <c r="EQK23" s="2950"/>
      <c r="EQL23" s="2950"/>
      <c r="EQM23" s="2950"/>
      <c r="EQN23" s="2950"/>
      <c r="EQO23" s="2950"/>
      <c r="EQP23" s="2950"/>
      <c r="EQQ23" s="2950"/>
      <c r="EQR23" s="2950"/>
      <c r="EQS23" s="2950"/>
      <c r="EQT23" s="2950"/>
      <c r="EQU23" s="2950"/>
      <c r="EQV23" s="2950"/>
      <c r="EQW23" s="2950"/>
      <c r="EQX23" s="2950"/>
      <c r="EQY23" s="2950"/>
      <c r="EQZ23" s="2950"/>
      <c r="ERA23" s="2950"/>
      <c r="ERB23" s="2950"/>
      <c r="ERC23" s="2950"/>
      <c r="ERD23" s="2950"/>
      <c r="ERE23" s="2950"/>
      <c r="ERF23" s="2950"/>
      <c r="ERG23" s="2950"/>
      <c r="ERH23" s="2950"/>
      <c r="ERI23" s="2950"/>
      <c r="ERJ23" s="2950"/>
      <c r="ERK23" s="2950"/>
      <c r="ERL23" s="2950"/>
      <c r="ERM23" s="2950"/>
      <c r="ERN23" s="2950"/>
      <c r="ERO23" s="2950"/>
      <c r="ERP23" s="2950"/>
      <c r="ERQ23" s="2950"/>
      <c r="ERR23" s="2950"/>
      <c r="ERS23" s="2950"/>
      <c r="ERT23" s="2950"/>
      <c r="ERU23" s="2950"/>
      <c r="ERV23" s="2950"/>
      <c r="ERW23" s="2950"/>
      <c r="ERX23" s="2950"/>
      <c r="ERY23" s="2950"/>
      <c r="ERZ23" s="2950"/>
      <c r="ESA23" s="2950"/>
      <c r="ESB23" s="2950"/>
      <c r="ESC23" s="2950"/>
      <c r="ESD23" s="2950"/>
      <c r="ESE23" s="2950"/>
      <c r="ESF23" s="2950"/>
      <c r="ESG23" s="2950"/>
      <c r="ESH23" s="2950"/>
      <c r="ESI23" s="2950"/>
      <c r="ESJ23" s="2950"/>
      <c r="ESK23" s="2950"/>
      <c r="ESL23" s="2950"/>
      <c r="ESM23" s="2950"/>
      <c r="ESN23" s="2950"/>
      <c r="ESO23" s="2950"/>
      <c r="ESP23" s="2950"/>
      <c r="ESQ23" s="2950"/>
      <c r="ESR23" s="2950"/>
      <c r="ESS23" s="2950"/>
      <c r="EST23" s="2950"/>
      <c r="ESU23" s="2950"/>
      <c r="ESV23" s="2950"/>
      <c r="ESW23" s="2950"/>
      <c r="ESX23" s="2950"/>
      <c r="ESY23" s="2950"/>
      <c r="ESZ23" s="2950"/>
      <c r="ETA23" s="2950"/>
      <c r="ETB23" s="2950"/>
      <c r="ETC23" s="2950"/>
      <c r="ETD23" s="2950"/>
      <c r="ETE23" s="2950"/>
      <c r="ETF23" s="2950"/>
      <c r="ETG23" s="2950"/>
      <c r="ETH23" s="2950"/>
      <c r="ETI23" s="2950"/>
      <c r="ETJ23" s="2950"/>
      <c r="ETK23" s="2950"/>
      <c r="ETL23" s="2950"/>
      <c r="ETM23" s="2950"/>
      <c r="ETN23" s="2950"/>
      <c r="ETO23" s="2950"/>
      <c r="ETP23" s="2950"/>
      <c r="ETQ23" s="2950"/>
      <c r="ETR23" s="2950"/>
      <c r="ETS23" s="2950"/>
      <c r="ETT23" s="2950"/>
      <c r="ETU23" s="2950"/>
      <c r="ETV23" s="2950"/>
      <c r="ETW23" s="2950"/>
      <c r="ETX23" s="2950"/>
      <c r="ETY23" s="2950"/>
      <c r="ETZ23" s="2950"/>
      <c r="EUA23" s="2950"/>
      <c r="EUB23" s="2950"/>
      <c r="EUC23" s="2950"/>
      <c r="EUD23" s="2950"/>
      <c r="EUE23" s="2950"/>
      <c r="EUF23" s="2950"/>
      <c r="EUG23" s="2950"/>
      <c r="EUH23" s="2950"/>
      <c r="EUI23" s="2950"/>
      <c r="EUJ23" s="2950"/>
      <c r="EUK23" s="2950"/>
      <c r="EUL23" s="2950"/>
      <c r="EUM23" s="2950"/>
      <c r="EUN23" s="2950"/>
      <c r="EUO23" s="2950"/>
      <c r="EUP23" s="2950"/>
      <c r="EUQ23" s="2950"/>
      <c r="EUR23" s="2950"/>
      <c r="EUS23" s="2950"/>
      <c r="EUT23" s="2950"/>
      <c r="EUU23" s="2950"/>
      <c r="EUV23" s="2950"/>
      <c r="EUW23" s="2950"/>
      <c r="EUX23" s="2950"/>
      <c r="EUY23" s="2950"/>
      <c r="EUZ23" s="2950"/>
      <c r="EVA23" s="2950"/>
      <c r="EVB23" s="2950"/>
      <c r="EVC23" s="2950"/>
      <c r="EVD23" s="2950"/>
      <c r="EVE23" s="2950"/>
      <c r="EVF23" s="2950"/>
      <c r="EVG23" s="2950"/>
      <c r="EVH23" s="2950"/>
      <c r="EVI23" s="2950"/>
      <c r="EVJ23" s="2950"/>
      <c r="EVK23" s="2950"/>
      <c r="EVL23" s="2950"/>
      <c r="EVM23" s="2950"/>
      <c r="EVN23" s="2950"/>
      <c r="EVO23" s="2950"/>
      <c r="EVP23" s="2950"/>
      <c r="EVQ23" s="2950"/>
      <c r="EVR23" s="2950"/>
      <c r="EVS23" s="2950"/>
      <c r="EVT23" s="2950"/>
      <c r="EVU23" s="2950"/>
      <c r="EVV23" s="2950"/>
      <c r="EVW23" s="2950"/>
      <c r="EVX23" s="2950"/>
      <c r="EVY23" s="2950"/>
      <c r="EVZ23" s="2950"/>
      <c r="EWA23" s="2950"/>
      <c r="EWB23" s="2950"/>
      <c r="EWC23" s="2950"/>
      <c r="EWD23" s="2950"/>
      <c r="EWE23" s="2950"/>
      <c r="EWF23" s="2950"/>
      <c r="EWG23" s="2950"/>
      <c r="EWH23" s="2950"/>
      <c r="EWI23" s="2950"/>
      <c r="EWJ23" s="2950"/>
      <c r="EWK23" s="2950"/>
      <c r="EWL23" s="2950"/>
      <c r="EWM23" s="2950"/>
      <c r="EWN23" s="2950"/>
      <c r="EWO23" s="2950"/>
      <c r="EWP23" s="2950"/>
      <c r="EWQ23" s="2950"/>
      <c r="EWR23" s="2950"/>
      <c r="EWS23" s="2950"/>
      <c r="EWT23" s="2950"/>
      <c r="EWU23" s="2950"/>
      <c r="EWV23" s="2950"/>
      <c r="EWW23" s="2950"/>
      <c r="EWX23" s="2950"/>
      <c r="EWY23" s="2950"/>
      <c r="EWZ23" s="2950"/>
      <c r="EXA23" s="2950"/>
      <c r="EXB23" s="2950"/>
      <c r="EXC23" s="2950"/>
      <c r="EXD23" s="2950"/>
      <c r="EXE23" s="2950"/>
      <c r="EXF23" s="2950"/>
      <c r="EXG23" s="2950"/>
      <c r="EXH23" s="2950"/>
      <c r="EXI23" s="2950"/>
      <c r="EXJ23" s="2950"/>
      <c r="EXK23" s="2950"/>
      <c r="EXL23" s="2950"/>
      <c r="EXM23" s="2950"/>
      <c r="EXN23" s="2950"/>
      <c r="EXO23" s="2950"/>
      <c r="EXP23" s="2950"/>
      <c r="EXQ23" s="2950"/>
      <c r="EXR23" s="2950"/>
      <c r="EXS23" s="2950"/>
      <c r="EXT23" s="2950"/>
      <c r="EXU23" s="2950"/>
      <c r="EXV23" s="2950"/>
      <c r="EXW23" s="2950"/>
      <c r="EXX23" s="2950"/>
      <c r="EXY23" s="2950"/>
      <c r="EXZ23" s="2950"/>
      <c r="EYA23" s="2950"/>
      <c r="EYB23" s="2950"/>
      <c r="EYC23" s="2950"/>
      <c r="EYD23" s="2950"/>
      <c r="EYE23" s="2950"/>
      <c r="EYF23" s="2950"/>
      <c r="EYG23" s="2950"/>
      <c r="EYH23" s="2950"/>
      <c r="EYI23" s="2950"/>
      <c r="EYJ23" s="2950"/>
      <c r="EYK23" s="2950"/>
      <c r="EYL23" s="2950"/>
      <c r="EYM23" s="2950"/>
      <c r="EYN23" s="2950"/>
      <c r="EYO23" s="2950"/>
      <c r="EYP23" s="2950"/>
      <c r="EYQ23" s="2950"/>
      <c r="EYR23" s="2950"/>
      <c r="EYS23" s="2950"/>
      <c r="EYT23" s="2950"/>
      <c r="EYU23" s="2950"/>
      <c r="EYV23" s="2950"/>
      <c r="EYW23" s="2950"/>
      <c r="EYX23" s="2950"/>
      <c r="EYY23" s="2950"/>
      <c r="EYZ23" s="2950"/>
      <c r="EZA23" s="2950"/>
      <c r="EZB23" s="2950"/>
      <c r="EZC23" s="2950"/>
      <c r="EZD23" s="2950"/>
      <c r="EZE23" s="2950"/>
      <c r="EZF23" s="2950"/>
      <c r="EZG23" s="2950"/>
      <c r="EZH23" s="2950"/>
      <c r="EZI23" s="2950"/>
      <c r="EZJ23" s="2950"/>
      <c r="EZK23" s="2950"/>
      <c r="EZL23" s="2950"/>
      <c r="EZM23" s="2950"/>
      <c r="EZN23" s="2950"/>
      <c r="EZO23" s="2950"/>
      <c r="EZP23" s="2950"/>
      <c r="EZQ23" s="2950"/>
      <c r="EZR23" s="2950"/>
      <c r="EZS23" s="2950"/>
      <c r="EZT23" s="2950"/>
      <c r="EZU23" s="2950"/>
      <c r="EZV23" s="2950"/>
      <c r="EZW23" s="2950"/>
      <c r="EZX23" s="2950"/>
      <c r="EZY23" s="2950"/>
      <c r="EZZ23" s="2950"/>
      <c r="FAA23" s="2950"/>
      <c r="FAB23" s="2950"/>
      <c r="FAC23" s="2950"/>
      <c r="FAD23" s="2950"/>
      <c r="FAE23" s="2950"/>
      <c r="FAF23" s="2950"/>
      <c r="FAG23" s="2950"/>
      <c r="FAH23" s="2950"/>
      <c r="FAI23" s="2950"/>
      <c r="FAJ23" s="2950"/>
      <c r="FAK23" s="2950"/>
      <c r="FAL23" s="2950"/>
      <c r="FAM23" s="2950"/>
      <c r="FAN23" s="2950"/>
      <c r="FAO23" s="2950"/>
      <c r="FAP23" s="2950"/>
      <c r="FAQ23" s="2950"/>
      <c r="FAR23" s="2950"/>
      <c r="FAS23" s="2950"/>
      <c r="FAT23" s="2950"/>
      <c r="FAU23" s="2950"/>
      <c r="FAV23" s="2950"/>
      <c r="FAW23" s="2950"/>
      <c r="FAX23" s="2950"/>
      <c r="FAY23" s="2950"/>
      <c r="FAZ23" s="2950"/>
      <c r="FBA23" s="2950"/>
      <c r="FBB23" s="2950"/>
      <c r="FBC23" s="2950"/>
      <c r="FBD23" s="2950"/>
      <c r="FBE23" s="2950"/>
      <c r="FBF23" s="2950"/>
      <c r="FBG23" s="2950"/>
      <c r="FBH23" s="2950"/>
      <c r="FBI23" s="2950"/>
      <c r="FBJ23" s="2950"/>
      <c r="FBK23" s="2950"/>
      <c r="FBL23" s="2950"/>
      <c r="FBM23" s="2950"/>
      <c r="FBN23" s="2950"/>
      <c r="FBO23" s="2950"/>
      <c r="FBP23" s="2950"/>
      <c r="FBQ23" s="2950"/>
      <c r="FBR23" s="2950"/>
      <c r="FBS23" s="2950"/>
      <c r="FBT23" s="2950"/>
      <c r="FBU23" s="2950"/>
      <c r="FBV23" s="2950"/>
      <c r="FBW23" s="2950"/>
      <c r="FBX23" s="2950"/>
      <c r="FBY23" s="2950"/>
      <c r="FBZ23" s="2950"/>
      <c r="FCA23" s="2950"/>
      <c r="FCB23" s="2950"/>
      <c r="FCC23" s="2950"/>
      <c r="FCD23" s="2950"/>
      <c r="FCE23" s="2950"/>
      <c r="FCF23" s="2950"/>
      <c r="FCG23" s="2950"/>
      <c r="FCH23" s="2950"/>
      <c r="FCI23" s="2950"/>
      <c r="FCJ23" s="2950"/>
      <c r="FCK23" s="2950"/>
      <c r="FCL23" s="2950"/>
      <c r="FCM23" s="2950"/>
      <c r="FCN23" s="2950"/>
      <c r="FCO23" s="2950"/>
      <c r="FCP23" s="2950"/>
      <c r="FCQ23" s="2950"/>
      <c r="FCR23" s="2950"/>
      <c r="FCS23" s="2950"/>
      <c r="FCT23" s="2950"/>
      <c r="FCU23" s="2950"/>
      <c r="FCV23" s="2950"/>
      <c r="FCW23" s="2950"/>
      <c r="FCX23" s="2950"/>
      <c r="FCY23" s="2950"/>
      <c r="FCZ23" s="2950"/>
      <c r="FDA23" s="2950"/>
      <c r="FDB23" s="2950"/>
      <c r="FDC23" s="2950"/>
      <c r="FDD23" s="2950"/>
      <c r="FDE23" s="2950"/>
      <c r="FDF23" s="2950"/>
      <c r="FDG23" s="2950"/>
      <c r="FDH23" s="2950"/>
      <c r="FDI23" s="2950"/>
      <c r="FDJ23" s="2950"/>
      <c r="FDK23" s="2950"/>
      <c r="FDL23" s="2950"/>
      <c r="FDM23" s="2950"/>
      <c r="FDN23" s="2950"/>
      <c r="FDO23" s="2950"/>
      <c r="FDP23" s="2950"/>
      <c r="FDQ23" s="2950"/>
      <c r="FDR23" s="2950"/>
      <c r="FDS23" s="2950"/>
      <c r="FDT23" s="2950"/>
      <c r="FDU23" s="2950"/>
      <c r="FDV23" s="2950"/>
      <c r="FDW23" s="2950"/>
      <c r="FDX23" s="2950"/>
      <c r="FDY23" s="2950"/>
      <c r="FDZ23" s="2950"/>
      <c r="FEA23" s="2950"/>
      <c r="FEB23" s="2950"/>
      <c r="FEC23" s="2950"/>
      <c r="FED23" s="2950"/>
      <c r="FEE23" s="2950"/>
      <c r="FEF23" s="2950"/>
      <c r="FEG23" s="2950"/>
      <c r="FEH23" s="2950"/>
      <c r="FEI23" s="2950"/>
      <c r="FEJ23" s="2950"/>
      <c r="FEK23" s="2950"/>
      <c r="FEL23" s="2950"/>
      <c r="FEM23" s="2950"/>
      <c r="FEN23" s="2950"/>
      <c r="FEO23" s="2950"/>
      <c r="FEP23" s="2950"/>
      <c r="FEQ23" s="2950"/>
      <c r="FER23" s="2950"/>
      <c r="FES23" s="2950"/>
      <c r="FET23" s="2950"/>
      <c r="FEU23" s="2950"/>
      <c r="FEV23" s="2950"/>
      <c r="FEW23" s="2950"/>
      <c r="FEX23" s="2950"/>
      <c r="FEY23" s="2950"/>
      <c r="FEZ23" s="2950"/>
      <c r="FFA23" s="2950"/>
      <c r="FFB23" s="2950"/>
      <c r="FFC23" s="2950"/>
      <c r="FFD23" s="2950"/>
      <c r="FFE23" s="2950"/>
      <c r="FFF23" s="2950"/>
      <c r="FFG23" s="2950"/>
      <c r="FFH23" s="2950"/>
      <c r="FFI23" s="2950"/>
      <c r="FFJ23" s="2950"/>
      <c r="FFK23" s="2950"/>
      <c r="FFL23" s="2950"/>
      <c r="FFM23" s="2950"/>
      <c r="FFN23" s="2950"/>
      <c r="FFO23" s="2950"/>
      <c r="FFP23" s="2950"/>
      <c r="FFQ23" s="2950"/>
      <c r="FFR23" s="2950"/>
      <c r="FFS23" s="2950"/>
      <c r="FFT23" s="2950"/>
      <c r="FFU23" s="2950"/>
      <c r="FFV23" s="2950"/>
      <c r="FFW23" s="2950"/>
      <c r="FFX23" s="2950"/>
      <c r="FFY23" s="2950"/>
      <c r="FFZ23" s="2950"/>
      <c r="FGA23" s="2950"/>
      <c r="FGB23" s="2950"/>
      <c r="FGC23" s="2950"/>
      <c r="FGD23" s="2950"/>
      <c r="FGE23" s="2950"/>
      <c r="FGF23" s="2950"/>
      <c r="FGG23" s="2950"/>
      <c r="FGH23" s="2950"/>
      <c r="FGI23" s="2950"/>
      <c r="FGJ23" s="2950"/>
      <c r="FGK23" s="2950"/>
      <c r="FGL23" s="2950"/>
      <c r="FGM23" s="2950"/>
      <c r="FGN23" s="2950"/>
      <c r="FGO23" s="2950"/>
      <c r="FGP23" s="2950"/>
      <c r="FGQ23" s="2950"/>
      <c r="FGR23" s="2950"/>
      <c r="FGS23" s="2950"/>
      <c r="FGT23" s="2950"/>
      <c r="FGU23" s="2950"/>
      <c r="FGV23" s="2950"/>
      <c r="FGW23" s="2950"/>
      <c r="FGX23" s="2950"/>
      <c r="FGY23" s="2950"/>
      <c r="FGZ23" s="2950"/>
      <c r="FHA23" s="2950"/>
      <c r="FHB23" s="2950"/>
      <c r="FHC23" s="2950"/>
      <c r="FHD23" s="2950"/>
      <c r="FHE23" s="2950"/>
      <c r="FHF23" s="2950"/>
      <c r="FHG23" s="2950"/>
      <c r="FHH23" s="2950"/>
      <c r="FHI23" s="2950"/>
      <c r="FHJ23" s="2950"/>
      <c r="FHK23" s="2950"/>
      <c r="FHL23" s="2950"/>
      <c r="FHM23" s="2950"/>
      <c r="FHN23" s="2950"/>
      <c r="FHO23" s="2950"/>
      <c r="FHP23" s="2950"/>
      <c r="FHQ23" s="2950"/>
      <c r="FHR23" s="2950"/>
      <c r="FHS23" s="2950"/>
      <c r="FHT23" s="2950"/>
      <c r="FHU23" s="2950"/>
      <c r="FHV23" s="2950"/>
      <c r="FHW23" s="2950"/>
      <c r="FHX23" s="2950"/>
      <c r="FHY23" s="2950"/>
      <c r="FHZ23" s="2950"/>
      <c r="FIA23" s="2950"/>
      <c r="FIB23" s="2950"/>
      <c r="FIC23" s="2950"/>
      <c r="FID23" s="2950"/>
      <c r="FIE23" s="2950"/>
      <c r="FIF23" s="2950"/>
      <c r="FIG23" s="2950"/>
      <c r="FIH23" s="2950"/>
      <c r="FII23" s="2950"/>
      <c r="FIJ23" s="2950"/>
      <c r="FIK23" s="2950"/>
      <c r="FIL23" s="2950"/>
      <c r="FIM23" s="2950"/>
      <c r="FIN23" s="2950"/>
      <c r="FIO23" s="2950"/>
      <c r="FIP23" s="2950"/>
      <c r="FIQ23" s="2950"/>
      <c r="FIR23" s="2950"/>
      <c r="FIS23" s="2950"/>
      <c r="FIT23" s="2950"/>
      <c r="FIU23" s="2950"/>
      <c r="FIV23" s="2950"/>
      <c r="FIW23" s="2950"/>
      <c r="FIX23" s="2950"/>
      <c r="FIY23" s="2950"/>
      <c r="FIZ23" s="2950"/>
      <c r="FJA23" s="2950"/>
      <c r="FJB23" s="2950"/>
      <c r="FJC23" s="2950"/>
      <c r="FJD23" s="2950"/>
      <c r="FJE23" s="2950"/>
      <c r="FJF23" s="2950"/>
      <c r="FJG23" s="2950"/>
      <c r="FJH23" s="2950"/>
      <c r="FJI23" s="2950"/>
      <c r="FJJ23" s="2950"/>
      <c r="FJK23" s="2950"/>
      <c r="FJL23" s="2950"/>
      <c r="FJM23" s="2950"/>
      <c r="FJN23" s="2950"/>
      <c r="FJO23" s="2950"/>
      <c r="FJP23" s="2950"/>
      <c r="FJQ23" s="2950"/>
      <c r="FJR23" s="2950"/>
      <c r="FJS23" s="2950"/>
      <c r="FJT23" s="2950"/>
      <c r="FJU23" s="2950"/>
      <c r="FJV23" s="2950"/>
      <c r="FJW23" s="2950"/>
      <c r="FJX23" s="2950"/>
      <c r="FJY23" s="2950"/>
      <c r="FJZ23" s="2950"/>
      <c r="FKA23" s="2950"/>
      <c r="FKB23" s="2950"/>
      <c r="FKC23" s="2950"/>
      <c r="FKD23" s="2950"/>
      <c r="FKE23" s="2950"/>
      <c r="FKF23" s="2950"/>
      <c r="FKG23" s="2950"/>
      <c r="FKH23" s="2950"/>
      <c r="FKI23" s="2950"/>
      <c r="FKJ23" s="2950"/>
      <c r="FKK23" s="2950"/>
      <c r="FKL23" s="2950"/>
      <c r="FKM23" s="2950"/>
      <c r="FKN23" s="2950"/>
      <c r="FKO23" s="2950"/>
      <c r="FKP23" s="2950"/>
      <c r="FKQ23" s="2950"/>
      <c r="FKR23" s="2950"/>
      <c r="FKS23" s="2950"/>
      <c r="FKT23" s="2950"/>
      <c r="FKU23" s="2950"/>
      <c r="FKV23" s="2950"/>
      <c r="FKW23" s="2950"/>
      <c r="FKX23" s="2950"/>
      <c r="FKY23" s="2950"/>
      <c r="FKZ23" s="2950"/>
      <c r="FLA23" s="2950"/>
      <c r="FLB23" s="2950"/>
      <c r="FLC23" s="2950"/>
      <c r="FLD23" s="2950"/>
      <c r="FLE23" s="2950"/>
      <c r="FLF23" s="2950"/>
      <c r="FLG23" s="2950"/>
      <c r="FLH23" s="2950"/>
      <c r="FLI23" s="2950"/>
      <c r="FLJ23" s="2950"/>
      <c r="FLK23" s="2950"/>
      <c r="FLL23" s="2950"/>
      <c r="FLM23" s="2950"/>
      <c r="FLN23" s="2950"/>
      <c r="FLO23" s="2950"/>
      <c r="FLP23" s="2950"/>
      <c r="FLQ23" s="2950"/>
      <c r="FLR23" s="2950"/>
      <c r="FLS23" s="2950"/>
      <c r="FLT23" s="2950"/>
      <c r="FLU23" s="2950"/>
      <c r="FLV23" s="2950"/>
      <c r="FLW23" s="2950"/>
      <c r="FLX23" s="2950"/>
      <c r="FLY23" s="2950"/>
      <c r="FLZ23" s="2950"/>
      <c r="FMA23" s="2950"/>
      <c r="FMB23" s="2950"/>
      <c r="FMC23" s="2950"/>
      <c r="FMD23" s="2950"/>
      <c r="FME23" s="2950"/>
      <c r="FMF23" s="2950"/>
      <c r="FMG23" s="2950"/>
      <c r="FMH23" s="2950"/>
      <c r="FMI23" s="2950"/>
      <c r="FMJ23" s="2950"/>
      <c r="FMK23" s="2950"/>
      <c r="FML23" s="2950"/>
      <c r="FMM23" s="2950"/>
      <c r="FMN23" s="2950"/>
      <c r="FMO23" s="2950"/>
      <c r="FMP23" s="2950"/>
      <c r="FMQ23" s="2950"/>
      <c r="FMR23" s="2950"/>
      <c r="FMS23" s="2950"/>
      <c r="FMT23" s="2950"/>
      <c r="FMU23" s="2950"/>
      <c r="FMV23" s="2950"/>
      <c r="FMW23" s="2950"/>
      <c r="FMX23" s="2950"/>
      <c r="FMY23" s="2950"/>
      <c r="FMZ23" s="2950"/>
      <c r="FNA23" s="2950"/>
      <c r="FNB23" s="2950"/>
      <c r="FNC23" s="2950"/>
      <c r="FND23" s="2950"/>
      <c r="FNE23" s="2950"/>
      <c r="FNF23" s="2950"/>
      <c r="FNG23" s="2950"/>
      <c r="FNH23" s="2950"/>
      <c r="FNI23" s="2950"/>
      <c r="FNJ23" s="2950"/>
      <c r="FNK23" s="2950"/>
      <c r="FNL23" s="2950"/>
      <c r="FNM23" s="2950"/>
      <c r="FNN23" s="2950"/>
      <c r="FNO23" s="2950"/>
      <c r="FNP23" s="2950"/>
      <c r="FNQ23" s="2950"/>
      <c r="FNR23" s="2950"/>
      <c r="FNS23" s="2950"/>
      <c r="FNT23" s="2950"/>
      <c r="FNU23" s="2950"/>
      <c r="FNV23" s="2950"/>
      <c r="FNW23" s="2950"/>
      <c r="FNX23" s="2950"/>
      <c r="FNY23" s="2950"/>
      <c r="FNZ23" s="2950"/>
      <c r="FOA23" s="2950"/>
      <c r="FOB23" s="2950"/>
      <c r="FOC23" s="2950"/>
      <c r="FOD23" s="2950"/>
      <c r="FOE23" s="2950"/>
      <c r="FOF23" s="2950"/>
      <c r="FOG23" s="2950"/>
      <c r="FOH23" s="2950"/>
      <c r="FOI23" s="2950"/>
      <c r="FOJ23" s="2950"/>
      <c r="FOK23" s="2950"/>
      <c r="FOL23" s="2950"/>
      <c r="FOM23" s="2950"/>
      <c r="FON23" s="2950"/>
      <c r="FOO23" s="2950"/>
      <c r="FOP23" s="2950"/>
      <c r="FOQ23" s="2950"/>
      <c r="FOR23" s="2950"/>
      <c r="FOS23" s="2950"/>
      <c r="FOT23" s="2950"/>
      <c r="FOU23" s="2950"/>
      <c r="FOV23" s="2950"/>
      <c r="FOW23" s="2950"/>
      <c r="FOX23" s="2950"/>
      <c r="FOY23" s="2950"/>
      <c r="FOZ23" s="2950"/>
      <c r="FPA23" s="2950"/>
      <c r="FPB23" s="2950"/>
      <c r="FPC23" s="2950"/>
      <c r="FPD23" s="2950"/>
      <c r="FPE23" s="2950"/>
      <c r="FPF23" s="2950"/>
      <c r="FPG23" s="2950"/>
      <c r="FPH23" s="2950"/>
      <c r="FPI23" s="2950"/>
      <c r="FPJ23" s="2950"/>
      <c r="FPK23" s="2950"/>
      <c r="FPL23" s="2950"/>
      <c r="FPM23" s="2950"/>
      <c r="FPN23" s="2950"/>
      <c r="FPO23" s="2950"/>
      <c r="FPP23" s="2950"/>
      <c r="FPQ23" s="2950"/>
      <c r="FPR23" s="2950"/>
      <c r="FPS23" s="2950"/>
      <c r="FPT23" s="2950"/>
      <c r="FPU23" s="2950"/>
      <c r="FPV23" s="2950"/>
      <c r="FPW23" s="2950"/>
      <c r="FPX23" s="2950"/>
      <c r="FPY23" s="2950"/>
      <c r="FPZ23" s="2950"/>
      <c r="FQA23" s="2950"/>
      <c r="FQB23" s="2950"/>
      <c r="FQC23" s="2950"/>
      <c r="FQD23" s="2950"/>
      <c r="FQE23" s="2950"/>
      <c r="FQF23" s="2950"/>
      <c r="FQG23" s="2950"/>
      <c r="FQH23" s="2950"/>
      <c r="FQI23" s="2950"/>
      <c r="FQJ23" s="2950"/>
      <c r="FQK23" s="2950"/>
      <c r="FQL23" s="2950"/>
      <c r="FQM23" s="2950"/>
      <c r="FQN23" s="2950"/>
      <c r="FQO23" s="2950"/>
      <c r="FQP23" s="2950"/>
      <c r="FQQ23" s="2950"/>
      <c r="FQR23" s="2950"/>
      <c r="FQS23" s="2950"/>
      <c r="FQT23" s="2950"/>
      <c r="FQU23" s="2950"/>
      <c r="FQV23" s="2950"/>
      <c r="FQW23" s="2950"/>
      <c r="FQX23" s="2950"/>
      <c r="FQY23" s="2950"/>
      <c r="FQZ23" s="2950"/>
      <c r="FRA23" s="2950"/>
      <c r="FRB23" s="2950"/>
      <c r="FRC23" s="2950"/>
      <c r="FRD23" s="2950"/>
      <c r="FRE23" s="2950"/>
      <c r="FRF23" s="2950"/>
      <c r="FRG23" s="2950"/>
      <c r="FRH23" s="2950"/>
      <c r="FRI23" s="2950"/>
      <c r="FRJ23" s="2950"/>
      <c r="FRK23" s="2950"/>
      <c r="FRL23" s="2950"/>
      <c r="FRM23" s="2950"/>
      <c r="FRN23" s="2950"/>
      <c r="FRO23" s="2950"/>
      <c r="FRP23" s="2950"/>
      <c r="FRQ23" s="2950"/>
      <c r="FRR23" s="2950"/>
      <c r="FRS23" s="2950"/>
      <c r="FRT23" s="2950"/>
      <c r="FRU23" s="2950"/>
      <c r="FRV23" s="2950"/>
      <c r="FRW23" s="2950"/>
      <c r="FRX23" s="2950"/>
      <c r="FRY23" s="2950"/>
      <c r="FRZ23" s="2950"/>
      <c r="FSA23" s="2950"/>
      <c r="FSB23" s="2950"/>
      <c r="FSC23" s="2950"/>
      <c r="FSD23" s="2950"/>
      <c r="FSE23" s="2950"/>
      <c r="FSF23" s="2950"/>
      <c r="FSG23" s="2950"/>
      <c r="FSH23" s="2950"/>
      <c r="FSI23" s="2950"/>
      <c r="FSJ23" s="2950"/>
      <c r="FSK23" s="2950"/>
      <c r="FSL23" s="2950"/>
      <c r="FSM23" s="2950"/>
      <c r="FSN23" s="2950"/>
      <c r="FSO23" s="2950"/>
      <c r="FSP23" s="2950"/>
      <c r="FSQ23" s="2950"/>
      <c r="FSR23" s="2950"/>
      <c r="FSS23" s="2950"/>
      <c r="FST23" s="2950"/>
      <c r="FSU23" s="2950"/>
      <c r="FSV23" s="2950"/>
      <c r="FSW23" s="2950"/>
      <c r="FSX23" s="2950"/>
      <c r="FSY23" s="2950"/>
      <c r="FSZ23" s="2950"/>
      <c r="FTA23" s="2950"/>
      <c r="FTB23" s="2950"/>
      <c r="FTC23" s="2950"/>
      <c r="FTD23" s="2950"/>
      <c r="FTE23" s="2950"/>
      <c r="FTF23" s="2950"/>
      <c r="FTG23" s="2950"/>
      <c r="FTH23" s="2950"/>
      <c r="FTI23" s="2950"/>
      <c r="FTJ23" s="2950"/>
      <c r="FTK23" s="2950"/>
      <c r="FTL23" s="2950"/>
      <c r="FTM23" s="2950"/>
      <c r="FTN23" s="2950"/>
      <c r="FTO23" s="2950"/>
      <c r="FTP23" s="2950"/>
      <c r="FTQ23" s="2950"/>
      <c r="FTR23" s="2950"/>
      <c r="FTS23" s="2950"/>
      <c r="FTT23" s="2950"/>
      <c r="FTU23" s="2950"/>
      <c r="FTV23" s="2950"/>
      <c r="FTW23" s="2950"/>
      <c r="FTX23" s="2950"/>
      <c r="FTY23" s="2950"/>
      <c r="FTZ23" s="2950"/>
      <c r="FUA23" s="2950"/>
      <c r="FUB23" s="2950"/>
      <c r="FUC23" s="2950"/>
      <c r="FUD23" s="2950"/>
      <c r="FUE23" s="2950"/>
      <c r="FUF23" s="2950"/>
      <c r="FUG23" s="2950"/>
      <c r="FUH23" s="2950"/>
      <c r="FUI23" s="2950"/>
      <c r="FUJ23" s="2950"/>
      <c r="FUK23" s="2950"/>
      <c r="FUL23" s="2950"/>
      <c r="FUM23" s="2950"/>
      <c r="FUN23" s="2950"/>
      <c r="FUO23" s="2950"/>
      <c r="FUP23" s="2950"/>
      <c r="FUQ23" s="2950"/>
      <c r="FUR23" s="2950"/>
      <c r="FUS23" s="2950"/>
      <c r="FUT23" s="2950"/>
      <c r="FUU23" s="2950"/>
      <c r="FUV23" s="2950"/>
      <c r="FUW23" s="2950"/>
      <c r="FUX23" s="2950"/>
      <c r="FUY23" s="2950"/>
      <c r="FUZ23" s="2950"/>
      <c r="FVA23" s="2950"/>
      <c r="FVB23" s="2950"/>
      <c r="FVC23" s="2950"/>
      <c r="FVD23" s="2950"/>
      <c r="FVE23" s="2950"/>
      <c r="FVF23" s="2950"/>
      <c r="FVG23" s="2950"/>
      <c r="FVH23" s="2950"/>
      <c r="FVI23" s="2950"/>
      <c r="FVJ23" s="2950"/>
      <c r="FVK23" s="2950"/>
      <c r="FVL23" s="2950"/>
      <c r="FVM23" s="2950"/>
      <c r="FVN23" s="2950"/>
      <c r="FVO23" s="2950"/>
      <c r="FVP23" s="2950"/>
      <c r="FVQ23" s="2950"/>
      <c r="FVR23" s="2950"/>
      <c r="FVS23" s="2950"/>
      <c r="FVT23" s="2950"/>
      <c r="FVU23" s="2950"/>
      <c r="FVV23" s="2950"/>
      <c r="FVW23" s="2950"/>
      <c r="FVX23" s="2950"/>
      <c r="FVY23" s="2950"/>
      <c r="FVZ23" s="2950"/>
      <c r="FWA23" s="2950"/>
      <c r="FWB23" s="2950"/>
      <c r="FWC23" s="2950"/>
      <c r="FWD23" s="2950"/>
      <c r="FWE23" s="2950"/>
      <c r="FWF23" s="2950"/>
      <c r="FWG23" s="2950"/>
      <c r="FWH23" s="2950"/>
      <c r="FWI23" s="2950"/>
      <c r="FWJ23" s="2950"/>
      <c r="FWK23" s="2950"/>
      <c r="FWL23" s="2950"/>
      <c r="FWM23" s="2950"/>
      <c r="FWN23" s="2950"/>
      <c r="FWO23" s="2950"/>
      <c r="FWP23" s="2950"/>
      <c r="FWQ23" s="2950"/>
      <c r="FWR23" s="2950"/>
      <c r="FWS23" s="2950"/>
      <c r="FWT23" s="2950"/>
      <c r="FWU23" s="2950"/>
      <c r="FWV23" s="2950"/>
      <c r="FWW23" s="2950"/>
      <c r="FWX23" s="2950"/>
      <c r="FWY23" s="2950"/>
      <c r="FWZ23" s="2950"/>
      <c r="FXA23" s="2950"/>
      <c r="FXB23" s="2950"/>
      <c r="FXC23" s="2950"/>
      <c r="FXD23" s="2950"/>
      <c r="FXE23" s="2950"/>
      <c r="FXF23" s="2950"/>
      <c r="FXG23" s="2950"/>
      <c r="FXH23" s="2950"/>
      <c r="FXI23" s="2950"/>
      <c r="FXJ23" s="2950"/>
      <c r="FXK23" s="2950"/>
      <c r="FXL23" s="2950"/>
      <c r="FXM23" s="2950"/>
      <c r="FXN23" s="2950"/>
      <c r="FXO23" s="2950"/>
      <c r="FXP23" s="2950"/>
      <c r="FXQ23" s="2950"/>
      <c r="FXR23" s="2950"/>
      <c r="FXS23" s="2950"/>
      <c r="FXT23" s="2950"/>
      <c r="FXU23" s="2950"/>
      <c r="FXV23" s="2950"/>
      <c r="FXW23" s="2950"/>
      <c r="FXX23" s="2950"/>
      <c r="FXY23" s="2950"/>
      <c r="FXZ23" s="2950"/>
      <c r="FYA23" s="2950"/>
      <c r="FYB23" s="2950"/>
      <c r="FYC23" s="2950"/>
      <c r="FYD23" s="2950"/>
      <c r="FYE23" s="2950"/>
      <c r="FYF23" s="2950"/>
      <c r="FYG23" s="2950"/>
      <c r="FYH23" s="2950"/>
      <c r="FYI23" s="2950"/>
      <c r="FYJ23" s="2950"/>
      <c r="FYK23" s="2950"/>
      <c r="FYL23" s="2950"/>
      <c r="FYM23" s="2950"/>
      <c r="FYN23" s="2950"/>
      <c r="FYO23" s="2950"/>
      <c r="FYP23" s="2950"/>
      <c r="FYQ23" s="2950"/>
      <c r="FYR23" s="2950"/>
      <c r="FYS23" s="2950"/>
      <c r="FYT23" s="2950"/>
      <c r="FYU23" s="2950"/>
      <c r="FYV23" s="2950"/>
      <c r="FYW23" s="2950"/>
      <c r="FYX23" s="2950"/>
      <c r="FYY23" s="2950"/>
      <c r="FYZ23" s="2950"/>
      <c r="FZA23" s="2950"/>
      <c r="FZB23" s="2950"/>
      <c r="FZC23" s="2950"/>
      <c r="FZD23" s="2950"/>
      <c r="FZE23" s="2950"/>
      <c r="FZF23" s="2950"/>
      <c r="FZG23" s="2950"/>
      <c r="FZH23" s="2950"/>
      <c r="FZI23" s="2950"/>
      <c r="FZJ23" s="2950"/>
      <c r="FZK23" s="2950"/>
      <c r="FZL23" s="2950"/>
      <c r="FZM23" s="2950"/>
      <c r="FZN23" s="2950"/>
      <c r="FZO23" s="2950"/>
      <c r="FZP23" s="2950"/>
      <c r="FZQ23" s="2950"/>
      <c r="FZR23" s="2950"/>
      <c r="FZS23" s="2950"/>
      <c r="FZT23" s="2950"/>
      <c r="FZU23" s="2950"/>
      <c r="FZV23" s="2950"/>
      <c r="FZW23" s="2950"/>
      <c r="FZX23" s="2950"/>
      <c r="FZY23" s="2950"/>
      <c r="FZZ23" s="2950"/>
      <c r="GAA23" s="2950"/>
      <c r="GAB23" s="2950"/>
      <c r="GAC23" s="2950"/>
      <c r="GAD23" s="2950"/>
      <c r="GAE23" s="2950"/>
      <c r="GAF23" s="2950"/>
      <c r="GAG23" s="2950"/>
      <c r="GAH23" s="2950"/>
      <c r="GAI23" s="2950"/>
      <c r="GAJ23" s="2950"/>
      <c r="GAK23" s="2950"/>
      <c r="GAL23" s="2950"/>
      <c r="GAM23" s="2950"/>
      <c r="GAN23" s="2950"/>
      <c r="GAO23" s="2950"/>
      <c r="GAP23" s="2950"/>
      <c r="GAQ23" s="2950"/>
      <c r="GAR23" s="2950"/>
      <c r="GAS23" s="2950"/>
      <c r="GAT23" s="2950"/>
      <c r="GAU23" s="2950"/>
      <c r="GAV23" s="2950"/>
      <c r="GAW23" s="2950"/>
      <c r="GAX23" s="2950"/>
      <c r="GAY23" s="2950"/>
      <c r="GAZ23" s="2950"/>
      <c r="GBA23" s="2950"/>
      <c r="GBB23" s="2950"/>
      <c r="GBC23" s="2950"/>
      <c r="GBD23" s="2950"/>
      <c r="GBE23" s="2950"/>
      <c r="GBF23" s="2950"/>
      <c r="GBG23" s="2950"/>
      <c r="GBH23" s="2950"/>
      <c r="GBI23" s="2950"/>
      <c r="GBJ23" s="2950"/>
      <c r="GBK23" s="2950"/>
      <c r="GBL23" s="2950"/>
      <c r="GBM23" s="2950"/>
      <c r="GBN23" s="2950"/>
      <c r="GBO23" s="2950"/>
      <c r="GBP23" s="2950"/>
      <c r="GBQ23" s="2950"/>
      <c r="GBR23" s="2950"/>
      <c r="GBS23" s="2950"/>
      <c r="GBT23" s="2950"/>
      <c r="GBU23" s="2950"/>
      <c r="GBV23" s="2950"/>
      <c r="GBW23" s="2950"/>
      <c r="GBX23" s="2950"/>
      <c r="GBY23" s="2950"/>
      <c r="GBZ23" s="2950"/>
      <c r="GCA23" s="2950"/>
      <c r="GCB23" s="2950"/>
      <c r="GCC23" s="2950"/>
      <c r="GCD23" s="2950"/>
      <c r="GCE23" s="2950"/>
      <c r="GCF23" s="2950"/>
      <c r="GCG23" s="2950"/>
      <c r="GCH23" s="2950"/>
      <c r="GCI23" s="2950"/>
      <c r="GCJ23" s="2950"/>
      <c r="GCK23" s="2950"/>
      <c r="GCL23" s="2950"/>
      <c r="GCM23" s="2950"/>
      <c r="GCN23" s="2950"/>
      <c r="GCO23" s="2950"/>
      <c r="GCP23" s="2950"/>
      <c r="GCQ23" s="2950"/>
      <c r="GCR23" s="2950"/>
      <c r="GCS23" s="2950"/>
      <c r="GCT23" s="2950"/>
      <c r="GCU23" s="2950"/>
      <c r="GCV23" s="2950"/>
      <c r="GCW23" s="2950"/>
      <c r="GCX23" s="2950"/>
      <c r="GCY23" s="2950"/>
      <c r="GCZ23" s="2950"/>
      <c r="GDA23" s="2950"/>
      <c r="GDB23" s="2950"/>
      <c r="GDC23" s="2950"/>
      <c r="GDD23" s="2950"/>
      <c r="GDE23" s="2950"/>
      <c r="GDF23" s="2950"/>
      <c r="GDG23" s="2950"/>
      <c r="GDH23" s="2950"/>
      <c r="GDI23" s="2950"/>
      <c r="GDJ23" s="2950"/>
      <c r="GDK23" s="2950"/>
      <c r="GDL23" s="2950"/>
      <c r="GDM23" s="2950"/>
      <c r="GDN23" s="2950"/>
      <c r="GDO23" s="2950"/>
      <c r="GDP23" s="2950"/>
      <c r="GDQ23" s="2950"/>
      <c r="GDR23" s="2950"/>
      <c r="GDS23" s="2950"/>
      <c r="GDT23" s="2950"/>
      <c r="GDU23" s="2950"/>
      <c r="GDV23" s="2950"/>
      <c r="GDW23" s="2950"/>
      <c r="GDX23" s="2950"/>
      <c r="GDY23" s="2950"/>
      <c r="GDZ23" s="2950"/>
      <c r="GEA23" s="2950"/>
      <c r="GEB23" s="2950"/>
      <c r="GEC23" s="2950"/>
      <c r="GED23" s="2950"/>
      <c r="GEE23" s="2950"/>
      <c r="GEF23" s="2950"/>
      <c r="GEG23" s="2950"/>
      <c r="GEH23" s="2950"/>
      <c r="GEI23" s="2950"/>
      <c r="GEJ23" s="2950"/>
      <c r="GEK23" s="2950"/>
      <c r="GEL23" s="2950"/>
      <c r="GEM23" s="2950"/>
      <c r="GEN23" s="2950"/>
      <c r="GEO23" s="2950"/>
      <c r="GEP23" s="2950"/>
      <c r="GEQ23" s="2950"/>
      <c r="GER23" s="2950"/>
      <c r="GES23" s="2950"/>
      <c r="GET23" s="2950"/>
      <c r="GEU23" s="2950"/>
      <c r="GEV23" s="2950"/>
      <c r="GEW23" s="2950"/>
      <c r="GEX23" s="2950"/>
      <c r="GEY23" s="2950"/>
      <c r="GEZ23" s="2950"/>
      <c r="GFA23" s="2950"/>
      <c r="GFB23" s="2950"/>
      <c r="GFC23" s="2950"/>
      <c r="GFD23" s="2950"/>
      <c r="GFE23" s="2950"/>
      <c r="GFF23" s="2950"/>
      <c r="GFG23" s="2950"/>
      <c r="GFH23" s="2950"/>
      <c r="GFI23" s="2950"/>
      <c r="GFJ23" s="2950"/>
      <c r="GFK23" s="2950"/>
      <c r="GFL23" s="2950"/>
      <c r="GFM23" s="2950"/>
      <c r="GFN23" s="2950"/>
      <c r="GFO23" s="2950"/>
      <c r="GFP23" s="2950"/>
      <c r="GFQ23" s="2950"/>
      <c r="GFR23" s="2950"/>
      <c r="GFS23" s="2950"/>
      <c r="GFT23" s="2950"/>
      <c r="GFU23" s="2950"/>
      <c r="GFV23" s="2950"/>
      <c r="GFW23" s="2950"/>
      <c r="GFX23" s="2950"/>
      <c r="GFY23" s="2950"/>
      <c r="GFZ23" s="2950"/>
      <c r="GGA23" s="2950"/>
      <c r="GGB23" s="2950"/>
      <c r="GGC23" s="2950"/>
      <c r="GGD23" s="2950"/>
      <c r="GGE23" s="2950"/>
      <c r="GGF23" s="2950"/>
      <c r="GGG23" s="2950"/>
      <c r="GGH23" s="2950"/>
      <c r="GGI23" s="2950"/>
      <c r="GGJ23" s="2950"/>
      <c r="GGK23" s="2950"/>
      <c r="GGL23" s="2950"/>
      <c r="GGM23" s="2950"/>
      <c r="GGN23" s="2950"/>
      <c r="GGO23" s="2950"/>
      <c r="GGP23" s="2950"/>
      <c r="GGQ23" s="2950"/>
      <c r="GGR23" s="2950"/>
      <c r="GGS23" s="2950"/>
      <c r="GGT23" s="2950"/>
      <c r="GGU23" s="2950"/>
      <c r="GGV23" s="2950"/>
      <c r="GGW23" s="2950"/>
      <c r="GGX23" s="2950"/>
      <c r="GGY23" s="2950"/>
      <c r="GGZ23" s="2950"/>
      <c r="GHA23" s="2950"/>
      <c r="GHB23" s="2950"/>
      <c r="GHC23" s="2950"/>
      <c r="GHD23" s="2950"/>
      <c r="GHE23" s="2950"/>
      <c r="GHF23" s="2950"/>
      <c r="GHG23" s="2950"/>
      <c r="GHH23" s="2950"/>
      <c r="GHI23" s="2950"/>
      <c r="GHJ23" s="2950"/>
      <c r="GHK23" s="2950"/>
      <c r="GHL23" s="2950"/>
      <c r="GHM23" s="2950"/>
      <c r="GHN23" s="2950"/>
      <c r="GHO23" s="2950"/>
      <c r="GHP23" s="2950"/>
      <c r="GHQ23" s="2950"/>
      <c r="GHR23" s="2950"/>
      <c r="GHS23" s="2950"/>
      <c r="GHT23" s="2950"/>
      <c r="GHU23" s="2950"/>
      <c r="GHV23" s="2950"/>
      <c r="GHW23" s="2950"/>
      <c r="GHX23" s="2950"/>
      <c r="GHY23" s="2950"/>
      <c r="GHZ23" s="2950"/>
      <c r="GIA23" s="2950"/>
      <c r="GIB23" s="2950"/>
      <c r="GIC23" s="2950"/>
      <c r="GID23" s="2950"/>
      <c r="GIE23" s="2950"/>
      <c r="GIF23" s="2950"/>
      <c r="GIG23" s="2950"/>
      <c r="GIH23" s="2950"/>
      <c r="GII23" s="2950"/>
      <c r="GIJ23" s="2950"/>
      <c r="GIK23" s="2950"/>
      <c r="GIL23" s="2950"/>
      <c r="GIM23" s="2950"/>
      <c r="GIN23" s="2950"/>
      <c r="GIO23" s="2950"/>
      <c r="GIP23" s="2950"/>
      <c r="GIQ23" s="2950"/>
      <c r="GIR23" s="2950"/>
      <c r="GIS23" s="2950"/>
      <c r="GIT23" s="2950"/>
      <c r="GIU23" s="2950"/>
      <c r="GIV23" s="2950"/>
      <c r="GIW23" s="2950"/>
      <c r="GIX23" s="2950"/>
      <c r="GIY23" s="2950"/>
      <c r="GIZ23" s="2950"/>
      <c r="GJA23" s="2950"/>
      <c r="GJB23" s="2950"/>
      <c r="GJC23" s="2950"/>
      <c r="GJD23" s="2950"/>
      <c r="GJE23" s="2950"/>
      <c r="GJF23" s="2950"/>
      <c r="GJG23" s="2950"/>
      <c r="GJH23" s="2950"/>
      <c r="GJI23" s="2950"/>
      <c r="GJJ23" s="2950"/>
      <c r="GJK23" s="2950"/>
      <c r="GJL23" s="2950"/>
      <c r="GJM23" s="2950"/>
      <c r="GJN23" s="2950"/>
      <c r="GJO23" s="2950"/>
      <c r="GJP23" s="2950"/>
      <c r="GJQ23" s="2950"/>
      <c r="GJR23" s="2950"/>
      <c r="GJS23" s="2950"/>
      <c r="GJT23" s="2950"/>
      <c r="GJU23" s="2950"/>
      <c r="GJV23" s="2950"/>
      <c r="GJW23" s="2950"/>
      <c r="GJX23" s="2950"/>
      <c r="GJY23" s="2950"/>
      <c r="GJZ23" s="2950"/>
      <c r="GKA23" s="2950"/>
      <c r="GKB23" s="2950"/>
      <c r="GKC23" s="2950"/>
      <c r="GKD23" s="2950"/>
      <c r="GKE23" s="2950"/>
      <c r="GKF23" s="2950"/>
      <c r="GKG23" s="2950"/>
      <c r="GKH23" s="2950"/>
      <c r="GKI23" s="2950"/>
      <c r="GKJ23" s="2950"/>
      <c r="GKK23" s="2950"/>
      <c r="GKL23" s="2950"/>
      <c r="GKM23" s="2950"/>
      <c r="GKN23" s="2950"/>
      <c r="GKO23" s="2950"/>
      <c r="GKP23" s="2950"/>
      <c r="GKQ23" s="2950"/>
      <c r="GKR23" s="2950"/>
      <c r="GKS23" s="2950"/>
      <c r="GKT23" s="2950"/>
      <c r="GKU23" s="2950"/>
      <c r="GKV23" s="2950"/>
      <c r="GKW23" s="2950"/>
      <c r="GKX23" s="2950"/>
      <c r="GKY23" s="2950"/>
      <c r="GKZ23" s="2950"/>
      <c r="GLA23" s="2950"/>
      <c r="GLB23" s="2950"/>
      <c r="GLC23" s="2950"/>
      <c r="GLD23" s="2950"/>
      <c r="GLE23" s="2950"/>
      <c r="GLF23" s="2950"/>
      <c r="GLG23" s="2950"/>
      <c r="GLH23" s="2950"/>
      <c r="GLI23" s="2950"/>
      <c r="GLJ23" s="2950"/>
      <c r="GLK23" s="2950"/>
      <c r="GLL23" s="2950"/>
      <c r="GLM23" s="2950"/>
      <c r="GLN23" s="2950"/>
      <c r="GLO23" s="2950"/>
      <c r="GLP23" s="2950"/>
      <c r="GLQ23" s="2950"/>
      <c r="GLR23" s="2950"/>
      <c r="GLS23" s="2950"/>
      <c r="GLT23" s="2950"/>
      <c r="GLU23" s="2950"/>
      <c r="GLV23" s="2950"/>
      <c r="GLW23" s="2950"/>
      <c r="GLX23" s="2950"/>
      <c r="GLY23" s="2950"/>
      <c r="GLZ23" s="2950"/>
      <c r="GMA23" s="2950"/>
      <c r="GMB23" s="2950"/>
      <c r="GMC23" s="2950"/>
      <c r="GMD23" s="2950"/>
      <c r="GME23" s="2950"/>
      <c r="GMF23" s="2950"/>
      <c r="GMG23" s="2950"/>
      <c r="GMH23" s="2950"/>
      <c r="GMI23" s="2950"/>
      <c r="GMJ23" s="2950"/>
      <c r="GMK23" s="2950"/>
      <c r="GML23" s="2950"/>
      <c r="GMM23" s="2950"/>
      <c r="GMN23" s="2950"/>
      <c r="GMO23" s="2950"/>
      <c r="GMP23" s="2950"/>
      <c r="GMQ23" s="2950"/>
      <c r="GMR23" s="2950"/>
      <c r="GMS23" s="2950"/>
      <c r="GMT23" s="2950"/>
      <c r="GMU23" s="2950"/>
      <c r="GMV23" s="2950"/>
      <c r="GMW23" s="2950"/>
      <c r="GMX23" s="2950"/>
      <c r="GMY23" s="2950"/>
      <c r="GMZ23" s="2950"/>
      <c r="GNA23" s="2950"/>
      <c r="GNB23" s="2950"/>
      <c r="GNC23" s="2950"/>
      <c r="GND23" s="2950"/>
      <c r="GNE23" s="2950"/>
      <c r="GNF23" s="2950"/>
      <c r="GNG23" s="2950"/>
      <c r="GNH23" s="2950"/>
      <c r="GNI23" s="2950"/>
      <c r="GNJ23" s="2950"/>
      <c r="GNK23" s="2950"/>
      <c r="GNL23" s="2950"/>
      <c r="GNM23" s="2950"/>
      <c r="GNN23" s="2950"/>
      <c r="GNO23" s="2950"/>
      <c r="GNP23" s="2950"/>
      <c r="GNQ23" s="2950"/>
      <c r="GNR23" s="2950"/>
      <c r="GNS23" s="2950"/>
      <c r="GNT23" s="2950"/>
      <c r="GNU23" s="2950"/>
      <c r="GNV23" s="2950"/>
      <c r="GNW23" s="2950"/>
      <c r="GNX23" s="2950"/>
      <c r="GNY23" s="2950"/>
      <c r="GNZ23" s="2950"/>
      <c r="GOA23" s="2950"/>
      <c r="GOB23" s="2950"/>
      <c r="GOC23" s="2950"/>
      <c r="GOD23" s="2950"/>
      <c r="GOE23" s="2950"/>
      <c r="GOF23" s="2950"/>
      <c r="GOG23" s="2950"/>
      <c r="GOH23" s="2950"/>
      <c r="GOI23" s="2950"/>
      <c r="GOJ23" s="2950"/>
      <c r="GOK23" s="2950"/>
      <c r="GOL23" s="2950"/>
      <c r="GOM23" s="2950"/>
      <c r="GON23" s="2950"/>
      <c r="GOO23" s="2950"/>
      <c r="GOP23" s="2950"/>
      <c r="GOQ23" s="2950"/>
      <c r="GOR23" s="2950"/>
      <c r="GOS23" s="2950"/>
      <c r="GOT23" s="2950"/>
      <c r="GOU23" s="2950"/>
      <c r="GOV23" s="2950"/>
      <c r="GOW23" s="2950"/>
      <c r="GOX23" s="2950"/>
      <c r="GOY23" s="2950"/>
      <c r="GOZ23" s="2950"/>
      <c r="GPA23" s="2950"/>
      <c r="GPB23" s="2950"/>
      <c r="GPC23" s="2950"/>
      <c r="GPD23" s="2950"/>
      <c r="GPE23" s="2950"/>
      <c r="GPF23" s="2950"/>
      <c r="GPG23" s="2950"/>
      <c r="GPH23" s="2950"/>
      <c r="GPI23" s="2950"/>
      <c r="GPJ23" s="2950"/>
      <c r="GPK23" s="2950"/>
      <c r="GPL23" s="2950"/>
      <c r="GPM23" s="2950"/>
      <c r="GPN23" s="2950"/>
      <c r="GPO23" s="2950"/>
      <c r="GPP23" s="2950"/>
      <c r="GPQ23" s="2950"/>
      <c r="GPR23" s="2950"/>
      <c r="GPS23" s="2950"/>
      <c r="GPT23" s="2950"/>
      <c r="GPU23" s="2950"/>
      <c r="GPV23" s="2950"/>
      <c r="GPW23" s="2950"/>
      <c r="GPX23" s="2950"/>
      <c r="GPY23" s="2950"/>
      <c r="GPZ23" s="2950"/>
      <c r="GQA23" s="2950"/>
      <c r="GQB23" s="2950"/>
      <c r="GQC23" s="2950"/>
      <c r="GQD23" s="2950"/>
      <c r="GQE23" s="2950"/>
      <c r="GQF23" s="2950"/>
      <c r="GQG23" s="2950"/>
      <c r="GQH23" s="2950"/>
      <c r="GQI23" s="2950"/>
      <c r="GQJ23" s="2950"/>
      <c r="GQK23" s="2950"/>
      <c r="GQL23" s="2950"/>
      <c r="GQM23" s="2950"/>
      <c r="GQN23" s="2950"/>
      <c r="GQO23" s="2950"/>
      <c r="GQP23" s="2950"/>
      <c r="GQQ23" s="2950"/>
      <c r="GQR23" s="2950"/>
      <c r="GQS23" s="2950"/>
      <c r="GQT23" s="2950"/>
      <c r="GQU23" s="2950"/>
      <c r="GQV23" s="2950"/>
      <c r="GQW23" s="2950"/>
      <c r="GQX23" s="2950"/>
      <c r="GQY23" s="2950"/>
      <c r="GQZ23" s="2950"/>
      <c r="GRA23" s="2950"/>
      <c r="GRB23" s="2950"/>
      <c r="GRC23" s="2950"/>
      <c r="GRD23" s="2950"/>
      <c r="GRE23" s="2950"/>
      <c r="GRF23" s="2950"/>
      <c r="GRG23" s="2950"/>
      <c r="GRH23" s="2950"/>
      <c r="GRI23" s="2950"/>
      <c r="GRJ23" s="2950"/>
      <c r="GRK23" s="2950"/>
      <c r="GRL23" s="2950"/>
      <c r="GRM23" s="2950"/>
      <c r="GRN23" s="2950"/>
      <c r="GRO23" s="2950"/>
      <c r="GRP23" s="2950"/>
      <c r="GRQ23" s="2950"/>
      <c r="GRR23" s="2950"/>
      <c r="GRS23" s="2950"/>
      <c r="GRT23" s="2950"/>
      <c r="GRU23" s="2950"/>
      <c r="GRV23" s="2950"/>
      <c r="GRW23" s="2950"/>
      <c r="GRX23" s="2950"/>
      <c r="GRY23" s="2950"/>
      <c r="GRZ23" s="2950"/>
      <c r="GSA23" s="2950"/>
      <c r="GSB23" s="2950"/>
      <c r="GSC23" s="2950"/>
      <c r="GSD23" s="2950"/>
      <c r="GSE23" s="2950"/>
      <c r="GSF23" s="2950"/>
      <c r="GSG23" s="2950"/>
      <c r="GSH23" s="2950"/>
      <c r="GSI23" s="2950"/>
      <c r="GSJ23" s="2950"/>
      <c r="GSK23" s="2950"/>
      <c r="GSL23" s="2950"/>
      <c r="GSM23" s="2950"/>
      <c r="GSN23" s="2950"/>
      <c r="GSO23" s="2950"/>
      <c r="GSP23" s="2950"/>
      <c r="GSQ23" s="2950"/>
      <c r="GSR23" s="2950"/>
      <c r="GSS23" s="2950"/>
      <c r="GST23" s="2950"/>
      <c r="GSU23" s="2950"/>
      <c r="GSV23" s="2950"/>
      <c r="GSW23" s="2950"/>
      <c r="GSX23" s="2950"/>
      <c r="GSY23" s="2950"/>
      <c r="GSZ23" s="2950"/>
      <c r="GTA23" s="2950"/>
      <c r="GTB23" s="2950"/>
      <c r="GTC23" s="2950"/>
      <c r="GTD23" s="2950"/>
      <c r="GTE23" s="2950"/>
      <c r="GTF23" s="2950"/>
      <c r="GTG23" s="2950"/>
      <c r="GTH23" s="2950"/>
      <c r="GTI23" s="2950"/>
      <c r="GTJ23" s="2950"/>
      <c r="GTK23" s="2950"/>
      <c r="GTL23" s="2950"/>
      <c r="GTM23" s="2950"/>
      <c r="GTN23" s="2950"/>
      <c r="GTO23" s="2950"/>
      <c r="GTP23" s="2950"/>
      <c r="GTQ23" s="2950"/>
      <c r="GTR23" s="2950"/>
      <c r="GTS23" s="2950"/>
      <c r="GTT23" s="2950"/>
      <c r="GTU23" s="2950"/>
      <c r="GTV23" s="2950"/>
      <c r="GTW23" s="2950"/>
      <c r="GTX23" s="2950"/>
      <c r="GTY23" s="2950"/>
      <c r="GTZ23" s="2950"/>
      <c r="GUA23" s="2950"/>
      <c r="GUB23" s="2950"/>
      <c r="GUC23" s="2950"/>
      <c r="GUD23" s="2950"/>
      <c r="GUE23" s="2950"/>
      <c r="GUF23" s="2950"/>
      <c r="GUG23" s="2950"/>
      <c r="GUH23" s="2950"/>
      <c r="GUI23" s="2950"/>
      <c r="GUJ23" s="2950"/>
      <c r="GUK23" s="2950"/>
      <c r="GUL23" s="2950"/>
      <c r="GUM23" s="2950"/>
      <c r="GUN23" s="2950"/>
      <c r="GUO23" s="2950"/>
      <c r="GUP23" s="2950"/>
      <c r="GUQ23" s="2950"/>
      <c r="GUR23" s="2950"/>
      <c r="GUS23" s="2950"/>
      <c r="GUT23" s="2950"/>
      <c r="GUU23" s="2950"/>
      <c r="GUV23" s="2950"/>
      <c r="GUW23" s="2950"/>
      <c r="GUX23" s="2950"/>
      <c r="GUY23" s="2950"/>
      <c r="GUZ23" s="2950"/>
      <c r="GVA23" s="2950"/>
      <c r="GVB23" s="2950"/>
      <c r="GVC23" s="2950"/>
      <c r="GVD23" s="2950"/>
      <c r="GVE23" s="2950"/>
      <c r="GVF23" s="2950"/>
      <c r="GVG23" s="2950"/>
      <c r="GVH23" s="2950"/>
      <c r="GVI23" s="2950"/>
      <c r="GVJ23" s="2950"/>
      <c r="GVK23" s="2950"/>
      <c r="GVL23" s="2950"/>
      <c r="GVM23" s="2950"/>
      <c r="GVN23" s="2950"/>
      <c r="GVO23" s="2950"/>
      <c r="GVP23" s="2950"/>
      <c r="GVQ23" s="2950"/>
      <c r="GVR23" s="2950"/>
      <c r="GVS23" s="2950"/>
      <c r="GVT23" s="2950"/>
      <c r="GVU23" s="2950"/>
      <c r="GVV23" s="2950"/>
      <c r="GVW23" s="2950"/>
      <c r="GVX23" s="2950"/>
      <c r="GVY23" s="2950"/>
      <c r="GVZ23" s="2950"/>
      <c r="GWA23" s="2950"/>
      <c r="GWB23" s="2950"/>
      <c r="GWC23" s="2950"/>
      <c r="GWD23" s="2950"/>
      <c r="GWE23" s="2950"/>
      <c r="GWF23" s="2950"/>
      <c r="GWG23" s="2950"/>
      <c r="GWH23" s="2950"/>
      <c r="GWI23" s="2950"/>
      <c r="GWJ23" s="2950"/>
      <c r="GWK23" s="2950"/>
      <c r="GWL23" s="2950"/>
      <c r="GWM23" s="2950"/>
      <c r="GWN23" s="2950"/>
      <c r="GWO23" s="2950"/>
      <c r="GWP23" s="2950"/>
      <c r="GWQ23" s="2950"/>
      <c r="GWR23" s="2950"/>
      <c r="GWS23" s="2950"/>
      <c r="GWT23" s="2950"/>
      <c r="GWU23" s="2950"/>
      <c r="GWV23" s="2950"/>
      <c r="GWW23" s="2950"/>
      <c r="GWX23" s="2950"/>
      <c r="GWY23" s="2950"/>
      <c r="GWZ23" s="2950"/>
      <c r="GXA23" s="2950"/>
      <c r="GXB23" s="2950"/>
      <c r="GXC23" s="2950"/>
      <c r="GXD23" s="2950"/>
      <c r="GXE23" s="2950"/>
      <c r="GXF23" s="2950"/>
      <c r="GXG23" s="2950"/>
      <c r="GXH23" s="2950"/>
      <c r="GXI23" s="2950"/>
      <c r="GXJ23" s="2950"/>
      <c r="GXK23" s="2950"/>
      <c r="GXL23" s="2950"/>
      <c r="GXM23" s="2950"/>
      <c r="GXN23" s="2950"/>
      <c r="GXO23" s="2950"/>
      <c r="GXP23" s="2950"/>
      <c r="GXQ23" s="2950"/>
      <c r="GXR23" s="2950"/>
      <c r="GXS23" s="2950"/>
      <c r="GXT23" s="2950"/>
      <c r="GXU23" s="2950"/>
      <c r="GXV23" s="2950"/>
      <c r="GXW23" s="2950"/>
      <c r="GXX23" s="2950"/>
      <c r="GXY23" s="2950"/>
      <c r="GXZ23" s="2950"/>
      <c r="GYA23" s="2950"/>
      <c r="GYB23" s="2950"/>
      <c r="GYC23" s="2950"/>
      <c r="GYD23" s="2950"/>
      <c r="GYE23" s="2950"/>
      <c r="GYF23" s="2950"/>
      <c r="GYG23" s="2950"/>
      <c r="GYH23" s="2950"/>
      <c r="GYI23" s="2950"/>
      <c r="GYJ23" s="2950"/>
      <c r="GYK23" s="2950"/>
      <c r="GYL23" s="2950"/>
      <c r="GYM23" s="2950"/>
      <c r="GYN23" s="2950"/>
      <c r="GYO23" s="2950"/>
      <c r="GYP23" s="2950"/>
      <c r="GYQ23" s="2950"/>
      <c r="GYR23" s="2950"/>
      <c r="GYS23" s="2950"/>
      <c r="GYT23" s="2950"/>
      <c r="GYU23" s="2950"/>
      <c r="GYV23" s="2950"/>
      <c r="GYW23" s="2950"/>
      <c r="GYX23" s="2950"/>
      <c r="GYY23" s="2950"/>
      <c r="GYZ23" s="2950"/>
      <c r="GZA23" s="2950"/>
      <c r="GZB23" s="2950"/>
      <c r="GZC23" s="2950"/>
      <c r="GZD23" s="2950"/>
      <c r="GZE23" s="2950"/>
      <c r="GZF23" s="2950"/>
      <c r="GZG23" s="2950"/>
      <c r="GZH23" s="2950"/>
      <c r="GZI23" s="2950"/>
      <c r="GZJ23" s="2950"/>
      <c r="GZK23" s="2950"/>
      <c r="GZL23" s="2950"/>
      <c r="GZM23" s="2950"/>
      <c r="GZN23" s="2950"/>
      <c r="GZO23" s="2950"/>
      <c r="GZP23" s="2950"/>
      <c r="GZQ23" s="2950"/>
      <c r="GZR23" s="2950"/>
      <c r="GZS23" s="2950"/>
      <c r="GZT23" s="2950"/>
      <c r="GZU23" s="2950"/>
      <c r="GZV23" s="2950"/>
      <c r="GZW23" s="2950"/>
      <c r="GZX23" s="2950"/>
      <c r="GZY23" s="2950"/>
      <c r="GZZ23" s="2950"/>
      <c r="HAA23" s="2950"/>
      <c r="HAB23" s="2950"/>
      <c r="HAC23" s="2950"/>
      <c r="HAD23" s="2950"/>
      <c r="HAE23" s="2950"/>
      <c r="HAF23" s="2950"/>
      <c r="HAG23" s="2950"/>
      <c r="HAH23" s="2950"/>
      <c r="HAI23" s="2950"/>
      <c r="HAJ23" s="2950"/>
      <c r="HAK23" s="2950"/>
      <c r="HAL23" s="2950"/>
      <c r="HAM23" s="2950"/>
      <c r="HAN23" s="2950"/>
      <c r="HAO23" s="2950"/>
      <c r="HAP23" s="2950"/>
      <c r="HAQ23" s="2950"/>
      <c r="HAR23" s="2950"/>
      <c r="HAS23" s="2950"/>
      <c r="HAT23" s="2950"/>
      <c r="HAU23" s="2950"/>
      <c r="HAV23" s="2950"/>
      <c r="HAW23" s="2950"/>
      <c r="HAX23" s="2950"/>
      <c r="HAY23" s="2950"/>
      <c r="HAZ23" s="2950"/>
      <c r="HBA23" s="2950"/>
      <c r="HBB23" s="2950"/>
      <c r="HBC23" s="2950"/>
      <c r="HBD23" s="2950"/>
      <c r="HBE23" s="2950"/>
      <c r="HBF23" s="2950"/>
      <c r="HBG23" s="2950"/>
      <c r="HBH23" s="2950"/>
      <c r="HBI23" s="2950"/>
      <c r="HBJ23" s="2950"/>
      <c r="HBK23" s="2950"/>
      <c r="HBL23" s="2950"/>
      <c r="HBM23" s="2950"/>
      <c r="HBN23" s="2950"/>
      <c r="HBO23" s="2950"/>
      <c r="HBP23" s="2950"/>
      <c r="HBQ23" s="2950"/>
      <c r="HBR23" s="2950"/>
      <c r="HBS23" s="2950"/>
      <c r="HBT23" s="2950"/>
      <c r="HBU23" s="2950"/>
      <c r="HBV23" s="2950"/>
      <c r="HBW23" s="2950"/>
      <c r="HBX23" s="2950"/>
      <c r="HBY23" s="2950"/>
      <c r="HBZ23" s="2950"/>
      <c r="HCA23" s="2950"/>
      <c r="HCB23" s="2950"/>
      <c r="HCC23" s="2950"/>
      <c r="HCD23" s="2950"/>
      <c r="HCE23" s="2950"/>
      <c r="HCF23" s="2950"/>
      <c r="HCG23" s="2950"/>
      <c r="HCH23" s="2950"/>
      <c r="HCI23" s="2950"/>
      <c r="HCJ23" s="2950"/>
      <c r="HCK23" s="2950"/>
      <c r="HCL23" s="2950"/>
      <c r="HCM23" s="2950"/>
      <c r="HCN23" s="2950"/>
      <c r="HCO23" s="2950"/>
      <c r="HCP23" s="2950"/>
      <c r="HCQ23" s="2950"/>
      <c r="HCR23" s="2950"/>
      <c r="HCS23" s="2950"/>
      <c r="HCT23" s="2950"/>
      <c r="HCU23" s="2950"/>
      <c r="HCV23" s="2950"/>
      <c r="HCW23" s="2950"/>
      <c r="HCX23" s="2950"/>
      <c r="HCY23" s="2950"/>
      <c r="HCZ23" s="2950"/>
      <c r="HDA23" s="2950"/>
      <c r="HDB23" s="2950"/>
      <c r="HDC23" s="2950"/>
      <c r="HDD23" s="2950"/>
      <c r="HDE23" s="2950"/>
      <c r="HDF23" s="2950"/>
      <c r="HDG23" s="2950"/>
      <c r="HDH23" s="2950"/>
      <c r="HDI23" s="2950"/>
      <c r="HDJ23" s="2950"/>
      <c r="HDK23" s="2950"/>
      <c r="HDL23" s="2950"/>
      <c r="HDM23" s="2950"/>
      <c r="HDN23" s="2950"/>
      <c r="HDO23" s="2950"/>
      <c r="HDP23" s="2950"/>
      <c r="HDQ23" s="2950"/>
      <c r="HDR23" s="2950"/>
      <c r="HDS23" s="2950"/>
      <c r="HDT23" s="2950"/>
      <c r="HDU23" s="2950"/>
      <c r="HDV23" s="2950"/>
      <c r="HDW23" s="2950"/>
      <c r="HDX23" s="2950"/>
      <c r="HDY23" s="2950"/>
      <c r="HDZ23" s="2950"/>
      <c r="HEA23" s="2950"/>
      <c r="HEB23" s="2950"/>
      <c r="HEC23" s="2950"/>
      <c r="HED23" s="2950"/>
      <c r="HEE23" s="2950"/>
      <c r="HEF23" s="2950"/>
      <c r="HEG23" s="2950"/>
      <c r="HEH23" s="2950"/>
      <c r="HEI23" s="2950"/>
      <c r="HEJ23" s="2950"/>
      <c r="HEK23" s="2950"/>
      <c r="HEL23" s="2950"/>
      <c r="HEM23" s="2950"/>
      <c r="HEN23" s="2950"/>
      <c r="HEO23" s="2950"/>
      <c r="HEP23" s="2950"/>
      <c r="HEQ23" s="2950"/>
      <c r="HER23" s="2950"/>
      <c r="HES23" s="2950"/>
      <c r="HET23" s="2950"/>
      <c r="HEU23" s="2950"/>
      <c r="HEV23" s="2950"/>
      <c r="HEW23" s="2950"/>
      <c r="HEX23" s="2950"/>
      <c r="HEY23" s="2950"/>
      <c r="HEZ23" s="2950"/>
      <c r="HFA23" s="2950"/>
      <c r="HFB23" s="2950"/>
      <c r="HFC23" s="2950"/>
      <c r="HFD23" s="2950"/>
      <c r="HFE23" s="2950"/>
      <c r="HFF23" s="2950"/>
      <c r="HFG23" s="2950"/>
      <c r="HFH23" s="2950"/>
      <c r="HFI23" s="2950"/>
      <c r="HFJ23" s="2950"/>
      <c r="HFK23" s="2950"/>
      <c r="HFL23" s="2950"/>
      <c r="HFM23" s="2950"/>
      <c r="HFN23" s="2950"/>
      <c r="HFO23" s="2950"/>
      <c r="HFP23" s="2950"/>
      <c r="HFQ23" s="2950"/>
      <c r="HFR23" s="2950"/>
      <c r="HFS23" s="2950"/>
      <c r="HFT23" s="2950"/>
      <c r="HFU23" s="2950"/>
      <c r="HFV23" s="2950"/>
      <c r="HFW23" s="2950"/>
      <c r="HFX23" s="2950"/>
      <c r="HFY23" s="2950"/>
      <c r="HFZ23" s="2950"/>
      <c r="HGA23" s="2950"/>
      <c r="HGB23" s="2950"/>
      <c r="HGC23" s="2950"/>
      <c r="HGD23" s="2950"/>
      <c r="HGE23" s="2950"/>
      <c r="HGF23" s="2950"/>
      <c r="HGG23" s="2950"/>
      <c r="HGH23" s="2950"/>
      <c r="HGI23" s="2950"/>
      <c r="HGJ23" s="2950"/>
      <c r="HGK23" s="2950"/>
      <c r="HGL23" s="2950"/>
      <c r="HGM23" s="2950"/>
      <c r="HGN23" s="2950"/>
      <c r="HGO23" s="2950"/>
      <c r="HGP23" s="2950"/>
      <c r="HGQ23" s="2950"/>
      <c r="HGR23" s="2950"/>
      <c r="HGS23" s="2950"/>
      <c r="HGT23" s="2950"/>
      <c r="HGU23" s="2950"/>
      <c r="HGV23" s="2950"/>
      <c r="HGW23" s="2950"/>
      <c r="HGX23" s="2950"/>
      <c r="HGY23" s="2950"/>
      <c r="HGZ23" s="2950"/>
      <c r="HHA23" s="2950"/>
      <c r="HHB23" s="2950"/>
      <c r="HHC23" s="2950"/>
      <c r="HHD23" s="2950"/>
      <c r="HHE23" s="2950"/>
      <c r="HHF23" s="2950"/>
      <c r="HHG23" s="2950"/>
      <c r="HHH23" s="2950"/>
      <c r="HHI23" s="2950"/>
      <c r="HHJ23" s="2950"/>
      <c r="HHK23" s="2950"/>
      <c r="HHL23" s="2950"/>
      <c r="HHM23" s="2950"/>
      <c r="HHN23" s="2950"/>
      <c r="HHO23" s="2950"/>
      <c r="HHP23" s="2950"/>
      <c r="HHQ23" s="2950"/>
      <c r="HHR23" s="2950"/>
      <c r="HHS23" s="2950"/>
      <c r="HHT23" s="2950"/>
      <c r="HHU23" s="2950"/>
      <c r="HHV23" s="2950"/>
      <c r="HHW23" s="2950"/>
      <c r="HHX23" s="2950"/>
      <c r="HHY23" s="2950"/>
      <c r="HHZ23" s="2950"/>
      <c r="HIA23" s="2950"/>
      <c r="HIB23" s="2950"/>
      <c r="HIC23" s="2950"/>
      <c r="HID23" s="2950"/>
      <c r="HIE23" s="2950"/>
      <c r="HIF23" s="2950"/>
      <c r="HIG23" s="2950"/>
      <c r="HIH23" s="2950"/>
      <c r="HII23" s="2950"/>
      <c r="HIJ23" s="2950"/>
      <c r="HIK23" s="2950"/>
      <c r="HIL23" s="2950"/>
      <c r="HIM23" s="2950"/>
      <c r="HIN23" s="2950"/>
      <c r="HIO23" s="2950"/>
      <c r="HIP23" s="2950"/>
      <c r="HIQ23" s="2950"/>
      <c r="HIR23" s="2950"/>
      <c r="HIS23" s="2950"/>
      <c r="HIT23" s="2950"/>
      <c r="HIU23" s="2950"/>
      <c r="HIV23" s="2950"/>
      <c r="HIW23" s="2950"/>
      <c r="HIX23" s="2950"/>
      <c r="HIY23" s="2950"/>
      <c r="HIZ23" s="2950"/>
      <c r="HJA23" s="2950"/>
      <c r="HJB23" s="2950"/>
      <c r="HJC23" s="2950"/>
      <c r="HJD23" s="2950"/>
      <c r="HJE23" s="2950"/>
      <c r="HJF23" s="2950"/>
      <c r="HJG23" s="2950"/>
      <c r="HJH23" s="2950"/>
      <c r="HJI23" s="2950"/>
      <c r="HJJ23" s="2950"/>
      <c r="HJK23" s="2950"/>
      <c r="HJL23" s="2950"/>
      <c r="HJM23" s="2950"/>
      <c r="HJN23" s="2950"/>
      <c r="HJO23" s="2950"/>
      <c r="HJP23" s="2950"/>
      <c r="HJQ23" s="2950"/>
      <c r="HJR23" s="2950"/>
      <c r="HJS23" s="2950"/>
      <c r="HJT23" s="2950"/>
      <c r="HJU23" s="2950"/>
      <c r="HJV23" s="2950"/>
      <c r="HJW23" s="2950"/>
      <c r="HJX23" s="2950"/>
      <c r="HJY23" s="2950"/>
      <c r="HJZ23" s="2950"/>
      <c r="HKA23" s="2950"/>
      <c r="HKB23" s="2950"/>
      <c r="HKC23" s="2950"/>
      <c r="HKD23" s="2950"/>
      <c r="HKE23" s="2950"/>
      <c r="HKF23" s="2950"/>
      <c r="HKG23" s="2950"/>
      <c r="HKH23" s="2950"/>
      <c r="HKI23" s="2950"/>
      <c r="HKJ23" s="2950"/>
      <c r="HKK23" s="2950"/>
      <c r="HKL23" s="2950"/>
      <c r="HKM23" s="2950"/>
      <c r="HKN23" s="2950"/>
      <c r="HKO23" s="2950"/>
      <c r="HKP23" s="2950"/>
      <c r="HKQ23" s="2950"/>
      <c r="HKR23" s="2950"/>
      <c r="HKS23" s="2950"/>
      <c r="HKT23" s="2950"/>
      <c r="HKU23" s="2950"/>
      <c r="HKV23" s="2950"/>
      <c r="HKW23" s="2950"/>
      <c r="HKX23" s="2950"/>
      <c r="HKY23" s="2950"/>
      <c r="HKZ23" s="2950"/>
      <c r="HLA23" s="2950"/>
      <c r="HLB23" s="2950"/>
      <c r="HLC23" s="2950"/>
      <c r="HLD23" s="2950"/>
      <c r="HLE23" s="2950"/>
      <c r="HLF23" s="2950"/>
      <c r="HLG23" s="2950"/>
      <c r="HLH23" s="2950"/>
      <c r="HLI23" s="2950"/>
      <c r="HLJ23" s="2950"/>
      <c r="HLK23" s="2950"/>
      <c r="HLL23" s="2950"/>
      <c r="HLM23" s="2950"/>
      <c r="HLN23" s="2950"/>
      <c r="HLO23" s="2950"/>
      <c r="HLP23" s="2950"/>
      <c r="HLQ23" s="2950"/>
      <c r="HLR23" s="2950"/>
      <c r="HLS23" s="2950"/>
      <c r="HLT23" s="2950"/>
      <c r="HLU23" s="2950"/>
      <c r="HLV23" s="2950"/>
      <c r="HLW23" s="2950"/>
      <c r="HLX23" s="2950"/>
      <c r="HLY23" s="2950"/>
      <c r="HLZ23" s="2950"/>
      <c r="HMA23" s="2950"/>
      <c r="HMB23" s="2950"/>
      <c r="HMC23" s="2950"/>
      <c r="HMD23" s="2950"/>
      <c r="HME23" s="2950"/>
      <c r="HMF23" s="2950"/>
      <c r="HMG23" s="2950"/>
      <c r="HMH23" s="2950"/>
      <c r="HMI23" s="2950"/>
      <c r="HMJ23" s="2950"/>
      <c r="HMK23" s="2950"/>
      <c r="HML23" s="2950"/>
      <c r="HMM23" s="2950"/>
      <c r="HMN23" s="2950"/>
      <c r="HMO23" s="2950"/>
      <c r="HMP23" s="2950"/>
      <c r="HMQ23" s="2950"/>
      <c r="HMR23" s="2950"/>
      <c r="HMS23" s="2950"/>
      <c r="HMT23" s="2950"/>
      <c r="HMU23" s="2950"/>
      <c r="HMV23" s="2950"/>
      <c r="HMW23" s="2950"/>
      <c r="HMX23" s="2950"/>
      <c r="HMY23" s="2950"/>
      <c r="HMZ23" s="2950"/>
      <c r="HNA23" s="2950"/>
      <c r="HNB23" s="2950"/>
      <c r="HNC23" s="2950"/>
      <c r="HND23" s="2950"/>
      <c r="HNE23" s="2950"/>
      <c r="HNF23" s="2950"/>
      <c r="HNG23" s="2950"/>
      <c r="HNH23" s="2950"/>
      <c r="HNI23" s="2950"/>
      <c r="HNJ23" s="2950"/>
      <c r="HNK23" s="2950"/>
      <c r="HNL23" s="2950"/>
      <c r="HNM23" s="2950"/>
      <c r="HNN23" s="2950"/>
      <c r="HNO23" s="2950"/>
      <c r="HNP23" s="2950"/>
      <c r="HNQ23" s="2950"/>
      <c r="HNR23" s="2950"/>
      <c r="HNS23" s="2950"/>
      <c r="HNT23" s="2950"/>
      <c r="HNU23" s="2950"/>
      <c r="HNV23" s="2950"/>
      <c r="HNW23" s="2950"/>
      <c r="HNX23" s="2950"/>
      <c r="HNY23" s="2950"/>
      <c r="HNZ23" s="2950"/>
      <c r="HOA23" s="2950"/>
      <c r="HOB23" s="2950"/>
      <c r="HOC23" s="2950"/>
      <c r="HOD23" s="2950"/>
      <c r="HOE23" s="2950"/>
      <c r="HOF23" s="2950"/>
      <c r="HOG23" s="2950"/>
      <c r="HOH23" s="2950"/>
      <c r="HOI23" s="2950"/>
      <c r="HOJ23" s="2950"/>
      <c r="HOK23" s="2950"/>
      <c r="HOL23" s="2950"/>
      <c r="HOM23" s="2950"/>
      <c r="HON23" s="2950"/>
      <c r="HOO23" s="2950"/>
      <c r="HOP23" s="2950"/>
      <c r="HOQ23" s="2950"/>
      <c r="HOR23" s="2950"/>
      <c r="HOS23" s="2950"/>
      <c r="HOT23" s="2950"/>
      <c r="HOU23" s="2950"/>
      <c r="HOV23" s="2950"/>
      <c r="HOW23" s="2950"/>
      <c r="HOX23" s="2950"/>
      <c r="HOY23" s="2950"/>
      <c r="HOZ23" s="2950"/>
      <c r="HPA23" s="2950"/>
      <c r="HPB23" s="2950"/>
      <c r="HPC23" s="2950"/>
      <c r="HPD23" s="2950"/>
      <c r="HPE23" s="2950"/>
      <c r="HPF23" s="2950"/>
      <c r="HPG23" s="2950"/>
      <c r="HPH23" s="2950"/>
      <c r="HPI23" s="2950"/>
      <c r="HPJ23" s="2950"/>
      <c r="HPK23" s="2950"/>
      <c r="HPL23" s="2950"/>
      <c r="HPM23" s="2950"/>
      <c r="HPN23" s="2950"/>
      <c r="HPO23" s="2950"/>
      <c r="HPP23" s="2950"/>
      <c r="HPQ23" s="2950"/>
      <c r="HPR23" s="2950"/>
      <c r="HPS23" s="2950"/>
      <c r="HPT23" s="2950"/>
      <c r="HPU23" s="2950"/>
      <c r="HPV23" s="2950"/>
      <c r="HPW23" s="2950"/>
      <c r="HPX23" s="2950"/>
      <c r="HPY23" s="2950"/>
      <c r="HPZ23" s="2950"/>
      <c r="HQA23" s="2950"/>
      <c r="HQB23" s="2950"/>
      <c r="HQC23" s="2950"/>
      <c r="HQD23" s="2950"/>
      <c r="HQE23" s="2950"/>
      <c r="HQF23" s="2950"/>
      <c r="HQG23" s="2950"/>
      <c r="HQH23" s="2950"/>
      <c r="HQI23" s="2950"/>
      <c r="HQJ23" s="2950"/>
      <c r="HQK23" s="2950"/>
      <c r="HQL23" s="2950"/>
      <c r="HQM23" s="2950"/>
      <c r="HQN23" s="2950"/>
      <c r="HQO23" s="2950"/>
      <c r="HQP23" s="2950"/>
      <c r="HQQ23" s="2950"/>
      <c r="HQR23" s="2950"/>
      <c r="HQS23" s="2950"/>
      <c r="HQT23" s="2950"/>
      <c r="HQU23" s="2950"/>
      <c r="HQV23" s="2950"/>
      <c r="HQW23" s="2950"/>
      <c r="HQX23" s="2950"/>
      <c r="HQY23" s="2950"/>
      <c r="HQZ23" s="2950"/>
      <c r="HRA23" s="2950"/>
      <c r="HRB23" s="2950"/>
      <c r="HRC23" s="2950"/>
      <c r="HRD23" s="2950"/>
      <c r="HRE23" s="2950"/>
      <c r="HRF23" s="2950"/>
      <c r="HRG23" s="2950"/>
      <c r="HRH23" s="2950"/>
      <c r="HRI23" s="2950"/>
      <c r="HRJ23" s="2950"/>
      <c r="HRK23" s="2950"/>
      <c r="HRL23" s="2950"/>
      <c r="HRM23" s="2950"/>
      <c r="HRN23" s="2950"/>
      <c r="HRO23" s="2950"/>
      <c r="HRP23" s="2950"/>
      <c r="HRQ23" s="2950"/>
      <c r="HRR23" s="2950"/>
      <c r="HRS23" s="2950"/>
      <c r="HRT23" s="2950"/>
      <c r="HRU23" s="2950"/>
      <c r="HRV23" s="2950"/>
      <c r="HRW23" s="2950"/>
      <c r="HRX23" s="2950"/>
      <c r="HRY23" s="2950"/>
      <c r="HRZ23" s="2950"/>
      <c r="HSA23" s="2950"/>
      <c r="HSB23" s="2950"/>
      <c r="HSC23" s="2950"/>
      <c r="HSD23" s="2950"/>
      <c r="HSE23" s="2950"/>
      <c r="HSF23" s="2950"/>
      <c r="HSG23" s="2950"/>
      <c r="HSH23" s="2950"/>
      <c r="HSI23" s="2950"/>
      <c r="HSJ23" s="2950"/>
      <c r="HSK23" s="2950"/>
      <c r="HSL23" s="2950"/>
      <c r="HSM23" s="2950"/>
      <c r="HSN23" s="2950"/>
      <c r="HSO23" s="2950"/>
      <c r="HSP23" s="2950"/>
      <c r="HSQ23" s="2950"/>
      <c r="HSR23" s="2950"/>
      <c r="HSS23" s="2950"/>
      <c r="HST23" s="2950"/>
      <c r="HSU23" s="2950"/>
      <c r="HSV23" s="2950"/>
      <c r="HSW23" s="2950"/>
      <c r="HSX23" s="2950"/>
      <c r="HSY23" s="2950"/>
      <c r="HSZ23" s="2950"/>
      <c r="HTA23" s="2950"/>
      <c r="HTB23" s="2950"/>
      <c r="HTC23" s="2950"/>
      <c r="HTD23" s="2950"/>
      <c r="HTE23" s="2950"/>
      <c r="HTF23" s="2950"/>
      <c r="HTG23" s="2950"/>
      <c r="HTH23" s="2950"/>
      <c r="HTI23" s="2950"/>
      <c r="HTJ23" s="2950"/>
      <c r="HTK23" s="2950"/>
      <c r="HTL23" s="2950"/>
      <c r="HTM23" s="2950"/>
      <c r="HTN23" s="2950"/>
      <c r="HTO23" s="2950"/>
      <c r="HTP23" s="2950"/>
      <c r="HTQ23" s="2950"/>
      <c r="HTR23" s="2950"/>
      <c r="HTS23" s="2950"/>
      <c r="HTT23" s="2950"/>
      <c r="HTU23" s="2950"/>
      <c r="HTV23" s="2950"/>
      <c r="HTW23" s="2950"/>
      <c r="HTX23" s="2950"/>
      <c r="HTY23" s="2950"/>
      <c r="HTZ23" s="2950"/>
      <c r="HUA23" s="2950"/>
      <c r="HUB23" s="2950"/>
      <c r="HUC23" s="2950"/>
      <c r="HUD23" s="2950"/>
      <c r="HUE23" s="2950"/>
      <c r="HUF23" s="2950"/>
      <c r="HUG23" s="2950"/>
      <c r="HUH23" s="2950"/>
      <c r="HUI23" s="2950"/>
      <c r="HUJ23" s="2950"/>
      <c r="HUK23" s="2950"/>
      <c r="HUL23" s="2950"/>
      <c r="HUM23" s="2950"/>
      <c r="HUN23" s="2950"/>
      <c r="HUO23" s="2950"/>
      <c r="HUP23" s="2950"/>
      <c r="HUQ23" s="2950"/>
      <c r="HUR23" s="2950"/>
      <c r="HUS23" s="2950"/>
      <c r="HUT23" s="2950"/>
      <c r="HUU23" s="2950"/>
      <c r="HUV23" s="2950"/>
      <c r="HUW23" s="2950"/>
      <c r="HUX23" s="2950"/>
      <c r="HUY23" s="2950"/>
      <c r="HUZ23" s="2950"/>
      <c r="HVA23" s="2950"/>
      <c r="HVB23" s="2950"/>
      <c r="HVC23" s="2950"/>
      <c r="HVD23" s="2950"/>
      <c r="HVE23" s="2950"/>
      <c r="HVF23" s="2950"/>
      <c r="HVG23" s="2950"/>
      <c r="HVH23" s="2950"/>
      <c r="HVI23" s="2950"/>
      <c r="HVJ23" s="2950"/>
      <c r="HVK23" s="2950"/>
      <c r="HVL23" s="2950"/>
      <c r="HVM23" s="2950"/>
      <c r="HVN23" s="2950"/>
      <c r="HVO23" s="2950"/>
      <c r="HVP23" s="2950"/>
      <c r="HVQ23" s="2950"/>
      <c r="HVR23" s="2950"/>
      <c r="HVS23" s="2950"/>
      <c r="HVT23" s="2950"/>
      <c r="HVU23" s="2950"/>
      <c r="HVV23" s="2950"/>
      <c r="HVW23" s="2950"/>
      <c r="HVX23" s="2950"/>
      <c r="HVY23" s="2950"/>
      <c r="HVZ23" s="2950"/>
      <c r="HWA23" s="2950"/>
      <c r="HWB23" s="2950"/>
      <c r="HWC23" s="2950"/>
      <c r="HWD23" s="2950"/>
      <c r="HWE23" s="2950"/>
      <c r="HWF23" s="2950"/>
      <c r="HWG23" s="2950"/>
      <c r="HWH23" s="2950"/>
      <c r="HWI23" s="2950"/>
      <c r="HWJ23" s="2950"/>
      <c r="HWK23" s="2950"/>
      <c r="HWL23" s="2950"/>
      <c r="HWM23" s="2950"/>
      <c r="HWN23" s="2950"/>
      <c r="HWO23" s="2950"/>
      <c r="HWP23" s="2950"/>
      <c r="HWQ23" s="2950"/>
      <c r="HWR23" s="2950"/>
      <c r="HWS23" s="2950"/>
      <c r="HWT23" s="2950"/>
      <c r="HWU23" s="2950"/>
      <c r="HWV23" s="2950"/>
      <c r="HWW23" s="2950"/>
      <c r="HWX23" s="2950"/>
      <c r="HWY23" s="2950"/>
      <c r="HWZ23" s="2950"/>
      <c r="HXA23" s="2950"/>
      <c r="HXB23" s="2950"/>
      <c r="HXC23" s="2950"/>
      <c r="HXD23" s="2950"/>
      <c r="HXE23" s="2950"/>
      <c r="HXF23" s="2950"/>
      <c r="HXG23" s="2950"/>
      <c r="HXH23" s="2950"/>
      <c r="HXI23" s="2950"/>
      <c r="HXJ23" s="2950"/>
      <c r="HXK23" s="2950"/>
      <c r="HXL23" s="2950"/>
      <c r="HXM23" s="2950"/>
      <c r="HXN23" s="2950"/>
      <c r="HXO23" s="2950"/>
      <c r="HXP23" s="2950"/>
      <c r="HXQ23" s="2950"/>
      <c r="HXR23" s="2950"/>
      <c r="HXS23" s="2950"/>
      <c r="HXT23" s="2950"/>
      <c r="HXU23" s="2950"/>
      <c r="HXV23" s="2950"/>
      <c r="HXW23" s="2950"/>
      <c r="HXX23" s="2950"/>
      <c r="HXY23" s="2950"/>
      <c r="HXZ23" s="2950"/>
      <c r="HYA23" s="2950"/>
      <c r="HYB23" s="2950"/>
      <c r="HYC23" s="2950"/>
      <c r="HYD23" s="2950"/>
      <c r="HYE23" s="2950"/>
      <c r="HYF23" s="2950"/>
      <c r="HYG23" s="2950"/>
      <c r="HYH23" s="2950"/>
      <c r="HYI23" s="2950"/>
      <c r="HYJ23" s="2950"/>
      <c r="HYK23" s="2950"/>
      <c r="HYL23" s="2950"/>
      <c r="HYM23" s="2950"/>
      <c r="HYN23" s="2950"/>
      <c r="HYO23" s="2950"/>
      <c r="HYP23" s="2950"/>
      <c r="HYQ23" s="2950"/>
      <c r="HYR23" s="2950"/>
      <c r="HYS23" s="2950"/>
      <c r="HYT23" s="2950"/>
      <c r="HYU23" s="2950"/>
      <c r="HYV23" s="2950"/>
      <c r="HYW23" s="2950"/>
      <c r="HYX23" s="2950"/>
      <c r="HYY23" s="2950"/>
      <c r="HYZ23" s="2950"/>
      <c r="HZA23" s="2950"/>
      <c r="HZB23" s="2950"/>
      <c r="HZC23" s="2950"/>
      <c r="HZD23" s="2950"/>
      <c r="HZE23" s="2950"/>
      <c r="HZF23" s="2950"/>
      <c r="HZG23" s="2950"/>
      <c r="HZH23" s="2950"/>
      <c r="HZI23" s="2950"/>
      <c r="HZJ23" s="2950"/>
      <c r="HZK23" s="2950"/>
      <c r="HZL23" s="2950"/>
      <c r="HZM23" s="2950"/>
      <c r="HZN23" s="2950"/>
      <c r="HZO23" s="2950"/>
      <c r="HZP23" s="2950"/>
      <c r="HZQ23" s="2950"/>
      <c r="HZR23" s="2950"/>
      <c r="HZS23" s="2950"/>
      <c r="HZT23" s="2950"/>
      <c r="HZU23" s="2950"/>
      <c r="HZV23" s="2950"/>
      <c r="HZW23" s="2950"/>
      <c r="HZX23" s="2950"/>
      <c r="HZY23" s="2950"/>
      <c r="HZZ23" s="2950"/>
      <c r="IAA23" s="2950"/>
      <c r="IAB23" s="2950"/>
      <c r="IAC23" s="2950"/>
      <c r="IAD23" s="2950"/>
      <c r="IAE23" s="2950"/>
      <c r="IAF23" s="2950"/>
      <c r="IAG23" s="2950"/>
      <c r="IAH23" s="2950"/>
      <c r="IAI23" s="2950"/>
      <c r="IAJ23" s="2950"/>
      <c r="IAK23" s="2950"/>
      <c r="IAL23" s="2950"/>
      <c r="IAM23" s="2950"/>
      <c r="IAN23" s="2950"/>
      <c r="IAO23" s="2950"/>
      <c r="IAP23" s="2950"/>
      <c r="IAQ23" s="2950"/>
      <c r="IAR23" s="2950"/>
      <c r="IAS23" s="2950"/>
      <c r="IAT23" s="2950"/>
      <c r="IAU23" s="2950"/>
      <c r="IAV23" s="2950"/>
      <c r="IAW23" s="2950"/>
      <c r="IAX23" s="2950"/>
      <c r="IAY23" s="2950"/>
      <c r="IAZ23" s="2950"/>
      <c r="IBA23" s="2950"/>
      <c r="IBB23" s="2950"/>
      <c r="IBC23" s="2950"/>
      <c r="IBD23" s="2950"/>
      <c r="IBE23" s="2950"/>
      <c r="IBF23" s="2950"/>
      <c r="IBG23" s="2950"/>
      <c r="IBH23" s="2950"/>
      <c r="IBI23" s="2950"/>
      <c r="IBJ23" s="2950"/>
      <c r="IBK23" s="2950"/>
      <c r="IBL23" s="2950"/>
      <c r="IBM23" s="2950"/>
      <c r="IBN23" s="2950"/>
      <c r="IBO23" s="2950"/>
      <c r="IBP23" s="2950"/>
      <c r="IBQ23" s="2950"/>
      <c r="IBR23" s="2950"/>
      <c r="IBS23" s="2950"/>
      <c r="IBT23" s="2950"/>
      <c r="IBU23" s="2950"/>
      <c r="IBV23" s="2950"/>
      <c r="IBW23" s="2950"/>
      <c r="IBX23" s="2950"/>
      <c r="IBY23" s="2950"/>
      <c r="IBZ23" s="2950"/>
      <c r="ICA23" s="2950"/>
      <c r="ICB23" s="2950"/>
      <c r="ICC23" s="2950"/>
      <c r="ICD23" s="2950"/>
      <c r="ICE23" s="2950"/>
      <c r="ICF23" s="2950"/>
      <c r="ICG23" s="2950"/>
      <c r="ICH23" s="2950"/>
      <c r="ICI23" s="2950"/>
      <c r="ICJ23" s="2950"/>
      <c r="ICK23" s="2950"/>
      <c r="ICL23" s="2950"/>
      <c r="ICM23" s="2950"/>
      <c r="ICN23" s="2950"/>
      <c r="ICO23" s="2950"/>
      <c r="ICP23" s="2950"/>
      <c r="ICQ23" s="2950"/>
      <c r="ICR23" s="2950"/>
      <c r="ICS23" s="2950"/>
      <c r="ICT23" s="2950"/>
      <c r="ICU23" s="2950"/>
      <c r="ICV23" s="2950"/>
      <c r="ICW23" s="2950"/>
      <c r="ICX23" s="2950"/>
      <c r="ICY23" s="2950"/>
      <c r="ICZ23" s="2950"/>
      <c r="IDA23" s="2950"/>
      <c r="IDB23" s="2950"/>
      <c r="IDC23" s="2950"/>
      <c r="IDD23" s="2950"/>
      <c r="IDE23" s="2950"/>
      <c r="IDF23" s="2950"/>
      <c r="IDG23" s="2950"/>
      <c r="IDH23" s="2950"/>
      <c r="IDI23" s="2950"/>
      <c r="IDJ23" s="2950"/>
      <c r="IDK23" s="2950"/>
      <c r="IDL23" s="2950"/>
      <c r="IDM23" s="2950"/>
      <c r="IDN23" s="2950"/>
      <c r="IDO23" s="2950"/>
      <c r="IDP23" s="2950"/>
      <c r="IDQ23" s="2950"/>
      <c r="IDR23" s="2950"/>
      <c r="IDS23" s="2950"/>
      <c r="IDT23" s="2950"/>
      <c r="IDU23" s="2950"/>
      <c r="IDV23" s="2950"/>
      <c r="IDW23" s="2950"/>
      <c r="IDX23" s="2950"/>
      <c r="IDY23" s="2950"/>
      <c r="IDZ23" s="2950"/>
      <c r="IEA23" s="2950"/>
      <c r="IEB23" s="2950"/>
      <c r="IEC23" s="2950"/>
      <c r="IED23" s="2950"/>
      <c r="IEE23" s="2950"/>
      <c r="IEF23" s="2950"/>
      <c r="IEG23" s="2950"/>
      <c r="IEH23" s="2950"/>
      <c r="IEI23" s="2950"/>
      <c r="IEJ23" s="2950"/>
      <c r="IEK23" s="2950"/>
      <c r="IEL23" s="2950"/>
      <c r="IEM23" s="2950"/>
      <c r="IEN23" s="2950"/>
      <c r="IEO23" s="2950"/>
      <c r="IEP23" s="2950"/>
      <c r="IEQ23" s="2950"/>
      <c r="IER23" s="2950"/>
      <c r="IES23" s="2950"/>
      <c r="IET23" s="2950"/>
      <c r="IEU23" s="2950"/>
      <c r="IEV23" s="2950"/>
      <c r="IEW23" s="2950"/>
      <c r="IEX23" s="2950"/>
      <c r="IEY23" s="2950"/>
      <c r="IEZ23" s="2950"/>
      <c r="IFA23" s="2950"/>
      <c r="IFB23" s="2950"/>
      <c r="IFC23" s="2950"/>
      <c r="IFD23" s="2950"/>
      <c r="IFE23" s="2950"/>
      <c r="IFF23" s="2950"/>
      <c r="IFG23" s="2950"/>
      <c r="IFH23" s="2950"/>
      <c r="IFI23" s="2950"/>
      <c r="IFJ23" s="2950"/>
      <c r="IFK23" s="2950"/>
      <c r="IFL23" s="2950"/>
      <c r="IFM23" s="2950"/>
      <c r="IFN23" s="2950"/>
      <c r="IFO23" s="2950"/>
      <c r="IFP23" s="2950"/>
      <c r="IFQ23" s="2950"/>
      <c r="IFR23" s="2950"/>
      <c r="IFS23" s="2950"/>
      <c r="IFT23" s="2950"/>
      <c r="IFU23" s="2950"/>
      <c r="IFV23" s="2950"/>
      <c r="IFW23" s="2950"/>
      <c r="IFX23" s="2950"/>
      <c r="IFY23" s="2950"/>
      <c r="IFZ23" s="2950"/>
      <c r="IGA23" s="2950"/>
      <c r="IGB23" s="2950"/>
      <c r="IGC23" s="2950"/>
      <c r="IGD23" s="2950"/>
      <c r="IGE23" s="2950"/>
      <c r="IGF23" s="2950"/>
      <c r="IGG23" s="2950"/>
      <c r="IGH23" s="2950"/>
      <c r="IGI23" s="2950"/>
      <c r="IGJ23" s="2950"/>
      <c r="IGK23" s="2950"/>
      <c r="IGL23" s="2950"/>
      <c r="IGM23" s="2950"/>
      <c r="IGN23" s="2950"/>
      <c r="IGO23" s="2950"/>
      <c r="IGP23" s="2950"/>
      <c r="IGQ23" s="2950"/>
      <c r="IGR23" s="2950"/>
      <c r="IGS23" s="2950"/>
      <c r="IGT23" s="2950"/>
      <c r="IGU23" s="2950"/>
      <c r="IGV23" s="2950"/>
      <c r="IGW23" s="2950"/>
      <c r="IGX23" s="2950"/>
      <c r="IGY23" s="2950"/>
      <c r="IGZ23" s="2950"/>
      <c r="IHA23" s="2950"/>
      <c r="IHB23" s="2950"/>
      <c r="IHC23" s="2950"/>
      <c r="IHD23" s="2950"/>
      <c r="IHE23" s="2950"/>
      <c r="IHF23" s="2950"/>
      <c r="IHG23" s="2950"/>
      <c r="IHH23" s="2950"/>
      <c r="IHI23" s="2950"/>
      <c r="IHJ23" s="2950"/>
      <c r="IHK23" s="2950"/>
      <c r="IHL23" s="2950"/>
      <c r="IHM23" s="2950"/>
      <c r="IHN23" s="2950"/>
      <c r="IHO23" s="2950"/>
      <c r="IHP23" s="2950"/>
      <c r="IHQ23" s="2950"/>
      <c r="IHR23" s="2950"/>
      <c r="IHS23" s="2950"/>
      <c r="IHT23" s="2950"/>
      <c r="IHU23" s="2950"/>
      <c r="IHV23" s="2950"/>
      <c r="IHW23" s="2950"/>
      <c r="IHX23" s="2950"/>
      <c r="IHY23" s="2950"/>
      <c r="IHZ23" s="2950"/>
      <c r="IIA23" s="2950"/>
      <c r="IIB23" s="2950"/>
      <c r="IIC23" s="2950"/>
      <c r="IID23" s="2950"/>
      <c r="IIE23" s="2950"/>
      <c r="IIF23" s="2950"/>
      <c r="IIG23" s="2950"/>
      <c r="IIH23" s="2950"/>
      <c r="III23" s="2950"/>
      <c r="IIJ23" s="2950"/>
      <c r="IIK23" s="2950"/>
      <c r="IIL23" s="2950"/>
      <c r="IIM23" s="2950"/>
      <c r="IIN23" s="2950"/>
      <c r="IIO23" s="2950"/>
      <c r="IIP23" s="2950"/>
      <c r="IIQ23" s="2950"/>
      <c r="IIR23" s="2950"/>
      <c r="IIS23" s="2950"/>
      <c r="IIT23" s="2950"/>
      <c r="IIU23" s="2950"/>
      <c r="IIV23" s="2950"/>
      <c r="IIW23" s="2950"/>
      <c r="IIX23" s="2950"/>
      <c r="IIY23" s="2950"/>
      <c r="IIZ23" s="2950"/>
      <c r="IJA23" s="2950"/>
      <c r="IJB23" s="2950"/>
      <c r="IJC23" s="2950"/>
      <c r="IJD23" s="2950"/>
      <c r="IJE23" s="2950"/>
      <c r="IJF23" s="2950"/>
      <c r="IJG23" s="2950"/>
      <c r="IJH23" s="2950"/>
      <c r="IJI23" s="2950"/>
      <c r="IJJ23" s="2950"/>
      <c r="IJK23" s="2950"/>
      <c r="IJL23" s="2950"/>
      <c r="IJM23" s="2950"/>
      <c r="IJN23" s="2950"/>
      <c r="IJO23" s="2950"/>
      <c r="IJP23" s="2950"/>
      <c r="IJQ23" s="2950"/>
      <c r="IJR23" s="2950"/>
      <c r="IJS23" s="2950"/>
      <c r="IJT23" s="2950"/>
      <c r="IJU23" s="2950"/>
      <c r="IJV23" s="2950"/>
      <c r="IJW23" s="2950"/>
      <c r="IJX23" s="2950"/>
      <c r="IJY23" s="2950"/>
      <c r="IJZ23" s="2950"/>
      <c r="IKA23" s="2950"/>
      <c r="IKB23" s="2950"/>
      <c r="IKC23" s="2950"/>
      <c r="IKD23" s="2950"/>
      <c r="IKE23" s="2950"/>
      <c r="IKF23" s="2950"/>
      <c r="IKG23" s="2950"/>
      <c r="IKH23" s="2950"/>
      <c r="IKI23" s="2950"/>
      <c r="IKJ23" s="2950"/>
      <c r="IKK23" s="2950"/>
      <c r="IKL23" s="2950"/>
      <c r="IKM23" s="2950"/>
      <c r="IKN23" s="2950"/>
      <c r="IKO23" s="2950"/>
      <c r="IKP23" s="2950"/>
      <c r="IKQ23" s="2950"/>
      <c r="IKR23" s="2950"/>
      <c r="IKS23" s="2950"/>
      <c r="IKT23" s="2950"/>
      <c r="IKU23" s="2950"/>
      <c r="IKV23" s="2950"/>
      <c r="IKW23" s="2950"/>
      <c r="IKX23" s="2950"/>
      <c r="IKY23" s="2950"/>
      <c r="IKZ23" s="2950"/>
      <c r="ILA23" s="2950"/>
      <c r="ILB23" s="2950"/>
      <c r="ILC23" s="2950"/>
      <c r="ILD23" s="2950"/>
      <c r="ILE23" s="2950"/>
      <c r="ILF23" s="2950"/>
      <c r="ILG23" s="2950"/>
      <c r="ILH23" s="2950"/>
      <c r="ILI23" s="2950"/>
      <c r="ILJ23" s="2950"/>
      <c r="ILK23" s="2950"/>
      <c r="ILL23" s="2950"/>
      <c r="ILM23" s="2950"/>
      <c r="ILN23" s="2950"/>
      <c r="ILO23" s="2950"/>
      <c r="ILP23" s="2950"/>
      <c r="ILQ23" s="2950"/>
      <c r="ILR23" s="2950"/>
      <c r="ILS23" s="2950"/>
      <c r="ILT23" s="2950"/>
      <c r="ILU23" s="2950"/>
      <c r="ILV23" s="2950"/>
      <c r="ILW23" s="2950"/>
      <c r="ILX23" s="2950"/>
      <c r="ILY23" s="2950"/>
      <c r="ILZ23" s="2950"/>
      <c r="IMA23" s="2950"/>
      <c r="IMB23" s="2950"/>
      <c r="IMC23" s="2950"/>
      <c r="IMD23" s="2950"/>
      <c r="IME23" s="2950"/>
      <c r="IMF23" s="2950"/>
      <c r="IMG23" s="2950"/>
      <c r="IMH23" s="2950"/>
      <c r="IMI23" s="2950"/>
      <c r="IMJ23" s="2950"/>
      <c r="IMK23" s="2950"/>
      <c r="IML23" s="2950"/>
      <c r="IMM23" s="2950"/>
      <c r="IMN23" s="2950"/>
      <c r="IMO23" s="2950"/>
      <c r="IMP23" s="2950"/>
      <c r="IMQ23" s="2950"/>
      <c r="IMR23" s="2950"/>
      <c r="IMS23" s="2950"/>
      <c r="IMT23" s="2950"/>
      <c r="IMU23" s="2950"/>
      <c r="IMV23" s="2950"/>
      <c r="IMW23" s="2950"/>
      <c r="IMX23" s="2950"/>
      <c r="IMY23" s="2950"/>
      <c r="IMZ23" s="2950"/>
      <c r="INA23" s="2950"/>
      <c r="INB23" s="2950"/>
      <c r="INC23" s="2950"/>
      <c r="IND23" s="2950"/>
      <c r="INE23" s="2950"/>
      <c r="INF23" s="2950"/>
      <c r="ING23" s="2950"/>
      <c r="INH23" s="2950"/>
      <c r="INI23" s="2950"/>
      <c r="INJ23" s="2950"/>
      <c r="INK23" s="2950"/>
      <c r="INL23" s="2950"/>
      <c r="INM23" s="2950"/>
      <c r="INN23" s="2950"/>
      <c r="INO23" s="2950"/>
      <c r="INP23" s="2950"/>
      <c r="INQ23" s="2950"/>
      <c r="INR23" s="2950"/>
      <c r="INS23" s="2950"/>
      <c r="INT23" s="2950"/>
      <c r="INU23" s="2950"/>
      <c r="INV23" s="2950"/>
      <c r="INW23" s="2950"/>
      <c r="INX23" s="2950"/>
      <c r="INY23" s="2950"/>
      <c r="INZ23" s="2950"/>
      <c r="IOA23" s="2950"/>
      <c r="IOB23" s="2950"/>
      <c r="IOC23" s="2950"/>
      <c r="IOD23" s="2950"/>
      <c r="IOE23" s="2950"/>
      <c r="IOF23" s="2950"/>
      <c r="IOG23" s="2950"/>
      <c r="IOH23" s="2950"/>
      <c r="IOI23" s="2950"/>
      <c r="IOJ23" s="2950"/>
      <c r="IOK23" s="2950"/>
      <c r="IOL23" s="2950"/>
      <c r="IOM23" s="2950"/>
      <c r="ION23" s="2950"/>
      <c r="IOO23" s="2950"/>
      <c r="IOP23" s="2950"/>
      <c r="IOQ23" s="2950"/>
      <c r="IOR23" s="2950"/>
      <c r="IOS23" s="2950"/>
      <c r="IOT23" s="2950"/>
      <c r="IOU23" s="2950"/>
      <c r="IOV23" s="2950"/>
      <c r="IOW23" s="2950"/>
      <c r="IOX23" s="2950"/>
      <c r="IOY23" s="2950"/>
      <c r="IOZ23" s="2950"/>
      <c r="IPA23" s="2950"/>
      <c r="IPB23" s="2950"/>
      <c r="IPC23" s="2950"/>
      <c r="IPD23" s="2950"/>
      <c r="IPE23" s="2950"/>
      <c r="IPF23" s="2950"/>
      <c r="IPG23" s="2950"/>
      <c r="IPH23" s="2950"/>
      <c r="IPI23" s="2950"/>
      <c r="IPJ23" s="2950"/>
      <c r="IPK23" s="2950"/>
      <c r="IPL23" s="2950"/>
      <c r="IPM23" s="2950"/>
      <c r="IPN23" s="2950"/>
      <c r="IPO23" s="2950"/>
      <c r="IPP23" s="2950"/>
      <c r="IPQ23" s="2950"/>
      <c r="IPR23" s="2950"/>
      <c r="IPS23" s="2950"/>
      <c r="IPT23" s="2950"/>
      <c r="IPU23" s="2950"/>
      <c r="IPV23" s="2950"/>
      <c r="IPW23" s="2950"/>
      <c r="IPX23" s="2950"/>
      <c r="IPY23" s="2950"/>
      <c r="IPZ23" s="2950"/>
      <c r="IQA23" s="2950"/>
      <c r="IQB23" s="2950"/>
      <c r="IQC23" s="2950"/>
      <c r="IQD23" s="2950"/>
      <c r="IQE23" s="2950"/>
      <c r="IQF23" s="2950"/>
      <c r="IQG23" s="2950"/>
      <c r="IQH23" s="2950"/>
      <c r="IQI23" s="2950"/>
      <c r="IQJ23" s="2950"/>
      <c r="IQK23" s="2950"/>
      <c r="IQL23" s="2950"/>
      <c r="IQM23" s="2950"/>
      <c r="IQN23" s="2950"/>
      <c r="IQO23" s="2950"/>
      <c r="IQP23" s="2950"/>
      <c r="IQQ23" s="2950"/>
      <c r="IQR23" s="2950"/>
      <c r="IQS23" s="2950"/>
      <c r="IQT23" s="2950"/>
      <c r="IQU23" s="2950"/>
      <c r="IQV23" s="2950"/>
      <c r="IQW23" s="2950"/>
      <c r="IQX23" s="2950"/>
      <c r="IQY23" s="2950"/>
      <c r="IQZ23" s="2950"/>
      <c r="IRA23" s="2950"/>
      <c r="IRB23" s="2950"/>
      <c r="IRC23" s="2950"/>
      <c r="IRD23" s="2950"/>
      <c r="IRE23" s="2950"/>
      <c r="IRF23" s="2950"/>
      <c r="IRG23" s="2950"/>
      <c r="IRH23" s="2950"/>
      <c r="IRI23" s="2950"/>
      <c r="IRJ23" s="2950"/>
      <c r="IRK23" s="2950"/>
      <c r="IRL23" s="2950"/>
      <c r="IRM23" s="2950"/>
      <c r="IRN23" s="2950"/>
      <c r="IRO23" s="2950"/>
      <c r="IRP23" s="2950"/>
      <c r="IRQ23" s="2950"/>
      <c r="IRR23" s="2950"/>
      <c r="IRS23" s="2950"/>
      <c r="IRT23" s="2950"/>
      <c r="IRU23" s="2950"/>
      <c r="IRV23" s="2950"/>
      <c r="IRW23" s="2950"/>
      <c r="IRX23" s="2950"/>
      <c r="IRY23" s="2950"/>
      <c r="IRZ23" s="2950"/>
      <c r="ISA23" s="2950"/>
      <c r="ISB23" s="2950"/>
      <c r="ISC23" s="2950"/>
      <c r="ISD23" s="2950"/>
      <c r="ISE23" s="2950"/>
      <c r="ISF23" s="2950"/>
      <c r="ISG23" s="2950"/>
      <c r="ISH23" s="2950"/>
      <c r="ISI23" s="2950"/>
      <c r="ISJ23" s="2950"/>
      <c r="ISK23" s="2950"/>
      <c r="ISL23" s="2950"/>
      <c r="ISM23" s="2950"/>
      <c r="ISN23" s="2950"/>
      <c r="ISO23" s="2950"/>
      <c r="ISP23" s="2950"/>
      <c r="ISQ23" s="2950"/>
      <c r="ISR23" s="2950"/>
      <c r="ISS23" s="2950"/>
      <c r="IST23" s="2950"/>
      <c r="ISU23" s="2950"/>
      <c r="ISV23" s="2950"/>
      <c r="ISW23" s="2950"/>
      <c r="ISX23" s="2950"/>
      <c r="ISY23" s="2950"/>
      <c r="ISZ23" s="2950"/>
      <c r="ITA23" s="2950"/>
      <c r="ITB23" s="2950"/>
      <c r="ITC23" s="2950"/>
      <c r="ITD23" s="2950"/>
      <c r="ITE23" s="2950"/>
      <c r="ITF23" s="2950"/>
      <c r="ITG23" s="2950"/>
      <c r="ITH23" s="2950"/>
      <c r="ITI23" s="2950"/>
      <c r="ITJ23" s="2950"/>
      <c r="ITK23" s="2950"/>
      <c r="ITL23" s="2950"/>
      <c r="ITM23" s="2950"/>
      <c r="ITN23" s="2950"/>
      <c r="ITO23" s="2950"/>
      <c r="ITP23" s="2950"/>
      <c r="ITQ23" s="2950"/>
      <c r="ITR23" s="2950"/>
      <c r="ITS23" s="2950"/>
      <c r="ITT23" s="2950"/>
      <c r="ITU23" s="2950"/>
      <c r="ITV23" s="2950"/>
      <c r="ITW23" s="2950"/>
      <c r="ITX23" s="2950"/>
      <c r="ITY23" s="2950"/>
      <c r="ITZ23" s="2950"/>
      <c r="IUA23" s="2950"/>
      <c r="IUB23" s="2950"/>
      <c r="IUC23" s="2950"/>
      <c r="IUD23" s="2950"/>
      <c r="IUE23" s="2950"/>
      <c r="IUF23" s="2950"/>
      <c r="IUG23" s="2950"/>
      <c r="IUH23" s="2950"/>
      <c r="IUI23" s="2950"/>
      <c r="IUJ23" s="2950"/>
      <c r="IUK23" s="2950"/>
      <c r="IUL23" s="2950"/>
      <c r="IUM23" s="2950"/>
      <c r="IUN23" s="2950"/>
      <c r="IUO23" s="2950"/>
      <c r="IUP23" s="2950"/>
      <c r="IUQ23" s="2950"/>
      <c r="IUR23" s="2950"/>
      <c r="IUS23" s="2950"/>
      <c r="IUT23" s="2950"/>
      <c r="IUU23" s="2950"/>
      <c r="IUV23" s="2950"/>
      <c r="IUW23" s="2950"/>
      <c r="IUX23" s="2950"/>
      <c r="IUY23" s="2950"/>
      <c r="IUZ23" s="2950"/>
      <c r="IVA23" s="2950"/>
      <c r="IVB23" s="2950"/>
      <c r="IVC23" s="2950"/>
      <c r="IVD23" s="2950"/>
      <c r="IVE23" s="2950"/>
      <c r="IVF23" s="2950"/>
      <c r="IVG23" s="2950"/>
      <c r="IVH23" s="2950"/>
      <c r="IVI23" s="2950"/>
      <c r="IVJ23" s="2950"/>
      <c r="IVK23" s="2950"/>
      <c r="IVL23" s="2950"/>
      <c r="IVM23" s="2950"/>
      <c r="IVN23" s="2950"/>
      <c r="IVO23" s="2950"/>
      <c r="IVP23" s="2950"/>
      <c r="IVQ23" s="2950"/>
      <c r="IVR23" s="2950"/>
      <c r="IVS23" s="2950"/>
      <c r="IVT23" s="2950"/>
      <c r="IVU23" s="2950"/>
      <c r="IVV23" s="2950"/>
      <c r="IVW23" s="2950"/>
      <c r="IVX23" s="2950"/>
      <c r="IVY23" s="2950"/>
      <c r="IVZ23" s="2950"/>
      <c r="IWA23" s="2950"/>
      <c r="IWB23" s="2950"/>
      <c r="IWC23" s="2950"/>
      <c r="IWD23" s="2950"/>
      <c r="IWE23" s="2950"/>
      <c r="IWF23" s="2950"/>
      <c r="IWG23" s="2950"/>
      <c r="IWH23" s="2950"/>
      <c r="IWI23" s="2950"/>
      <c r="IWJ23" s="2950"/>
      <c r="IWK23" s="2950"/>
      <c r="IWL23" s="2950"/>
      <c r="IWM23" s="2950"/>
      <c r="IWN23" s="2950"/>
      <c r="IWO23" s="2950"/>
      <c r="IWP23" s="2950"/>
      <c r="IWQ23" s="2950"/>
      <c r="IWR23" s="2950"/>
      <c r="IWS23" s="2950"/>
      <c r="IWT23" s="2950"/>
      <c r="IWU23" s="2950"/>
      <c r="IWV23" s="2950"/>
      <c r="IWW23" s="2950"/>
      <c r="IWX23" s="2950"/>
      <c r="IWY23" s="2950"/>
      <c r="IWZ23" s="2950"/>
      <c r="IXA23" s="2950"/>
      <c r="IXB23" s="2950"/>
      <c r="IXC23" s="2950"/>
      <c r="IXD23" s="2950"/>
      <c r="IXE23" s="2950"/>
      <c r="IXF23" s="2950"/>
      <c r="IXG23" s="2950"/>
      <c r="IXH23" s="2950"/>
      <c r="IXI23" s="2950"/>
      <c r="IXJ23" s="2950"/>
      <c r="IXK23" s="2950"/>
      <c r="IXL23" s="2950"/>
      <c r="IXM23" s="2950"/>
      <c r="IXN23" s="2950"/>
      <c r="IXO23" s="2950"/>
      <c r="IXP23" s="2950"/>
      <c r="IXQ23" s="2950"/>
      <c r="IXR23" s="2950"/>
      <c r="IXS23" s="2950"/>
      <c r="IXT23" s="2950"/>
      <c r="IXU23" s="2950"/>
      <c r="IXV23" s="2950"/>
      <c r="IXW23" s="2950"/>
      <c r="IXX23" s="2950"/>
      <c r="IXY23" s="2950"/>
      <c r="IXZ23" s="2950"/>
      <c r="IYA23" s="2950"/>
      <c r="IYB23" s="2950"/>
      <c r="IYC23" s="2950"/>
      <c r="IYD23" s="2950"/>
      <c r="IYE23" s="2950"/>
      <c r="IYF23" s="2950"/>
      <c r="IYG23" s="2950"/>
      <c r="IYH23" s="2950"/>
      <c r="IYI23" s="2950"/>
      <c r="IYJ23" s="2950"/>
      <c r="IYK23" s="2950"/>
      <c r="IYL23" s="2950"/>
      <c r="IYM23" s="2950"/>
      <c r="IYN23" s="2950"/>
      <c r="IYO23" s="2950"/>
      <c r="IYP23" s="2950"/>
      <c r="IYQ23" s="2950"/>
      <c r="IYR23" s="2950"/>
      <c r="IYS23" s="2950"/>
      <c r="IYT23" s="2950"/>
      <c r="IYU23" s="2950"/>
      <c r="IYV23" s="2950"/>
      <c r="IYW23" s="2950"/>
      <c r="IYX23" s="2950"/>
      <c r="IYY23" s="2950"/>
      <c r="IYZ23" s="2950"/>
      <c r="IZA23" s="2950"/>
      <c r="IZB23" s="2950"/>
      <c r="IZC23" s="2950"/>
      <c r="IZD23" s="2950"/>
      <c r="IZE23" s="2950"/>
      <c r="IZF23" s="2950"/>
      <c r="IZG23" s="2950"/>
      <c r="IZH23" s="2950"/>
      <c r="IZI23" s="2950"/>
      <c r="IZJ23" s="2950"/>
      <c r="IZK23" s="2950"/>
      <c r="IZL23" s="2950"/>
      <c r="IZM23" s="2950"/>
      <c r="IZN23" s="2950"/>
      <c r="IZO23" s="2950"/>
      <c r="IZP23" s="2950"/>
      <c r="IZQ23" s="2950"/>
      <c r="IZR23" s="2950"/>
      <c r="IZS23" s="2950"/>
      <c r="IZT23" s="2950"/>
      <c r="IZU23" s="2950"/>
      <c r="IZV23" s="2950"/>
      <c r="IZW23" s="2950"/>
      <c r="IZX23" s="2950"/>
      <c r="IZY23" s="2950"/>
      <c r="IZZ23" s="2950"/>
      <c r="JAA23" s="2950"/>
      <c r="JAB23" s="2950"/>
      <c r="JAC23" s="2950"/>
      <c r="JAD23" s="2950"/>
      <c r="JAE23" s="2950"/>
      <c r="JAF23" s="2950"/>
      <c r="JAG23" s="2950"/>
      <c r="JAH23" s="2950"/>
      <c r="JAI23" s="2950"/>
      <c r="JAJ23" s="2950"/>
      <c r="JAK23" s="2950"/>
      <c r="JAL23" s="2950"/>
      <c r="JAM23" s="2950"/>
      <c r="JAN23" s="2950"/>
      <c r="JAO23" s="2950"/>
      <c r="JAP23" s="2950"/>
      <c r="JAQ23" s="2950"/>
      <c r="JAR23" s="2950"/>
      <c r="JAS23" s="2950"/>
      <c r="JAT23" s="2950"/>
      <c r="JAU23" s="2950"/>
      <c r="JAV23" s="2950"/>
      <c r="JAW23" s="2950"/>
      <c r="JAX23" s="2950"/>
      <c r="JAY23" s="2950"/>
      <c r="JAZ23" s="2950"/>
      <c r="JBA23" s="2950"/>
      <c r="JBB23" s="2950"/>
      <c r="JBC23" s="2950"/>
      <c r="JBD23" s="2950"/>
      <c r="JBE23" s="2950"/>
      <c r="JBF23" s="2950"/>
      <c r="JBG23" s="2950"/>
      <c r="JBH23" s="2950"/>
      <c r="JBI23" s="2950"/>
      <c r="JBJ23" s="2950"/>
      <c r="JBK23" s="2950"/>
      <c r="JBL23" s="2950"/>
      <c r="JBM23" s="2950"/>
      <c r="JBN23" s="2950"/>
      <c r="JBO23" s="2950"/>
      <c r="JBP23" s="2950"/>
      <c r="JBQ23" s="2950"/>
      <c r="JBR23" s="2950"/>
      <c r="JBS23" s="2950"/>
      <c r="JBT23" s="2950"/>
      <c r="JBU23" s="2950"/>
      <c r="JBV23" s="2950"/>
      <c r="JBW23" s="2950"/>
      <c r="JBX23" s="2950"/>
      <c r="JBY23" s="2950"/>
      <c r="JBZ23" s="2950"/>
      <c r="JCA23" s="2950"/>
      <c r="JCB23" s="2950"/>
      <c r="JCC23" s="2950"/>
      <c r="JCD23" s="2950"/>
      <c r="JCE23" s="2950"/>
      <c r="JCF23" s="2950"/>
      <c r="JCG23" s="2950"/>
      <c r="JCH23" s="2950"/>
      <c r="JCI23" s="2950"/>
      <c r="JCJ23" s="2950"/>
      <c r="JCK23" s="2950"/>
      <c r="JCL23" s="2950"/>
      <c r="JCM23" s="2950"/>
      <c r="JCN23" s="2950"/>
      <c r="JCO23" s="2950"/>
      <c r="JCP23" s="2950"/>
      <c r="JCQ23" s="2950"/>
      <c r="JCR23" s="2950"/>
      <c r="JCS23" s="2950"/>
      <c r="JCT23" s="2950"/>
      <c r="JCU23" s="2950"/>
      <c r="JCV23" s="2950"/>
      <c r="JCW23" s="2950"/>
      <c r="JCX23" s="2950"/>
      <c r="JCY23" s="2950"/>
      <c r="JCZ23" s="2950"/>
      <c r="JDA23" s="2950"/>
      <c r="JDB23" s="2950"/>
      <c r="JDC23" s="2950"/>
      <c r="JDD23" s="2950"/>
      <c r="JDE23" s="2950"/>
      <c r="JDF23" s="2950"/>
      <c r="JDG23" s="2950"/>
      <c r="JDH23" s="2950"/>
      <c r="JDI23" s="2950"/>
      <c r="JDJ23" s="2950"/>
      <c r="JDK23" s="2950"/>
      <c r="JDL23" s="2950"/>
      <c r="JDM23" s="2950"/>
      <c r="JDN23" s="2950"/>
      <c r="JDO23" s="2950"/>
      <c r="JDP23" s="2950"/>
      <c r="JDQ23" s="2950"/>
      <c r="JDR23" s="2950"/>
      <c r="JDS23" s="2950"/>
      <c r="JDT23" s="2950"/>
      <c r="JDU23" s="2950"/>
      <c r="JDV23" s="2950"/>
      <c r="JDW23" s="2950"/>
      <c r="JDX23" s="2950"/>
      <c r="JDY23" s="2950"/>
      <c r="JDZ23" s="2950"/>
      <c r="JEA23" s="2950"/>
      <c r="JEB23" s="2950"/>
      <c r="JEC23" s="2950"/>
      <c r="JED23" s="2950"/>
      <c r="JEE23" s="2950"/>
      <c r="JEF23" s="2950"/>
      <c r="JEG23" s="2950"/>
      <c r="JEH23" s="2950"/>
      <c r="JEI23" s="2950"/>
      <c r="JEJ23" s="2950"/>
      <c r="JEK23" s="2950"/>
      <c r="JEL23" s="2950"/>
      <c r="JEM23" s="2950"/>
      <c r="JEN23" s="2950"/>
      <c r="JEO23" s="2950"/>
      <c r="JEP23" s="2950"/>
      <c r="JEQ23" s="2950"/>
      <c r="JER23" s="2950"/>
      <c r="JES23" s="2950"/>
      <c r="JET23" s="2950"/>
      <c r="JEU23" s="2950"/>
      <c r="JEV23" s="2950"/>
      <c r="JEW23" s="2950"/>
      <c r="JEX23" s="2950"/>
      <c r="JEY23" s="2950"/>
      <c r="JEZ23" s="2950"/>
      <c r="JFA23" s="2950"/>
      <c r="JFB23" s="2950"/>
      <c r="JFC23" s="2950"/>
      <c r="JFD23" s="2950"/>
      <c r="JFE23" s="2950"/>
      <c r="JFF23" s="2950"/>
      <c r="JFG23" s="2950"/>
      <c r="JFH23" s="2950"/>
      <c r="JFI23" s="2950"/>
      <c r="JFJ23" s="2950"/>
      <c r="JFK23" s="2950"/>
      <c r="JFL23" s="2950"/>
      <c r="JFM23" s="2950"/>
      <c r="JFN23" s="2950"/>
      <c r="JFO23" s="2950"/>
      <c r="JFP23" s="2950"/>
      <c r="JFQ23" s="2950"/>
      <c r="JFR23" s="2950"/>
      <c r="JFS23" s="2950"/>
      <c r="JFT23" s="2950"/>
      <c r="JFU23" s="2950"/>
      <c r="JFV23" s="2950"/>
      <c r="JFW23" s="2950"/>
      <c r="JFX23" s="2950"/>
      <c r="JFY23" s="2950"/>
      <c r="JFZ23" s="2950"/>
      <c r="JGA23" s="2950"/>
      <c r="JGB23" s="2950"/>
      <c r="JGC23" s="2950"/>
      <c r="JGD23" s="2950"/>
      <c r="JGE23" s="2950"/>
      <c r="JGF23" s="2950"/>
      <c r="JGG23" s="2950"/>
      <c r="JGH23" s="2950"/>
      <c r="JGI23" s="2950"/>
      <c r="JGJ23" s="2950"/>
      <c r="JGK23" s="2950"/>
      <c r="JGL23" s="2950"/>
      <c r="JGM23" s="2950"/>
      <c r="JGN23" s="2950"/>
      <c r="JGO23" s="2950"/>
      <c r="JGP23" s="2950"/>
      <c r="JGQ23" s="2950"/>
      <c r="JGR23" s="2950"/>
      <c r="JGS23" s="2950"/>
      <c r="JGT23" s="2950"/>
      <c r="JGU23" s="2950"/>
      <c r="JGV23" s="2950"/>
      <c r="JGW23" s="2950"/>
      <c r="JGX23" s="2950"/>
      <c r="JGY23" s="2950"/>
      <c r="JGZ23" s="2950"/>
      <c r="JHA23" s="2950"/>
      <c r="JHB23" s="2950"/>
      <c r="JHC23" s="2950"/>
      <c r="JHD23" s="2950"/>
      <c r="JHE23" s="2950"/>
      <c r="JHF23" s="2950"/>
      <c r="JHG23" s="2950"/>
      <c r="JHH23" s="2950"/>
      <c r="JHI23" s="2950"/>
      <c r="JHJ23" s="2950"/>
      <c r="JHK23" s="2950"/>
      <c r="JHL23" s="2950"/>
      <c r="JHM23" s="2950"/>
      <c r="JHN23" s="2950"/>
      <c r="JHO23" s="2950"/>
      <c r="JHP23" s="2950"/>
      <c r="JHQ23" s="2950"/>
      <c r="JHR23" s="2950"/>
      <c r="JHS23" s="2950"/>
      <c r="JHT23" s="2950"/>
      <c r="JHU23" s="2950"/>
      <c r="JHV23" s="2950"/>
      <c r="JHW23" s="2950"/>
      <c r="JHX23" s="2950"/>
      <c r="JHY23" s="2950"/>
      <c r="JHZ23" s="2950"/>
      <c r="JIA23" s="2950"/>
      <c r="JIB23" s="2950"/>
      <c r="JIC23" s="2950"/>
      <c r="JID23" s="2950"/>
      <c r="JIE23" s="2950"/>
      <c r="JIF23" s="2950"/>
      <c r="JIG23" s="2950"/>
      <c r="JIH23" s="2950"/>
      <c r="JII23" s="2950"/>
      <c r="JIJ23" s="2950"/>
      <c r="JIK23" s="2950"/>
      <c r="JIL23" s="2950"/>
      <c r="JIM23" s="2950"/>
      <c r="JIN23" s="2950"/>
      <c r="JIO23" s="2950"/>
      <c r="JIP23" s="2950"/>
      <c r="JIQ23" s="2950"/>
      <c r="JIR23" s="2950"/>
      <c r="JIS23" s="2950"/>
      <c r="JIT23" s="2950"/>
      <c r="JIU23" s="2950"/>
      <c r="JIV23" s="2950"/>
      <c r="JIW23" s="2950"/>
      <c r="JIX23" s="2950"/>
      <c r="JIY23" s="2950"/>
      <c r="JIZ23" s="2950"/>
      <c r="JJA23" s="2950"/>
      <c r="JJB23" s="2950"/>
      <c r="JJC23" s="2950"/>
      <c r="JJD23" s="2950"/>
      <c r="JJE23" s="2950"/>
      <c r="JJF23" s="2950"/>
      <c r="JJG23" s="2950"/>
      <c r="JJH23" s="2950"/>
      <c r="JJI23" s="2950"/>
      <c r="JJJ23" s="2950"/>
      <c r="JJK23" s="2950"/>
      <c r="JJL23" s="2950"/>
      <c r="JJM23" s="2950"/>
      <c r="JJN23" s="2950"/>
      <c r="JJO23" s="2950"/>
      <c r="JJP23" s="2950"/>
      <c r="JJQ23" s="2950"/>
      <c r="JJR23" s="2950"/>
      <c r="JJS23" s="2950"/>
      <c r="JJT23" s="2950"/>
      <c r="JJU23" s="2950"/>
      <c r="JJV23" s="2950"/>
      <c r="JJW23" s="2950"/>
      <c r="JJX23" s="2950"/>
      <c r="JJY23" s="2950"/>
      <c r="JJZ23" s="2950"/>
      <c r="JKA23" s="2950"/>
      <c r="JKB23" s="2950"/>
      <c r="JKC23" s="2950"/>
      <c r="JKD23" s="2950"/>
      <c r="JKE23" s="2950"/>
      <c r="JKF23" s="2950"/>
      <c r="JKG23" s="2950"/>
      <c r="JKH23" s="2950"/>
      <c r="JKI23" s="2950"/>
      <c r="JKJ23" s="2950"/>
      <c r="JKK23" s="2950"/>
      <c r="JKL23" s="2950"/>
      <c r="JKM23" s="2950"/>
      <c r="JKN23" s="2950"/>
      <c r="JKO23" s="2950"/>
      <c r="JKP23" s="2950"/>
      <c r="JKQ23" s="2950"/>
      <c r="JKR23" s="2950"/>
      <c r="JKS23" s="2950"/>
      <c r="JKT23" s="2950"/>
      <c r="JKU23" s="2950"/>
      <c r="JKV23" s="2950"/>
      <c r="JKW23" s="2950"/>
      <c r="JKX23" s="2950"/>
      <c r="JKY23" s="2950"/>
      <c r="JKZ23" s="2950"/>
      <c r="JLA23" s="2950"/>
      <c r="JLB23" s="2950"/>
      <c r="JLC23" s="2950"/>
      <c r="JLD23" s="2950"/>
      <c r="JLE23" s="2950"/>
      <c r="JLF23" s="2950"/>
      <c r="JLG23" s="2950"/>
      <c r="JLH23" s="2950"/>
      <c r="JLI23" s="2950"/>
      <c r="JLJ23" s="2950"/>
      <c r="JLK23" s="2950"/>
      <c r="JLL23" s="2950"/>
      <c r="JLM23" s="2950"/>
      <c r="JLN23" s="2950"/>
      <c r="JLO23" s="2950"/>
      <c r="JLP23" s="2950"/>
      <c r="JLQ23" s="2950"/>
      <c r="JLR23" s="2950"/>
      <c r="JLS23" s="2950"/>
      <c r="JLT23" s="2950"/>
      <c r="JLU23" s="2950"/>
      <c r="JLV23" s="2950"/>
      <c r="JLW23" s="2950"/>
      <c r="JLX23" s="2950"/>
      <c r="JLY23" s="2950"/>
      <c r="JLZ23" s="2950"/>
      <c r="JMA23" s="2950"/>
      <c r="JMB23" s="2950"/>
      <c r="JMC23" s="2950"/>
      <c r="JMD23" s="2950"/>
      <c r="JME23" s="2950"/>
      <c r="JMF23" s="2950"/>
      <c r="JMG23" s="2950"/>
      <c r="JMH23" s="2950"/>
      <c r="JMI23" s="2950"/>
      <c r="JMJ23" s="2950"/>
      <c r="JMK23" s="2950"/>
      <c r="JML23" s="2950"/>
      <c r="JMM23" s="2950"/>
      <c r="JMN23" s="2950"/>
      <c r="JMO23" s="2950"/>
      <c r="JMP23" s="2950"/>
      <c r="JMQ23" s="2950"/>
      <c r="JMR23" s="2950"/>
      <c r="JMS23" s="2950"/>
      <c r="JMT23" s="2950"/>
      <c r="JMU23" s="2950"/>
      <c r="JMV23" s="2950"/>
      <c r="JMW23" s="2950"/>
      <c r="JMX23" s="2950"/>
      <c r="JMY23" s="2950"/>
      <c r="JMZ23" s="2950"/>
      <c r="JNA23" s="2950"/>
      <c r="JNB23" s="2950"/>
      <c r="JNC23" s="2950"/>
      <c r="JND23" s="2950"/>
      <c r="JNE23" s="2950"/>
      <c r="JNF23" s="2950"/>
      <c r="JNG23" s="2950"/>
      <c r="JNH23" s="2950"/>
      <c r="JNI23" s="2950"/>
      <c r="JNJ23" s="2950"/>
      <c r="JNK23" s="2950"/>
      <c r="JNL23" s="2950"/>
      <c r="JNM23" s="2950"/>
      <c r="JNN23" s="2950"/>
      <c r="JNO23" s="2950"/>
      <c r="JNP23" s="2950"/>
      <c r="JNQ23" s="2950"/>
      <c r="JNR23" s="2950"/>
      <c r="JNS23" s="2950"/>
      <c r="JNT23" s="2950"/>
      <c r="JNU23" s="2950"/>
      <c r="JNV23" s="2950"/>
      <c r="JNW23" s="2950"/>
      <c r="JNX23" s="2950"/>
      <c r="JNY23" s="2950"/>
      <c r="JNZ23" s="2950"/>
      <c r="JOA23" s="2950"/>
      <c r="JOB23" s="2950"/>
      <c r="JOC23" s="2950"/>
      <c r="JOD23" s="2950"/>
      <c r="JOE23" s="2950"/>
      <c r="JOF23" s="2950"/>
      <c r="JOG23" s="2950"/>
      <c r="JOH23" s="2950"/>
      <c r="JOI23" s="2950"/>
      <c r="JOJ23" s="2950"/>
      <c r="JOK23" s="2950"/>
      <c r="JOL23" s="2950"/>
      <c r="JOM23" s="2950"/>
      <c r="JON23" s="2950"/>
      <c r="JOO23" s="2950"/>
      <c r="JOP23" s="2950"/>
      <c r="JOQ23" s="2950"/>
      <c r="JOR23" s="2950"/>
      <c r="JOS23" s="2950"/>
      <c r="JOT23" s="2950"/>
      <c r="JOU23" s="2950"/>
      <c r="JOV23" s="2950"/>
      <c r="JOW23" s="2950"/>
      <c r="JOX23" s="2950"/>
      <c r="JOY23" s="2950"/>
      <c r="JOZ23" s="2950"/>
      <c r="JPA23" s="2950"/>
      <c r="JPB23" s="2950"/>
      <c r="JPC23" s="2950"/>
      <c r="JPD23" s="2950"/>
      <c r="JPE23" s="2950"/>
      <c r="JPF23" s="2950"/>
      <c r="JPG23" s="2950"/>
      <c r="JPH23" s="2950"/>
      <c r="JPI23" s="2950"/>
      <c r="JPJ23" s="2950"/>
      <c r="JPK23" s="2950"/>
      <c r="JPL23" s="2950"/>
      <c r="JPM23" s="2950"/>
      <c r="JPN23" s="2950"/>
      <c r="JPO23" s="2950"/>
      <c r="JPP23" s="2950"/>
      <c r="JPQ23" s="2950"/>
      <c r="JPR23" s="2950"/>
      <c r="JPS23" s="2950"/>
      <c r="JPT23" s="2950"/>
      <c r="JPU23" s="2950"/>
      <c r="JPV23" s="2950"/>
      <c r="JPW23" s="2950"/>
      <c r="JPX23" s="2950"/>
      <c r="JPY23" s="2950"/>
      <c r="JPZ23" s="2950"/>
      <c r="JQA23" s="2950"/>
      <c r="JQB23" s="2950"/>
      <c r="JQC23" s="2950"/>
      <c r="JQD23" s="2950"/>
      <c r="JQE23" s="2950"/>
      <c r="JQF23" s="2950"/>
      <c r="JQG23" s="2950"/>
      <c r="JQH23" s="2950"/>
      <c r="JQI23" s="2950"/>
      <c r="JQJ23" s="2950"/>
      <c r="JQK23" s="2950"/>
      <c r="JQL23" s="2950"/>
      <c r="JQM23" s="2950"/>
      <c r="JQN23" s="2950"/>
      <c r="JQO23" s="2950"/>
      <c r="JQP23" s="2950"/>
      <c r="JQQ23" s="2950"/>
      <c r="JQR23" s="2950"/>
      <c r="JQS23" s="2950"/>
      <c r="JQT23" s="2950"/>
      <c r="JQU23" s="2950"/>
      <c r="JQV23" s="2950"/>
      <c r="JQW23" s="2950"/>
      <c r="JQX23" s="2950"/>
      <c r="JQY23" s="2950"/>
      <c r="JQZ23" s="2950"/>
      <c r="JRA23" s="2950"/>
      <c r="JRB23" s="2950"/>
      <c r="JRC23" s="2950"/>
      <c r="JRD23" s="2950"/>
      <c r="JRE23" s="2950"/>
      <c r="JRF23" s="2950"/>
      <c r="JRG23" s="2950"/>
      <c r="JRH23" s="2950"/>
      <c r="JRI23" s="2950"/>
      <c r="JRJ23" s="2950"/>
      <c r="JRK23" s="2950"/>
      <c r="JRL23" s="2950"/>
      <c r="JRM23" s="2950"/>
      <c r="JRN23" s="2950"/>
      <c r="JRO23" s="2950"/>
      <c r="JRP23" s="2950"/>
      <c r="JRQ23" s="2950"/>
      <c r="JRR23" s="2950"/>
      <c r="JRS23" s="2950"/>
      <c r="JRT23" s="2950"/>
      <c r="JRU23" s="2950"/>
      <c r="JRV23" s="2950"/>
      <c r="JRW23" s="2950"/>
      <c r="JRX23" s="2950"/>
      <c r="JRY23" s="2950"/>
      <c r="JRZ23" s="2950"/>
      <c r="JSA23" s="2950"/>
      <c r="JSB23" s="2950"/>
      <c r="JSC23" s="2950"/>
      <c r="JSD23" s="2950"/>
      <c r="JSE23" s="2950"/>
      <c r="JSF23" s="2950"/>
      <c r="JSG23" s="2950"/>
      <c r="JSH23" s="2950"/>
      <c r="JSI23" s="2950"/>
      <c r="JSJ23" s="2950"/>
      <c r="JSK23" s="2950"/>
      <c r="JSL23" s="2950"/>
      <c r="JSM23" s="2950"/>
      <c r="JSN23" s="2950"/>
      <c r="JSO23" s="2950"/>
      <c r="JSP23" s="2950"/>
      <c r="JSQ23" s="2950"/>
      <c r="JSR23" s="2950"/>
      <c r="JSS23" s="2950"/>
      <c r="JST23" s="2950"/>
      <c r="JSU23" s="2950"/>
      <c r="JSV23" s="2950"/>
      <c r="JSW23" s="2950"/>
      <c r="JSX23" s="2950"/>
      <c r="JSY23" s="2950"/>
      <c r="JSZ23" s="2950"/>
      <c r="JTA23" s="2950"/>
      <c r="JTB23" s="2950"/>
      <c r="JTC23" s="2950"/>
      <c r="JTD23" s="2950"/>
      <c r="JTE23" s="2950"/>
      <c r="JTF23" s="2950"/>
      <c r="JTG23" s="2950"/>
      <c r="JTH23" s="2950"/>
      <c r="JTI23" s="2950"/>
      <c r="JTJ23" s="2950"/>
      <c r="JTK23" s="2950"/>
      <c r="JTL23" s="2950"/>
      <c r="JTM23" s="2950"/>
      <c r="JTN23" s="2950"/>
      <c r="JTO23" s="2950"/>
      <c r="JTP23" s="2950"/>
      <c r="JTQ23" s="2950"/>
      <c r="JTR23" s="2950"/>
      <c r="JTS23" s="2950"/>
      <c r="JTT23" s="2950"/>
      <c r="JTU23" s="2950"/>
      <c r="JTV23" s="2950"/>
      <c r="JTW23" s="2950"/>
      <c r="JTX23" s="2950"/>
      <c r="JTY23" s="2950"/>
      <c r="JTZ23" s="2950"/>
      <c r="JUA23" s="2950"/>
      <c r="JUB23" s="2950"/>
      <c r="JUC23" s="2950"/>
      <c r="JUD23" s="2950"/>
      <c r="JUE23" s="2950"/>
      <c r="JUF23" s="2950"/>
      <c r="JUG23" s="2950"/>
      <c r="JUH23" s="2950"/>
      <c r="JUI23" s="2950"/>
      <c r="JUJ23" s="2950"/>
      <c r="JUK23" s="2950"/>
      <c r="JUL23" s="2950"/>
      <c r="JUM23" s="2950"/>
      <c r="JUN23" s="2950"/>
      <c r="JUO23" s="2950"/>
      <c r="JUP23" s="2950"/>
      <c r="JUQ23" s="2950"/>
      <c r="JUR23" s="2950"/>
      <c r="JUS23" s="2950"/>
      <c r="JUT23" s="2950"/>
      <c r="JUU23" s="2950"/>
      <c r="JUV23" s="2950"/>
      <c r="JUW23" s="2950"/>
      <c r="JUX23" s="2950"/>
      <c r="JUY23" s="2950"/>
      <c r="JUZ23" s="2950"/>
      <c r="JVA23" s="2950"/>
      <c r="JVB23" s="2950"/>
      <c r="JVC23" s="2950"/>
      <c r="JVD23" s="2950"/>
      <c r="JVE23" s="2950"/>
      <c r="JVF23" s="2950"/>
      <c r="JVG23" s="2950"/>
      <c r="JVH23" s="2950"/>
      <c r="JVI23" s="2950"/>
      <c r="JVJ23" s="2950"/>
      <c r="JVK23" s="2950"/>
      <c r="JVL23" s="2950"/>
      <c r="JVM23" s="2950"/>
      <c r="JVN23" s="2950"/>
      <c r="JVO23" s="2950"/>
      <c r="JVP23" s="2950"/>
      <c r="JVQ23" s="2950"/>
      <c r="JVR23" s="2950"/>
      <c r="JVS23" s="2950"/>
      <c r="JVT23" s="2950"/>
      <c r="JVU23" s="2950"/>
      <c r="JVV23" s="2950"/>
      <c r="JVW23" s="2950"/>
      <c r="JVX23" s="2950"/>
      <c r="JVY23" s="2950"/>
      <c r="JVZ23" s="2950"/>
      <c r="JWA23" s="2950"/>
      <c r="JWB23" s="2950"/>
      <c r="JWC23" s="2950"/>
      <c r="JWD23" s="2950"/>
      <c r="JWE23" s="2950"/>
      <c r="JWF23" s="2950"/>
      <c r="JWG23" s="2950"/>
      <c r="JWH23" s="2950"/>
      <c r="JWI23" s="2950"/>
      <c r="JWJ23" s="2950"/>
      <c r="JWK23" s="2950"/>
      <c r="JWL23" s="2950"/>
      <c r="JWM23" s="2950"/>
      <c r="JWN23" s="2950"/>
      <c r="JWO23" s="2950"/>
      <c r="JWP23" s="2950"/>
      <c r="JWQ23" s="2950"/>
      <c r="JWR23" s="2950"/>
      <c r="JWS23" s="2950"/>
      <c r="JWT23" s="2950"/>
      <c r="JWU23" s="2950"/>
      <c r="JWV23" s="2950"/>
      <c r="JWW23" s="2950"/>
      <c r="JWX23" s="2950"/>
      <c r="JWY23" s="2950"/>
      <c r="JWZ23" s="2950"/>
      <c r="JXA23" s="2950"/>
      <c r="JXB23" s="2950"/>
      <c r="JXC23" s="2950"/>
      <c r="JXD23" s="2950"/>
      <c r="JXE23" s="2950"/>
      <c r="JXF23" s="2950"/>
      <c r="JXG23" s="2950"/>
      <c r="JXH23" s="2950"/>
      <c r="JXI23" s="2950"/>
      <c r="JXJ23" s="2950"/>
      <c r="JXK23" s="2950"/>
      <c r="JXL23" s="2950"/>
      <c r="JXM23" s="2950"/>
      <c r="JXN23" s="2950"/>
      <c r="JXO23" s="2950"/>
      <c r="JXP23" s="2950"/>
      <c r="JXQ23" s="2950"/>
      <c r="JXR23" s="2950"/>
      <c r="JXS23" s="2950"/>
      <c r="JXT23" s="2950"/>
      <c r="JXU23" s="2950"/>
      <c r="JXV23" s="2950"/>
      <c r="JXW23" s="2950"/>
      <c r="JXX23" s="2950"/>
      <c r="JXY23" s="2950"/>
      <c r="JXZ23" s="2950"/>
      <c r="JYA23" s="2950"/>
      <c r="JYB23" s="2950"/>
      <c r="JYC23" s="2950"/>
      <c r="JYD23" s="2950"/>
      <c r="JYE23" s="2950"/>
      <c r="JYF23" s="2950"/>
      <c r="JYG23" s="2950"/>
      <c r="JYH23" s="2950"/>
      <c r="JYI23" s="2950"/>
      <c r="JYJ23" s="2950"/>
      <c r="JYK23" s="2950"/>
      <c r="JYL23" s="2950"/>
      <c r="JYM23" s="2950"/>
      <c r="JYN23" s="2950"/>
      <c r="JYO23" s="2950"/>
      <c r="JYP23" s="2950"/>
      <c r="JYQ23" s="2950"/>
      <c r="JYR23" s="2950"/>
      <c r="JYS23" s="2950"/>
      <c r="JYT23" s="2950"/>
      <c r="JYU23" s="2950"/>
      <c r="JYV23" s="2950"/>
      <c r="JYW23" s="2950"/>
      <c r="JYX23" s="2950"/>
      <c r="JYY23" s="2950"/>
      <c r="JYZ23" s="2950"/>
      <c r="JZA23" s="2950"/>
      <c r="JZB23" s="2950"/>
      <c r="JZC23" s="2950"/>
      <c r="JZD23" s="2950"/>
      <c r="JZE23" s="2950"/>
      <c r="JZF23" s="2950"/>
      <c r="JZG23" s="2950"/>
      <c r="JZH23" s="2950"/>
      <c r="JZI23" s="2950"/>
      <c r="JZJ23" s="2950"/>
      <c r="JZK23" s="2950"/>
      <c r="JZL23" s="2950"/>
      <c r="JZM23" s="2950"/>
      <c r="JZN23" s="2950"/>
      <c r="JZO23" s="2950"/>
      <c r="JZP23" s="2950"/>
      <c r="JZQ23" s="2950"/>
      <c r="JZR23" s="2950"/>
      <c r="JZS23" s="2950"/>
      <c r="JZT23" s="2950"/>
      <c r="JZU23" s="2950"/>
      <c r="JZV23" s="2950"/>
      <c r="JZW23" s="2950"/>
      <c r="JZX23" s="2950"/>
      <c r="JZY23" s="2950"/>
      <c r="JZZ23" s="2950"/>
      <c r="KAA23" s="2950"/>
      <c r="KAB23" s="2950"/>
      <c r="KAC23" s="2950"/>
      <c r="KAD23" s="2950"/>
      <c r="KAE23" s="2950"/>
      <c r="KAF23" s="2950"/>
      <c r="KAG23" s="2950"/>
      <c r="KAH23" s="2950"/>
      <c r="KAI23" s="2950"/>
      <c r="KAJ23" s="2950"/>
      <c r="KAK23" s="2950"/>
      <c r="KAL23" s="2950"/>
      <c r="KAM23" s="2950"/>
      <c r="KAN23" s="2950"/>
      <c r="KAO23" s="2950"/>
      <c r="KAP23" s="2950"/>
      <c r="KAQ23" s="2950"/>
      <c r="KAR23" s="2950"/>
      <c r="KAS23" s="2950"/>
      <c r="KAT23" s="2950"/>
      <c r="KAU23" s="2950"/>
      <c r="KAV23" s="2950"/>
      <c r="KAW23" s="2950"/>
      <c r="KAX23" s="2950"/>
      <c r="KAY23" s="2950"/>
      <c r="KAZ23" s="2950"/>
      <c r="KBA23" s="2950"/>
      <c r="KBB23" s="2950"/>
      <c r="KBC23" s="2950"/>
      <c r="KBD23" s="2950"/>
      <c r="KBE23" s="2950"/>
      <c r="KBF23" s="2950"/>
      <c r="KBG23" s="2950"/>
      <c r="KBH23" s="2950"/>
      <c r="KBI23" s="2950"/>
      <c r="KBJ23" s="2950"/>
      <c r="KBK23" s="2950"/>
      <c r="KBL23" s="2950"/>
      <c r="KBM23" s="2950"/>
      <c r="KBN23" s="2950"/>
      <c r="KBO23" s="2950"/>
      <c r="KBP23" s="2950"/>
      <c r="KBQ23" s="2950"/>
      <c r="KBR23" s="2950"/>
      <c r="KBS23" s="2950"/>
      <c r="KBT23" s="2950"/>
      <c r="KBU23" s="2950"/>
      <c r="KBV23" s="2950"/>
      <c r="KBW23" s="2950"/>
      <c r="KBX23" s="2950"/>
      <c r="KBY23" s="2950"/>
      <c r="KBZ23" s="2950"/>
      <c r="KCA23" s="2950"/>
      <c r="KCB23" s="2950"/>
      <c r="KCC23" s="2950"/>
      <c r="KCD23" s="2950"/>
      <c r="KCE23" s="2950"/>
      <c r="KCF23" s="2950"/>
      <c r="KCG23" s="2950"/>
      <c r="KCH23" s="2950"/>
      <c r="KCI23" s="2950"/>
      <c r="KCJ23" s="2950"/>
      <c r="KCK23" s="2950"/>
      <c r="KCL23" s="2950"/>
      <c r="KCM23" s="2950"/>
      <c r="KCN23" s="2950"/>
      <c r="KCO23" s="2950"/>
      <c r="KCP23" s="2950"/>
      <c r="KCQ23" s="2950"/>
      <c r="KCR23" s="2950"/>
      <c r="KCS23" s="2950"/>
      <c r="KCT23" s="2950"/>
      <c r="KCU23" s="2950"/>
      <c r="KCV23" s="2950"/>
      <c r="KCW23" s="2950"/>
      <c r="KCX23" s="2950"/>
      <c r="KCY23" s="2950"/>
      <c r="KCZ23" s="2950"/>
      <c r="KDA23" s="2950"/>
      <c r="KDB23" s="2950"/>
      <c r="KDC23" s="2950"/>
      <c r="KDD23" s="2950"/>
      <c r="KDE23" s="2950"/>
      <c r="KDF23" s="2950"/>
      <c r="KDG23" s="2950"/>
      <c r="KDH23" s="2950"/>
      <c r="KDI23" s="2950"/>
      <c r="KDJ23" s="2950"/>
      <c r="KDK23" s="2950"/>
      <c r="KDL23" s="2950"/>
      <c r="KDM23" s="2950"/>
      <c r="KDN23" s="2950"/>
      <c r="KDO23" s="2950"/>
      <c r="KDP23" s="2950"/>
      <c r="KDQ23" s="2950"/>
      <c r="KDR23" s="2950"/>
      <c r="KDS23" s="2950"/>
      <c r="KDT23" s="2950"/>
      <c r="KDU23" s="2950"/>
      <c r="KDV23" s="2950"/>
      <c r="KDW23" s="2950"/>
      <c r="KDX23" s="2950"/>
      <c r="KDY23" s="2950"/>
      <c r="KDZ23" s="2950"/>
      <c r="KEA23" s="2950"/>
      <c r="KEB23" s="2950"/>
      <c r="KEC23" s="2950"/>
      <c r="KED23" s="2950"/>
      <c r="KEE23" s="2950"/>
      <c r="KEF23" s="2950"/>
      <c r="KEG23" s="2950"/>
      <c r="KEH23" s="2950"/>
      <c r="KEI23" s="2950"/>
      <c r="KEJ23" s="2950"/>
      <c r="KEK23" s="2950"/>
      <c r="KEL23" s="2950"/>
      <c r="KEM23" s="2950"/>
      <c r="KEN23" s="2950"/>
      <c r="KEO23" s="2950"/>
      <c r="KEP23" s="2950"/>
      <c r="KEQ23" s="2950"/>
      <c r="KER23" s="2950"/>
      <c r="KES23" s="2950"/>
      <c r="KET23" s="2950"/>
      <c r="KEU23" s="2950"/>
      <c r="KEV23" s="2950"/>
      <c r="KEW23" s="2950"/>
      <c r="KEX23" s="2950"/>
      <c r="KEY23" s="2950"/>
      <c r="KEZ23" s="2950"/>
      <c r="KFA23" s="2950"/>
      <c r="KFB23" s="2950"/>
      <c r="KFC23" s="2950"/>
      <c r="KFD23" s="2950"/>
      <c r="KFE23" s="2950"/>
      <c r="KFF23" s="2950"/>
      <c r="KFG23" s="2950"/>
      <c r="KFH23" s="2950"/>
      <c r="KFI23" s="2950"/>
      <c r="KFJ23" s="2950"/>
      <c r="KFK23" s="2950"/>
      <c r="KFL23" s="2950"/>
      <c r="KFM23" s="2950"/>
      <c r="KFN23" s="2950"/>
      <c r="KFO23" s="2950"/>
      <c r="KFP23" s="2950"/>
      <c r="KFQ23" s="2950"/>
      <c r="KFR23" s="2950"/>
      <c r="KFS23" s="2950"/>
      <c r="KFT23" s="2950"/>
      <c r="KFU23" s="2950"/>
      <c r="KFV23" s="2950"/>
      <c r="KFW23" s="2950"/>
      <c r="KFX23" s="2950"/>
      <c r="KFY23" s="2950"/>
      <c r="KFZ23" s="2950"/>
      <c r="KGA23" s="2950"/>
      <c r="KGB23" s="2950"/>
      <c r="KGC23" s="2950"/>
      <c r="KGD23" s="2950"/>
      <c r="KGE23" s="2950"/>
      <c r="KGF23" s="2950"/>
      <c r="KGG23" s="2950"/>
      <c r="KGH23" s="2950"/>
      <c r="KGI23" s="2950"/>
      <c r="KGJ23" s="2950"/>
      <c r="KGK23" s="2950"/>
      <c r="KGL23" s="2950"/>
      <c r="KGM23" s="2950"/>
      <c r="KGN23" s="2950"/>
      <c r="KGO23" s="2950"/>
      <c r="KGP23" s="2950"/>
      <c r="KGQ23" s="2950"/>
      <c r="KGR23" s="2950"/>
      <c r="KGS23" s="2950"/>
      <c r="KGT23" s="2950"/>
      <c r="KGU23" s="2950"/>
      <c r="KGV23" s="2950"/>
      <c r="KGW23" s="2950"/>
      <c r="KGX23" s="2950"/>
      <c r="KGY23" s="2950"/>
      <c r="KGZ23" s="2950"/>
      <c r="KHA23" s="2950"/>
      <c r="KHB23" s="2950"/>
      <c r="KHC23" s="2950"/>
      <c r="KHD23" s="2950"/>
      <c r="KHE23" s="2950"/>
      <c r="KHF23" s="2950"/>
      <c r="KHG23" s="2950"/>
      <c r="KHH23" s="2950"/>
      <c r="KHI23" s="2950"/>
      <c r="KHJ23" s="2950"/>
      <c r="KHK23" s="2950"/>
      <c r="KHL23" s="2950"/>
      <c r="KHM23" s="2950"/>
      <c r="KHN23" s="2950"/>
      <c r="KHO23" s="2950"/>
      <c r="KHP23" s="2950"/>
      <c r="KHQ23" s="2950"/>
      <c r="KHR23" s="2950"/>
      <c r="KHS23" s="2950"/>
      <c r="KHT23" s="2950"/>
      <c r="KHU23" s="2950"/>
      <c r="KHV23" s="2950"/>
      <c r="KHW23" s="2950"/>
      <c r="KHX23" s="2950"/>
      <c r="KHY23" s="2950"/>
      <c r="KHZ23" s="2950"/>
      <c r="KIA23" s="2950"/>
      <c r="KIB23" s="2950"/>
      <c r="KIC23" s="2950"/>
      <c r="KID23" s="2950"/>
      <c r="KIE23" s="2950"/>
      <c r="KIF23" s="2950"/>
      <c r="KIG23" s="2950"/>
      <c r="KIH23" s="2950"/>
      <c r="KII23" s="2950"/>
      <c r="KIJ23" s="2950"/>
      <c r="KIK23" s="2950"/>
      <c r="KIL23" s="2950"/>
      <c r="KIM23" s="2950"/>
      <c r="KIN23" s="2950"/>
      <c r="KIO23" s="2950"/>
      <c r="KIP23" s="2950"/>
      <c r="KIQ23" s="2950"/>
      <c r="KIR23" s="2950"/>
      <c r="KIS23" s="2950"/>
      <c r="KIT23" s="2950"/>
      <c r="KIU23" s="2950"/>
      <c r="KIV23" s="2950"/>
      <c r="KIW23" s="2950"/>
      <c r="KIX23" s="2950"/>
      <c r="KIY23" s="2950"/>
      <c r="KIZ23" s="2950"/>
      <c r="KJA23" s="2950"/>
      <c r="KJB23" s="2950"/>
      <c r="KJC23" s="2950"/>
      <c r="KJD23" s="2950"/>
      <c r="KJE23" s="2950"/>
      <c r="KJF23" s="2950"/>
      <c r="KJG23" s="2950"/>
      <c r="KJH23" s="2950"/>
      <c r="KJI23" s="2950"/>
      <c r="KJJ23" s="2950"/>
      <c r="KJK23" s="2950"/>
      <c r="KJL23" s="2950"/>
      <c r="KJM23" s="2950"/>
      <c r="KJN23" s="2950"/>
      <c r="KJO23" s="2950"/>
      <c r="KJP23" s="2950"/>
      <c r="KJQ23" s="2950"/>
      <c r="KJR23" s="2950"/>
      <c r="KJS23" s="2950"/>
      <c r="KJT23" s="2950"/>
      <c r="KJU23" s="2950"/>
      <c r="KJV23" s="2950"/>
      <c r="KJW23" s="2950"/>
      <c r="KJX23" s="2950"/>
      <c r="KJY23" s="2950"/>
      <c r="KJZ23" s="2950"/>
      <c r="KKA23" s="2950"/>
      <c r="KKB23" s="2950"/>
      <c r="KKC23" s="2950"/>
      <c r="KKD23" s="2950"/>
      <c r="KKE23" s="2950"/>
      <c r="KKF23" s="2950"/>
      <c r="KKG23" s="2950"/>
      <c r="KKH23" s="2950"/>
      <c r="KKI23" s="2950"/>
      <c r="KKJ23" s="2950"/>
      <c r="KKK23" s="2950"/>
      <c r="KKL23" s="2950"/>
      <c r="KKM23" s="2950"/>
      <c r="KKN23" s="2950"/>
      <c r="KKO23" s="2950"/>
      <c r="KKP23" s="2950"/>
      <c r="KKQ23" s="2950"/>
      <c r="KKR23" s="2950"/>
      <c r="KKS23" s="2950"/>
      <c r="KKT23" s="2950"/>
      <c r="KKU23" s="2950"/>
      <c r="KKV23" s="2950"/>
      <c r="KKW23" s="2950"/>
      <c r="KKX23" s="2950"/>
      <c r="KKY23" s="2950"/>
      <c r="KKZ23" s="2950"/>
      <c r="KLA23" s="2950"/>
      <c r="KLB23" s="2950"/>
      <c r="KLC23" s="2950"/>
      <c r="KLD23" s="2950"/>
      <c r="KLE23" s="2950"/>
      <c r="KLF23" s="2950"/>
      <c r="KLG23" s="2950"/>
      <c r="KLH23" s="2950"/>
      <c r="KLI23" s="2950"/>
      <c r="KLJ23" s="2950"/>
      <c r="KLK23" s="2950"/>
      <c r="KLL23" s="2950"/>
      <c r="KLM23" s="2950"/>
      <c r="KLN23" s="2950"/>
      <c r="KLO23" s="2950"/>
      <c r="KLP23" s="2950"/>
      <c r="KLQ23" s="2950"/>
      <c r="KLR23" s="2950"/>
      <c r="KLS23" s="2950"/>
      <c r="KLT23" s="2950"/>
      <c r="KLU23" s="2950"/>
      <c r="KLV23" s="2950"/>
      <c r="KLW23" s="2950"/>
      <c r="KLX23" s="2950"/>
      <c r="KLY23" s="2950"/>
      <c r="KLZ23" s="2950"/>
      <c r="KMA23" s="2950"/>
      <c r="KMB23" s="2950"/>
      <c r="KMC23" s="2950"/>
      <c r="KMD23" s="2950"/>
      <c r="KME23" s="2950"/>
      <c r="KMF23" s="2950"/>
      <c r="KMG23" s="2950"/>
      <c r="KMH23" s="2950"/>
      <c r="KMI23" s="2950"/>
      <c r="KMJ23" s="2950"/>
      <c r="KMK23" s="2950"/>
      <c r="KML23" s="2950"/>
      <c r="KMM23" s="2950"/>
      <c r="KMN23" s="2950"/>
      <c r="KMO23" s="2950"/>
      <c r="KMP23" s="2950"/>
      <c r="KMQ23" s="2950"/>
      <c r="KMR23" s="2950"/>
      <c r="KMS23" s="2950"/>
      <c r="KMT23" s="2950"/>
      <c r="KMU23" s="2950"/>
      <c r="KMV23" s="2950"/>
      <c r="KMW23" s="2950"/>
      <c r="KMX23" s="2950"/>
      <c r="KMY23" s="2950"/>
      <c r="KMZ23" s="2950"/>
      <c r="KNA23" s="2950"/>
      <c r="KNB23" s="2950"/>
      <c r="KNC23" s="2950"/>
      <c r="KND23" s="2950"/>
      <c r="KNE23" s="2950"/>
      <c r="KNF23" s="2950"/>
      <c r="KNG23" s="2950"/>
      <c r="KNH23" s="2950"/>
      <c r="KNI23" s="2950"/>
      <c r="KNJ23" s="2950"/>
      <c r="KNK23" s="2950"/>
      <c r="KNL23" s="2950"/>
      <c r="KNM23" s="2950"/>
      <c r="KNN23" s="2950"/>
      <c r="KNO23" s="2950"/>
      <c r="KNP23" s="2950"/>
      <c r="KNQ23" s="2950"/>
      <c r="KNR23" s="2950"/>
      <c r="KNS23" s="2950"/>
      <c r="KNT23" s="2950"/>
      <c r="KNU23" s="2950"/>
      <c r="KNV23" s="2950"/>
      <c r="KNW23" s="2950"/>
      <c r="KNX23" s="2950"/>
      <c r="KNY23" s="2950"/>
      <c r="KNZ23" s="2950"/>
      <c r="KOA23" s="2950"/>
      <c r="KOB23" s="2950"/>
      <c r="KOC23" s="2950"/>
      <c r="KOD23" s="2950"/>
      <c r="KOE23" s="2950"/>
      <c r="KOF23" s="2950"/>
      <c r="KOG23" s="2950"/>
      <c r="KOH23" s="2950"/>
      <c r="KOI23" s="2950"/>
      <c r="KOJ23" s="2950"/>
      <c r="KOK23" s="2950"/>
      <c r="KOL23" s="2950"/>
      <c r="KOM23" s="2950"/>
      <c r="KON23" s="2950"/>
      <c r="KOO23" s="2950"/>
      <c r="KOP23" s="2950"/>
      <c r="KOQ23" s="2950"/>
      <c r="KOR23" s="2950"/>
      <c r="KOS23" s="2950"/>
      <c r="KOT23" s="2950"/>
      <c r="KOU23" s="2950"/>
      <c r="KOV23" s="2950"/>
      <c r="KOW23" s="2950"/>
      <c r="KOX23" s="2950"/>
      <c r="KOY23" s="2950"/>
      <c r="KOZ23" s="2950"/>
      <c r="KPA23" s="2950"/>
      <c r="KPB23" s="2950"/>
      <c r="KPC23" s="2950"/>
      <c r="KPD23" s="2950"/>
      <c r="KPE23" s="2950"/>
      <c r="KPF23" s="2950"/>
      <c r="KPG23" s="2950"/>
      <c r="KPH23" s="2950"/>
      <c r="KPI23" s="2950"/>
      <c r="KPJ23" s="2950"/>
      <c r="KPK23" s="2950"/>
      <c r="KPL23" s="2950"/>
      <c r="KPM23" s="2950"/>
      <c r="KPN23" s="2950"/>
      <c r="KPO23" s="2950"/>
      <c r="KPP23" s="2950"/>
      <c r="KPQ23" s="2950"/>
      <c r="KPR23" s="2950"/>
      <c r="KPS23" s="2950"/>
      <c r="KPT23" s="2950"/>
      <c r="KPU23" s="2950"/>
      <c r="KPV23" s="2950"/>
      <c r="KPW23" s="2950"/>
      <c r="KPX23" s="2950"/>
      <c r="KPY23" s="2950"/>
      <c r="KPZ23" s="2950"/>
      <c r="KQA23" s="2950"/>
      <c r="KQB23" s="2950"/>
      <c r="KQC23" s="2950"/>
      <c r="KQD23" s="2950"/>
      <c r="KQE23" s="2950"/>
      <c r="KQF23" s="2950"/>
      <c r="KQG23" s="2950"/>
      <c r="KQH23" s="2950"/>
      <c r="KQI23" s="2950"/>
      <c r="KQJ23" s="2950"/>
      <c r="KQK23" s="2950"/>
      <c r="KQL23" s="2950"/>
      <c r="KQM23" s="2950"/>
      <c r="KQN23" s="2950"/>
      <c r="KQO23" s="2950"/>
      <c r="KQP23" s="2950"/>
      <c r="KQQ23" s="2950"/>
      <c r="KQR23" s="2950"/>
      <c r="KQS23" s="2950"/>
      <c r="KQT23" s="2950"/>
      <c r="KQU23" s="2950"/>
      <c r="KQV23" s="2950"/>
      <c r="KQW23" s="2950"/>
      <c r="KQX23" s="2950"/>
      <c r="KQY23" s="2950"/>
      <c r="KQZ23" s="2950"/>
      <c r="KRA23" s="2950"/>
      <c r="KRB23" s="2950"/>
      <c r="KRC23" s="2950"/>
      <c r="KRD23" s="2950"/>
      <c r="KRE23" s="2950"/>
      <c r="KRF23" s="2950"/>
      <c r="KRG23" s="2950"/>
      <c r="KRH23" s="2950"/>
      <c r="KRI23" s="2950"/>
      <c r="KRJ23" s="2950"/>
      <c r="KRK23" s="2950"/>
      <c r="KRL23" s="2950"/>
      <c r="KRM23" s="2950"/>
      <c r="KRN23" s="2950"/>
      <c r="KRO23" s="2950"/>
      <c r="KRP23" s="2950"/>
      <c r="KRQ23" s="2950"/>
      <c r="KRR23" s="2950"/>
      <c r="KRS23" s="2950"/>
      <c r="KRT23" s="2950"/>
      <c r="KRU23" s="2950"/>
      <c r="KRV23" s="2950"/>
      <c r="KRW23" s="2950"/>
      <c r="KRX23" s="2950"/>
      <c r="KRY23" s="2950"/>
      <c r="KRZ23" s="2950"/>
      <c r="KSA23" s="2950"/>
      <c r="KSB23" s="2950"/>
      <c r="KSC23" s="2950"/>
      <c r="KSD23" s="2950"/>
      <c r="KSE23" s="2950"/>
      <c r="KSF23" s="2950"/>
      <c r="KSG23" s="2950"/>
      <c r="KSH23" s="2950"/>
      <c r="KSI23" s="2950"/>
      <c r="KSJ23" s="2950"/>
      <c r="KSK23" s="2950"/>
      <c r="KSL23" s="2950"/>
      <c r="KSM23" s="2950"/>
      <c r="KSN23" s="2950"/>
      <c r="KSO23" s="2950"/>
      <c r="KSP23" s="2950"/>
      <c r="KSQ23" s="2950"/>
      <c r="KSR23" s="2950"/>
      <c r="KSS23" s="2950"/>
      <c r="KST23" s="2950"/>
      <c r="KSU23" s="2950"/>
      <c r="KSV23" s="2950"/>
      <c r="KSW23" s="2950"/>
      <c r="KSX23" s="2950"/>
      <c r="KSY23" s="2950"/>
      <c r="KSZ23" s="2950"/>
      <c r="KTA23" s="2950"/>
      <c r="KTB23" s="2950"/>
      <c r="KTC23" s="2950"/>
      <c r="KTD23" s="2950"/>
      <c r="KTE23" s="2950"/>
      <c r="KTF23" s="2950"/>
      <c r="KTG23" s="2950"/>
      <c r="KTH23" s="2950"/>
      <c r="KTI23" s="2950"/>
      <c r="KTJ23" s="2950"/>
      <c r="KTK23" s="2950"/>
      <c r="KTL23" s="2950"/>
      <c r="KTM23" s="2950"/>
      <c r="KTN23" s="2950"/>
      <c r="KTO23" s="2950"/>
      <c r="KTP23" s="2950"/>
      <c r="KTQ23" s="2950"/>
      <c r="KTR23" s="2950"/>
      <c r="KTS23" s="2950"/>
      <c r="KTT23" s="2950"/>
      <c r="KTU23" s="2950"/>
      <c r="KTV23" s="2950"/>
      <c r="KTW23" s="2950"/>
      <c r="KTX23" s="2950"/>
      <c r="KTY23" s="2950"/>
      <c r="KTZ23" s="2950"/>
      <c r="KUA23" s="2950"/>
      <c r="KUB23" s="2950"/>
      <c r="KUC23" s="2950"/>
      <c r="KUD23" s="2950"/>
      <c r="KUE23" s="2950"/>
      <c r="KUF23" s="2950"/>
      <c r="KUG23" s="2950"/>
      <c r="KUH23" s="2950"/>
      <c r="KUI23" s="2950"/>
      <c r="KUJ23" s="2950"/>
      <c r="KUK23" s="2950"/>
      <c r="KUL23" s="2950"/>
      <c r="KUM23" s="2950"/>
      <c r="KUN23" s="2950"/>
      <c r="KUO23" s="2950"/>
      <c r="KUP23" s="2950"/>
      <c r="KUQ23" s="2950"/>
      <c r="KUR23" s="2950"/>
      <c r="KUS23" s="2950"/>
      <c r="KUT23" s="2950"/>
      <c r="KUU23" s="2950"/>
      <c r="KUV23" s="2950"/>
      <c r="KUW23" s="2950"/>
      <c r="KUX23" s="2950"/>
      <c r="KUY23" s="2950"/>
      <c r="KUZ23" s="2950"/>
      <c r="KVA23" s="2950"/>
      <c r="KVB23" s="2950"/>
      <c r="KVC23" s="2950"/>
      <c r="KVD23" s="2950"/>
      <c r="KVE23" s="2950"/>
      <c r="KVF23" s="2950"/>
      <c r="KVG23" s="2950"/>
      <c r="KVH23" s="2950"/>
      <c r="KVI23" s="2950"/>
      <c r="KVJ23" s="2950"/>
      <c r="KVK23" s="2950"/>
      <c r="KVL23" s="2950"/>
      <c r="KVM23" s="2950"/>
      <c r="KVN23" s="2950"/>
      <c r="KVO23" s="2950"/>
      <c r="KVP23" s="2950"/>
      <c r="KVQ23" s="2950"/>
      <c r="KVR23" s="2950"/>
      <c r="KVS23" s="2950"/>
      <c r="KVT23" s="2950"/>
      <c r="KVU23" s="2950"/>
      <c r="KVV23" s="2950"/>
      <c r="KVW23" s="2950"/>
      <c r="KVX23" s="2950"/>
      <c r="KVY23" s="2950"/>
      <c r="KVZ23" s="2950"/>
      <c r="KWA23" s="2950"/>
      <c r="KWB23" s="2950"/>
      <c r="KWC23" s="2950"/>
      <c r="KWD23" s="2950"/>
      <c r="KWE23" s="2950"/>
      <c r="KWF23" s="2950"/>
      <c r="KWG23" s="2950"/>
      <c r="KWH23" s="2950"/>
      <c r="KWI23" s="2950"/>
      <c r="KWJ23" s="2950"/>
      <c r="KWK23" s="2950"/>
      <c r="KWL23" s="2950"/>
      <c r="KWM23" s="2950"/>
      <c r="KWN23" s="2950"/>
      <c r="KWO23" s="2950"/>
      <c r="KWP23" s="2950"/>
      <c r="KWQ23" s="2950"/>
      <c r="KWR23" s="2950"/>
      <c r="KWS23" s="2950"/>
      <c r="KWT23" s="2950"/>
      <c r="KWU23" s="2950"/>
      <c r="KWV23" s="2950"/>
      <c r="KWW23" s="2950"/>
      <c r="KWX23" s="2950"/>
      <c r="KWY23" s="2950"/>
      <c r="KWZ23" s="2950"/>
      <c r="KXA23" s="2950"/>
      <c r="KXB23" s="2950"/>
      <c r="KXC23" s="2950"/>
      <c r="KXD23" s="2950"/>
      <c r="KXE23" s="2950"/>
      <c r="KXF23" s="2950"/>
      <c r="KXG23" s="2950"/>
      <c r="KXH23" s="2950"/>
      <c r="KXI23" s="2950"/>
      <c r="KXJ23" s="2950"/>
      <c r="KXK23" s="2950"/>
      <c r="KXL23" s="2950"/>
      <c r="KXM23" s="2950"/>
      <c r="KXN23" s="2950"/>
      <c r="KXO23" s="2950"/>
      <c r="KXP23" s="2950"/>
      <c r="KXQ23" s="2950"/>
      <c r="KXR23" s="2950"/>
      <c r="KXS23" s="2950"/>
      <c r="KXT23" s="2950"/>
      <c r="KXU23" s="2950"/>
      <c r="KXV23" s="2950"/>
      <c r="KXW23" s="2950"/>
      <c r="KXX23" s="2950"/>
      <c r="KXY23" s="2950"/>
      <c r="KXZ23" s="2950"/>
      <c r="KYA23" s="2950"/>
      <c r="KYB23" s="2950"/>
      <c r="KYC23" s="2950"/>
      <c r="KYD23" s="2950"/>
      <c r="KYE23" s="2950"/>
      <c r="KYF23" s="2950"/>
      <c r="KYG23" s="2950"/>
      <c r="KYH23" s="2950"/>
      <c r="KYI23" s="2950"/>
      <c r="KYJ23" s="2950"/>
      <c r="KYK23" s="2950"/>
      <c r="KYL23" s="2950"/>
      <c r="KYM23" s="2950"/>
      <c r="KYN23" s="2950"/>
      <c r="KYO23" s="2950"/>
      <c r="KYP23" s="2950"/>
      <c r="KYQ23" s="2950"/>
      <c r="KYR23" s="2950"/>
      <c r="KYS23" s="2950"/>
      <c r="KYT23" s="2950"/>
      <c r="KYU23" s="2950"/>
      <c r="KYV23" s="2950"/>
      <c r="KYW23" s="2950"/>
      <c r="KYX23" s="2950"/>
      <c r="KYY23" s="2950"/>
      <c r="KYZ23" s="2950"/>
      <c r="KZA23" s="2950"/>
      <c r="KZB23" s="2950"/>
      <c r="KZC23" s="2950"/>
      <c r="KZD23" s="2950"/>
      <c r="KZE23" s="2950"/>
      <c r="KZF23" s="2950"/>
      <c r="KZG23" s="2950"/>
      <c r="KZH23" s="2950"/>
      <c r="KZI23" s="2950"/>
      <c r="KZJ23" s="2950"/>
      <c r="KZK23" s="2950"/>
      <c r="KZL23" s="2950"/>
      <c r="KZM23" s="2950"/>
      <c r="KZN23" s="2950"/>
      <c r="KZO23" s="2950"/>
      <c r="KZP23" s="2950"/>
      <c r="KZQ23" s="2950"/>
      <c r="KZR23" s="2950"/>
      <c r="KZS23" s="2950"/>
      <c r="KZT23" s="2950"/>
      <c r="KZU23" s="2950"/>
      <c r="KZV23" s="2950"/>
      <c r="KZW23" s="2950"/>
      <c r="KZX23" s="2950"/>
      <c r="KZY23" s="2950"/>
      <c r="KZZ23" s="2950"/>
      <c r="LAA23" s="2950"/>
      <c r="LAB23" s="2950"/>
      <c r="LAC23" s="2950"/>
      <c r="LAD23" s="2950"/>
      <c r="LAE23" s="2950"/>
      <c r="LAF23" s="2950"/>
      <c r="LAG23" s="2950"/>
      <c r="LAH23" s="2950"/>
      <c r="LAI23" s="2950"/>
      <c r="LAJ23" s="2950"/>
      <c r="LAK23" s="2950"/>
      <c r="LAL23" s="2950"/>
      <c r="LAM23" s="2950"/>
      <c r="LAN23" s="2950"/>
      <c r="LAO23" s="2950"/>
      <c r="LAP23" s="2950"/>
      <c r="LAQ23" s="2950"/>
      <c r="LAR23" s="2950"/>
      <c r="LAS23" s="2950"/>
      <c r="LAT23" s="2950"/>
      <c r="LAU23" s="2950"/>
      <c r="LAV23" s="2950"/>
      <c r="LAW23" s="2950"/>
      <c r="LAX23" s="2950"/>
      <c r="LAY23" s="2950"/>
      <c r="LAZ23" s="2950"/>
      <c r="LBA23" s="2950"/>
      <c r="LBB23" s="2950"/>
      <c r="LBC23" s="2950"/>
      <c r="LBD23" s="2950"/>
      <c r="LBE23" s="2950"/>
      <c r="LBF23" s="2950"/>
      <c r="LBG23" s="2950"/>
      <c r="LBH23" s="2950"/>
      <c r="LBI23" s="2950"/>
      <c r="LBJ23" s="2950"/>
      <c r="LBK23" s="2950"/>
      <c r="LBL23" s="2950"/>
      <c r="LBM23" s="2950"/>
      <c r="LBN23" s="2950"/>
      <c r="LBO23" s="2950"/>
      <c r="LBP23" s="2950"/>
      <c r="LBQ23" s="2950"/>
      <c r="LBR23" s="2950"/>
      <c r="LBS23" s="2950"/>
      <c r="LBT23" s="2950"/>
      <c r="LBU23" s="2950"/>
      <c r="LBV23" s="2950"/>
      <c r="LBW23" s="2950"/>
      <c r="LBX23" s="2950"/>
      <c r="LBY23" s="2950"/>
      <c r="LBZ23" s="2950"/>
      <c r="LCA23" s="2950"/>
      <c r="LCB23" s="2950"/>
      <c r="LCC23" s="2950"/>
      <c r="LCD23" s="2950"/>
      <c r="LCE23" s="2950"/>
      <c r="LCF23" s="2950"/>
      <c r="LCG23" s="2950"/>
      <c r="LCH23" s="2950"/>
      <c r="LCI23" s="2950"/>
      <c r="LCJ23" s="2950"/>
      <c r="LCK23" s="2950"/>
      <c r="LCL23" s="2950"/>
      <c r="LCM23" s="2950"/>
      <c r="LCN23" s="2950"/>
      <c r="LCO23" s="2950"/>
      <c r="LCP23" s="2950"/>
      <c r="LCQ23" s="2950"/>
      <c r="LCR23" s="2950"/>
      <c r="LCS23" s="2950"/>
      <c r="LCT23" s="2950"/>
      <c r="LCU23" s="2950"/>
      <c r="LCV23" s="2950"/>
      <c r="LCW23" s="2950"/>
      <c r="LCX23" s="2950"/>
      <c r="LCY23" s="2950"/>
      <c r="LCZ23" s="2950"/>
      <c r="LDA23" s="2950"/>
      <c r="LDB23" s="2950"/>
      <c r="LDC23" s="2950"/>
      <c r="LDD23" s="2950"/>
      <c r="LDE23" s="2950"/>
      <c r="LDF23" s="2950"/>
      <c r="LDG23" s="2950"/>
      <c r="LDH23" s="2950"/>
      <c r="LDI23" s="2950"/>
      <c r="LDJ23" s="2950"/>
      <c r="LDK23" s="2950"/>
      <c r="LDL23" s="2950"/>
      <c r="LDM23" s="2950"/>
      <c r="LDN23" s="2950"/>
      <c r="LDO23" s="2950"/>
      <c r="LDP23" s="2950"/>
      <c r="LDQ23" s="2950"/>
      <c r="LDR23" s="2950"/>
      <c r="LDS23" s="2950"/>
      <c r="LDT23" s="2950"/>
      <c r="LDU23" s="2950"/>
      <c r="LDV23" s="2950"/>
      <c r="LDW23" s="2950"/>
      <c r="LDX23" s="2950"/>
      <c r="LDY23" s="2950"/>
      <c r="LDZ23" s="2950"/>
      <c r="LEA23" s="2950"/>
      <c r="LEB23" s="2950"/>
      <c r="LEC23" s="2950"/>
      <c r="LED23" s="2950"/>
      <c r="LEE23" s="2950"/>
      <c r="LEF23" s="2950"/>
      <c r="LEG23" s="2950"/>
      <c r="LEH23" s="2950"/>
      <c r="LEI23" s="2950"/>
      <c r="LEJ23" s="2950"/>
      <c r="LEK23" s="2950"/>
      <c r="LEL23" s="2950"/>
      <c r="LEM23" s="2950"/>
      <c r="LEN23" s="2950"/>
      <c r="LEO23" s="2950"/>
      <c r="LEP23" s="2950"/>
      <c r="LEQ23" s="2950"/>
      <c r="LER23" s="2950"/>
      <c r="LES23" s="2950"/>
      <c r="LET23" s="2950"/>
      <c r="LEU23" s="2950"/>
      <c r="LEV23" s="2950"/>
      <c r="LEW23" s="2950"/>
      <c r="LEX23" s="2950"/>
      <c r="LEY23" s="2950"/>
      <c r="LEZ23" s="2950"/>
      <c r="LFA23" s="2950"/>
      <c r="LFB23" s="2950"/>
      <c r="LFC23" s="2950"/>
      <c r="LFD23" s="2950"/>
      <c r="LFE23" s="2950"/>
      <c r="LFF23" s="2950"/>
      <c r="LFG23" s="2950"/>
      <c r="LFH23" s="2950"/>
      <c r="LFI23" s="2950"/>
      <c r="LFJ23" s="2950"/>
      <c r="LFK23" s="2950"/>
      <c r="LFL23" s="2950"/>
      <c r="LFM23" s="2950"/>
      <c r="LFN23" s="2950"/>
      <c r="LFO23" s="2950"/>
      <c r="LFP23" s="2950"/>
      <c r="LFQ23" s="2950"/>
      <c r="LFR23" s="2950"/>
      <c r="LFS23" s="2950"/>
      <c r="LFT23" s="2950"/>
      <c r="LFU23" s="2950"/>
      <c r="LFV23" s="2950"/>
      <c r="LFW23" s="2950"/>
      <c r="LFX23" s="2950"/>
      <c r="LFY23" s="2950"/>
      <c r="LFZ23" s="2950"/>
      <c r="LGA23" s="2950"/>
      <c r="LGB23" s="2950"/>
      <c r="LGC23" s="2950"/>
      <c r="LGD23" s="2950"/>
      <c r="LGE23" s="2950"/>
      <c r="LGF23" s="2950"/>
      <c r="LGG23" s="2950"/>
      <c r="LGH23" s="2950"/>
      <c r="LGI23" s="2950"/>
      <c r="LGJ23" s="2950"/>
      <c r="LGK23" s="2950"/>
      <c r="LGL23" s="2950"/>
      <c r="LGM23" s="2950"/>
      <c r="LGN23" s="2950"/>
      <c r="LGO23" s="2950"/>
      <c r="LGP23" s="2950"/>
      <c r="LGQ23" s="2950"/>
      <c r="LGR23" s="2950"/>
      <c r="LGS23" s="2950"/>
      <c r="LGT23" s="2950"/>
      <c r="LGU23" s="2950"/>
      <c r="LGV23" s="2950"/>
      <c r="LGW23" s="2950"/>
      <c r="LGX23" s="2950"/>
      <c r="LGY23" s="2950"/>
      <c r="LGZ23" s="2950"/>
      <c r="LHA23" s="2950"/>
      <c r="LHB23" s="2950"/>
      <c r="LHC23" s="2950"/>
      <c r="LHD23" s="2950"/>
      <c r="LHE23" s="2950"/>
      <c r="LHF23" s="2950"/>
      <c r="LHG23" s="2950"/>
      <c r="LHH23" s="2950"/>
      <c r="LHI23" s="2950"/>
      <c r="LHJ23" s="2950"/>
      <c r="LHK23" s="2950"/>
      <c r="LHL23" s="2950"/>
      <c r="LHM23" s="2950"/>
      <c r="LHN23" s="2950"/>
      <c r="LHO23" s="2950"/>
      <c r="LHP23" s="2950"/>
      <c r="LHQ23" s="2950"/>
      <c r="LHR23" s="2950"/>
      <c r="LHS23" s="2950"/>
      <c r="LHT23" s="2950"/>
      <c r="LHU23" s="2950"/>
      <c r="LHV23" s="2950"/>
      <c r="LHW23" s="2950"/>
      <c r="LHX23" s="2950"/>
      <c r="LHY23" s="2950"/>
      <c r="LHZ23" s="2950"/>
      <c r="LIA23" s="2950"/>
      <c r="LIB23" s="2950"/>
      <c r="LIC23" s="2950"/>
      <c r="LID23" s="2950"/>
      <c r="LIE23" s="2950"/>
      <c r="LIF23" s="2950"/>
      <c r="LIG23" s="2950"/>
      <c r="LIH23" s="2950"/>
      <c r="LII23" s="2950"/>
      <c r="LIJ23" s="2950"/>
      <c r="LIK23" s="2950"/>
      <c r="LIL23" s="2950"/>
      <c r="LIM23" s="2950"/>
      <c r="LIN23" s="2950"/>
      <c r="LIO23" s="2950"/>
      <c r="LIP23" s="2950"/>
      <c r="LIQ23" s="2950"/>
      <c r="LIR23" s="2950"/>
      <c r="LIS23" s="2950"/>
      <c r="LIT23" s="2950"/>
      <c r="LIU23" s="2950"/>
      <c r="LIV23" s="2950"/>
      <c r="LIW23" s="2950"/>
      <c r="LIX23" s="2950"/>
      <c r="LIY23" s="2950"/>
      <c r="LIZ23" s="2950"/>
      <c r="LJA23" s="2950"/>
      <c r="LJB23" s="2950"/>
      <c r="LJC23" s="2950"/>
      <c r="LJD23" s="2950"/>
      <c r="LJE23" s="2950"/>
      <c r="LJF23" s="2950"/>
      <c r="LJG23" s="2950"/>
      <c r="LJH23" s="2950"/>
      <c r="LJI23" s="2950"/>
      <c r="LJJ23" s="2950"/>
      <c r="LJK23" s="2950"/>
      <c r="LJL23" s="2950"/>
      <c r="LJM23" s="2950"/>
      <c r="LJN23" s="2950"/>
      <c r="LJO23" s="2950"/>
      <c r="LJP23" s="2950"/>
      <c r="LJQ23" s="2950"/>
      <c r="LJR23" s="2950"/>
      <c r="LJS23" s="2950"/>
      <c r="LJT23" s="2950"/>
      <c r="LJU23" s="2950"/>
      <c r="LJV23" s="2950"/>
      <c r="LJW23" s="2950"/>
      <c r="LJX23" s="2950"/>
      <c r="LJY23" s="2950"/>
      <c r="LJZ23" s="2950"/>
      <c r="LKA23" s="2950"/>
      <c r="LKB23" s="2950"/>
      <c r="LKC23" s="2950"/>
      <c r="LKD23" s="2950"/>
      <c r="LKE23" s="2950"/>
      <c r="LKF23" s="2950"/>
      <c r="LKG23" s="2950"/>
      <c r="LKH23" s="2950"/>
      <c r="LKI23" s="2950"/>
      <c r="LKJ23" s="2950"/>
      <c r="LKK23" s="2950"/>
      <c r="LKL23" s="2950"/>
      <c r="LKM23" s="2950"/>
      <c r="LKN23" s="2950"/>
      <c r="LKO23" s="2950"/>
      <c r="LKP23" s="2950"/>
      <c r="LKQ23" s="2950"/>
      <c r="LKR23" s="2950"/>
      <c r="LKS23" s="2950"/>
      <c r="LKT23" s="2950"/>
      <c r="LKU23" s="2950"/>
      <c r="LKV23" s="2950"/>
      <c r="LKW23" s="2950"/>
      <c r="LKX23" s="2950"/>
      <c r="LKY23" s="2950"/>
      <c r="LKZ23" s="2950"/>
      <c r="LLA23" s="2950"/>
      <c r="LLB23" s="2950"/>
      <c r="LLC23" s="2950"/>
      <c r="LLD23" s="2950"/>
      <c r="LLE23" s="2950"/>
      <c r="LLF23" s="2950"/>
      <c r="LLG23" s="2950"/>
      <c r="LLH23" s="2950"/>
      <c r="LLI23" s="2950"/>
      <c r="LLJ23" s="2950"/>
      <c r="LLK23" s="2950"/>
      <c r="LLL23" s="2950"/>
      <c r="LLM23" s="2950"/>
      <c r="LLN23" s="2950"/>
      <c r="LLO23" s="2950"/>
      <c r="LLP23" s="2950"/>
      <c r="LLQ23" s="2950"/>
      <c r="LLR23" s="2950"/>
      <c r="LLS23" s="2950"/>
      <c r="LLT23" s="2950"/>
      <c r="LLU23" s="2950"/>
      <c r="LLV23" s="2950"/>
      <c r="LLW23" s="2950"/>
      <c r="LLX23" s="2950"/>
      <c r="LLY23" s="2950"/>
      <c r="LLZ23" s="2950"/>
      <c r="LMA23" s="2950"/>
      <c r="LMB23" s="2950"/>
      <c r="LMC23" s="2950"/>
      <c r="LMD23" s="2950"/>
      <c r="LME23" s="2950"/>
      <c r="LMF23" s="2950"/>
      <c r="LMG23" s="2950"/>
      <c r="LMH23" s="2950"/>
      <c r="LMI23" s="2950"/>
      <c r="LMJ23" s="2950"/>
      <c r="LMK23" s="2950"/>
      <c r="LML23" s="2950"/>
      <c r="LMM23" s="2950"/>
      <c r="LMN23" s="2950"/>
      <c r="LMO23" s="2950"/>
      <c r="LMP23" s="2950"/>
      <c r="LMQ23" s="2950"/>
      <c r="LMR23" s="2950"/>
      <c r="LMS23" s="2950"/>
      <c r="LMT23" s="2950"/>
      <c r="LMU23" s="2950"/>
      <c r="LMV23" s="2950"/>
      <c r="LMW23" s="2950"/>
      <c r="LMX23" s="2950"/>
      <c r="LMY23" s="2950"/>
      <c r="LMZ23" s="2950"/>
      <c r="LNA23" s="2950"/>
      <c r="LNB23" s="2950"/>
      <c r="LNC23" s="2950"/>
      <c r="LND23" s="2950"/>
      <c r="LNE23" s="2950"/>
      <c r="LNF23" s="2950"/>
      <c r="LNG23" s="2950"/>
      <c r="LNH23" s="2950"/>
      <c r="LNI23" s="2950"/>
      <c r="LNJ23" s="2950"/>
      <c r="LNK23" s="2950"/>
      <c r="LNL23" s="2950"/>
      <c r="LNM23" s="2950"/>
      <c r="LNN23" s="2950"/>
      <c r="LNO23" s="2950"/>
      <c r="LNP23" s="2950"/>
      <c r="LNQ23" s="2950"/>
      <c r="LNR23" s="2950"/>
      <c r="LNS23" s="2950"/>
      <c r="LNT23" s="2950"/>
      <c r="LNU23" s="2950"/>
      <c r="LNV23" s="2950"/>
      <c r="LNW23" s="2950"/>
      <c r="LNX23" s="2950"/>
      <c r="LNY23" s="2950"/>
      <c r="LNZ23" s="2950"/>
      <c r="LOA23" s="2950"/>
      <c r="LOB23" s="2950"/>
      <c r="LOC23" s="2950"/>
      <c r="LOD23" s="2950"/>
      <c r="LOE23" s="2950"/>
      <c r="LOF23" s="2950"/>
      <c r="LOG23" s="2950"/>
      <c r="LOH23" s="2950"/>
      <c r="LOI23" s="2950"/>
      <c r="LOJ23" s="2950"/>
      <c r="LOK23" s="2950"/>
      <c r="LOL23" s="2950"/>
      <c r="LOM23" s="2950"/>
      <c r="LON23" s="2950"/>
      <c r="LOO23" s="2950"/>
      <c r="LOP23" s="2950"/>
      <c r="LOQ23" s="2950"/>
      <c r="LOR23" s="2950"/>
      <c r="LOS23" s="2950"/>
      <c r="LOT23" s="2950"/>
      <c r="LOU23" s="2950"/>
      <c r="LOV23" s="2950"/>
      <c r="LOW23" s="2950"/>
      <c r="LOX23" s="2950"/>
      <c r="LOY23" s="2950"/>
      <c r="LOZ23" s="2950"/>
      <c r="LPA23" s="2950"/>
      <c r="LPB23" s="2950"/>
      <c r="LPC23" s="2950"/>
      <c r="LPD23" s="2950"/>
      <c r="LPE23" s="2950"/>
      <c r="LPF23" s="2950"/>
      <c r="LPG23" s="2950"/>
      <c r="LPH23" s="2950"/>
      <c r="LPI23" s="2950"/>
      <c r="LPJ23" s="2950"/>
      <c r="LPK23" s="2950"/>
      <c r="LPL23" s="2950"/>
      <c r="LPM23" s="2950"/>
      <c r="LPN23" s="2950"/>
      <c r="LPO23" s="2950"/>
      <c r="LPP23" s="2950"/>
      <c r="LPQ23" s="2950"/>
      <c r="LPR23" s="2950"/>
      <c r="LPS23" s="2950"/>
      <c r="LPT23" s="2950"/>
      <c r="LPU23" s="2950"/>
      <c r="LPV23" s="2950"/>
      <c r="LPW23" s="2950"/>
      <c r="LPX23" s="2950"/>
      <c r="LPY23" s="2950"/>
      <c r="LPZ23" s="2950"/>
      <c r="LQA23" s="2950"/>
      <c r="LQB23" s="2950"/>
      <c r="LQC23" s="2950"/>
      <c r="LQD23" s="2950"/>
      <c r="LQE23" s="2950"/>
      <c r="LQF23" s="2950"/>
      <c r="LQG23" s="2950"/>
      <c r="LQH23" s="2950"/>
      <c r="LQI23" s="2950"/>
      <c r="LQJ23" s="2950"/>
      <c r="LQK23" s="2950"/>
      <c r="LQL23" s="2950"/>
      <c r="LQM23" s="2950"/>
      <c r="LQN23" s="2950"/>
      <c r="LQO23" s="2950"/>
      <c r="LQP23" s="2950"/>
      <c r="LQQ23" s="2950"/>
      <c r="LQR23" s="2950"/>
      <c r="LQS23" s="2950"/>
      <c r="LQT23" s="2950"/>
      <c r="LQU23" s="2950"/>
      <c r="LQV23" s="2950"/>
      <c r="LQW23" s="2950"/>
      <c r="LQX23" s="2950"/>
      <c r="LQY23" s="2950"/>
      <c r="LQZ23" s="2950"/>
      <c r="LRA23" s="2950"/>
      <c r="LRB23" s="2950"/>
      <c r="LRC23" s="2950"/>
      <c r="LRD23" s="2950"/>
      <c r="LRE23" s="2950"/>
      <c r="LRF23" s="2950"/>
      <c r="LRG23" s="2950"/>
      <c r="LRH23" s="2950"/>
      <c r="LRI23" s="2950"/>
      <c r="LRJ23" s="2950"/>
      <c r="LRK23" s="2950"/>
      <c r="LRL23" s="2950"/>
      <c r="LRM23" s="2950"/>
      <c r="LRN23" s="2950"/>
      <c r="LRO23" s="2950"/>
      <c r="LRP23" s="2950"/>
      <c r="LRQ23" s="2950"/>
      <c r="LRR23" s="2950"/>
      <c r="LRS23" s="2950"/>
      <c r="LRT23" s="2950"/>
      <c r="LRU23" s="2950"/>
      <c r="LRV23" s="2950"/>
      <c r="LRW23" s="2950"/>
      <c r="LRX23" s="2950"/>
      <c r="LRY23" s="2950"/>
      <c r="LRZ23" s="2950"/>
      <c r="LSA23" s="2950"/>
      <c r="LSB23" s="2950"/>
      <c r="LSC23" s="2950"/>
      <c r="LSD23" s="2950"/>
      <c r="LSE23" s="2950"/>
      <c r="LSF23" s="2950"/>
      <c r="LSG23" s="2950"/>
      <c r="LSH23" s="2950"/>
      <c r="LSI23" s="2950"/>
      <c r="LSJ23" s="2950"/>
      <c r="LSK23" s="2950"/>
      <c r="LSL23" s="2950"/>
      <c r="LSM23" s="2950"/>
      <c r="LSN23" s="2950"/>
      <c r="LSO23" s="2950"/>
      <c r="LSP23" s="2950"/>
      <c r="LSQ23" s="2950"/>
      <c r="LSR23" s="2950"/>
      <c r="LSS23" s="2950"/>
      <c r="LST23" s="2950"/>
      <c r="LSU23" s="2950"/>
      <c r="LSV23" s="2950"/>
      <c r="LSW23" s="2950"/>
      <c r="LSX23" s="2950"/>
      <c r="LSY23" s="2950"/>
      <c r="LSZ23" s="2950"/>
      <c r="LTA23" s="2950"/>
      <c r="LTB23" s="2950"/>
      <c r="LTC23" s="2950"/>
      <c r="LTD23" s="2950"/>
      <c r="LTE23" s="2950"/>
      <c r="LTF23" s="2950"/>
      <c r="LTG23" s="2950"/>
      <c r="LTH23" s="2950"/>
      <c r="LTI23" s="2950"/>
      <c r="LTJ23" s="2950"/>
      <c r="LTK23" s="2950"/>
      <c r="LTL23" s="2950"/>
      <c r="LTM23" s="2950"/>
      <c r="LTN23" s="2950"/>
      <c r="LTO23" s="2950"/>
      <c r="LTP23" s="2950"/>
      <c r="LTQ23" s="2950"/>
      <c r="LTR23" s="2950"/>
      <c r="LTS23" s="2950"/>
      <c r="LTT23" s="2950"/>
      <c r="LTU23" s="2950"/>
      <c r="LTV23" s="2950"/>
      <c r="LTW23" s="2950"/>
      <c r="LTX23" s="2950"/>
      <c r="LTY23" s="2950"/>
      <c r="LTZ23" s="2950"/>
      <c r="LUA23" s="2950"/>
      <c r="LUB23" s="2950"/>
      <c r="LUC23" s="2950"/>
      <c r="LUD23" s="2950"/>
      <c r="LUE23" s="2950"/>
      <c r="LUF23" s="2950"/>
      <c r="LUG23" s="2950"/>
      <c r="LUH23" s="2950"/>
      <c r="LUI23" s="2950"/>
      <c r="LUJ23" s="2950"/>
      <c r="LUK23" s="2950"/>
      <c r="LUL23" s="2950"/>
      <c r="LUM23" s="2950"/>
      <c r="LUN23" s="2950"/>
      <c r="LUO23" s="2950"/>
      <c r="LUP23" s="2950"/>
      <c r="LUQ23" s="2950"/>
      <c r="LUR23" s="2950"/>
      <c r="LUS23" s="2950"/>
      <c r="LUT23" s="2950"/>
      <c r="LUU23" s="2950"/>
      <c r="LUV23" s="2950"/>
      <c r="LUW23" s="2950"/>
      <c r="LUX23" s="2950"/>
      <c r="LUY23" s="2950"/>
      <c r="LUZ23" s="2950"/>
      <c r="LVA23" s="2950"/>
      <c r="LVB23" s="2950"/>
      <c r="LVC23" s="2950"/>
      <c r="LVD23" s="2950"/>
      <c r="LVE23" s="2950"/>
      <c r="LVF23" s="2950"/>
      <c r="LVG23" s="2950"/>
      <c r="LVH23" s="2950"/>
      <c r="LVI23" s="2950"/>
      <c r="LVJ23" s="2950"/>
      <c r="LVK23" s="2950"/>
      <c r="LVL23" s="2950"/>
      <c r="LVM23" s="2950"/>
      <c r="LVN23" s="2950"/>
      <c r="LVO23" s="2950"/>
      <c r="LVP23" s="2950"/>
      <c r="LVQ23" s="2950"/>
      <c r="LVR23" s="2950"/>
      <c r="LVS23" s="2950"/>
      <c r="LVT23" s="2950"/>
      <c r="LVU23" s="2950"/>
      <c r="LVV23" s="2950"/>
      <c r="LVW23" s="2950"/>
      <c r="LVX23" s="2950"/>
      <c r="LVY23" s="2950"/>
      <c r="LVZ23" s="2950"/>
      <c r="LWA23" s="2950"/>
      <c r="LWB23" s="2950"/>
      <c r="LWC23" s="2950"/>
      <c r="LWD23" s="2950"/>
      <c r="LWE23" s="2950"/>
      <c r="LWF23" s="2950"/>
      <c r="LWG23" s="2950"/>
      <c r="LWH23" s="2950"/>
      <c r="LWI23" s="2950"/>
      <c r="LWJ23" s="2950"/>
      <c r="LWK23" s="2950"/>
      <c r="LWL23" s="2950"/>
      <c r="LWM23" s="2950"/>
      <c r="LWN23" s="2950"/>
      <c r="LWO23" s="2950"/>
      <c r="LWP23" s="2950"/>
      <c r="LWQ23" s="2950"/>
      <c r="LWR23" s="2950"/>
      <c r="LWS23" s="2950"/>
      <c r="LWT23" s="2950"/>
      <c r="LWU23" s="2950"/>
      <c r="LWV23" s="2950"/>
      <c r="LWW23" s="2950"/>
      <c r="LWX23" s="2950"/>
      <c r="LWY23" s="2950"/>
      <c r="LWZ23" s="2950"/>
      <c r="LXA23" s="2950"/>
      <c r="LXB23" s="2950"/>
      <c r="LXC23" s="2950"/>
      <c r="LXD23" s="2950"/>
      <c r="LXE23" s="2950"/>
      <c r="LXF23" s="2950"/>
      <c r="LXG23" s="2950"/>
      <c r="LXH23" s="2950"/>
      <c r="LXI23" s="2950"/>
      <c r="LXJ23" s="2950"/>
      <c r="LXK23" s="2950"/>
      <c r="LXL23" s="2950"/>
      <c r="LXM23" s="2950"/>
      <c r="LXN23" s="2950"/>
      <c r="LXO23" s="2950"/>
      <c r="LXP23" s="2950"/>
      <c r="LXQ23" s="2950"/>
      <c r="LXR23" s="2950"/>
      <c r="LXS23" s="2950"/>
      <c r="LXT23" s="2950"/>
      <c r="LXU23" s="2950"/>
      <c r="LXV23" s="2950"/>
      <c r="LXW23" s="2950"/>
      <c r="LXX23" s="2950"/>
      <c r="LXY23" s="2950"/>
      <c r="LXZ23" s="2950"/>
      <c r="LYA23" s="2950"/>
      <c r="LYB23" s="2950"/>
      <c r="LYC23" s="2950"/>
      <c r="LYD23" s="2950"/>
      <c r="LYE23" s="2950"/>
      <c r="LYF23" s="2950"/>
      <c r="LYG23" s="2950"/>
      <c r="LYH23" s="2950"/>
      <c r="LYI23" s="2950"/>
      <c r="LYJ23" s="2950"/>
      <c r="LYK23" s="2950"/>
      <c r="LYL23" s="2950"/>
      <c r="LYM23" s="2950"/>
      <c r="LYN23" s="2950"/>
      <c r="LYO23" s="2950"/>
      <c r="LYP23" s="2950"/>
      <c r="LYQ23" s="2950"/>
      <c r="LYR23" s="2950"/>
      <c r="LYS23" s="2950"/>
      <c r="LYT23" s="2950"/>
      <c r="LYU23" s="2950"/>
      <c r="LYV23" s="2950"/>
      <c r="LYW23" s="2950"/>
      <c r="LYX23" s="2950"/>
      <c r="LYY23" s="2950"/>
      <c r="LYZ23" s="2950"/>
      <c r="LZA23" s="2950"/>
      <c r="LZB23" s="2950"/>
      <c r="LZC23" s="2950"/>
      <c r="LZD23" s="2950"/>
      <c r="LZE23" s="2950"/>
      <c r="LZF23" s="2950"/>
      <c r="LZG23" s="2950"/>
      <c r="LZH23" s="2950"/>
      <c r="LZI23" s="2950"/>
      <c r="LZJ23" s="2950"/>
      <c r="LZK23" s="2950"/>
      <c r="LZL23" s="2950"/>
      <c r="LZM23" s="2950"/>
      <c r="LZN23" s="2950"/>
      <c r="LZO23" s="2950"/>
      <c r="LZP23" s="2950"/>
      <c r="LZQ23" s="2950"/>
      <c r="LZR23" s="2950"/>
      <c r="LZS23" s="2950"/>
      <c r="LZT23" s="2950"/>
      <c r="LZU23" s="2950"/>
      <c r="LZV23" s="2950"/>
      <c r="LZW23" s="2950"/>
      <c r="LZX23" s="2950"/>
      <c r="LZY23" s="2950"/>
      <c r="LZZ23" s="2950"/>
      <c r="MAA23" s="2950"/>
      <c r="MAB23" s="2950"/>
      <c r="MAC23" s="2950"/>
      <c r="MAD23" s="2950"/>
      <c r="MAE23" s="2950"/>
      <c r="MAF23" s="2950"/>
      <c r="MAG23" s="2950"/>
      <c r="MAH23" s="2950"/>
      <c r="MAI23" s="2950"/>
      <c r="MAJ23" s="2950"/>
      <c r="MAK23" s="2950"/>
      <c r="MAL23" s="2950"/>
      <c r="MAM23" s="2950"/>
      <c r="MAN23" s="2950"/>
      <c r="MAO23" s="2950"/>
      <c r="MAP23" s="2950"/>
      <c r="MAQ23" s="2950"/>
      <c r="MAR23" s="2950"/>
      <c r="MAS23" s="2950"/>
      <c r="MAT23" s="2950"/>
      <c r="MAU23" s="2950"/>
      <c r="MAV23" s="2950"/>
      <c r="MAW23" s="2950"/>
      <c r="MAX23" s="2950"/>
      <c r="MAY23" s="2950"/>
      <c r="MAZ23" s="2950"/>
      <c r="MBA23" s="2950"/>
      <c r="MBB23" s="2950"/>
      <c r="MBC23" s="2950"/>
      <c r="MBD23" s="2950"/>
      <c r="MBE23" s="2950"/>
      <c r="MBF23" s="2950"/>
      <c r="MBG23" s="2950"/>
      <c r="MBH23" s="2950"/>
      <c r="MBI23" s="2950"/>
      <c r="MBJ23" s="2950"/>
      <c r="MBK23" s="2950"/>
      <c r="MBL23" s="2950"/>
      <c r="MBM23" s="2950"/>
      <c r="MBN23" s="2950"/>
      <c r="MBO23" s="2950"/>
      <c r="MBP23" s="2950"/>
      <c r="MBQ23" s="2950"/>
      <c r="MBR23" s="2950"/>
      <c r="MBS23" s="2950"/>
      <c r="MBT23" s="2950"/>
      <c r="MBU23" s="2950"/>
      <c r="MBV23" s="2950"/>
      <c r="MBW23" s="2950"/>
      <c r="MBX23" s="2950"/>
      <c r="MBY23" s="2950"/>
      <c r="MBZ23" s="2950"/>
      <c r="MCA23" s="2950"/>
      <c r="MCB23" s="2950"/>
      <c r="MCC23" s="2950"/>
      <c r="MCD23" s="2950"/>
      <c r="MCE23" s="2950"/>
      <c r="MCF23" s="2950"/>
      <c r="MCG23" s="2950"/>
      <c r="MCH23" s="2950"/>
      <c r="MCI23" s="2950"/>
      <c r="MCJ23" s="2950"/>
      <c r="MCK23" s="2950"/>
      <c r="MCL23" s="2950"/>
      <c r="MCM23" s="2950"/>
      <c r="MCN23" s="2950"/>
      <c r="MCO23" s="2950"/>
      <c r="MCP23" s="2950"/>
      <c r="MCQ23" s="2950"/>
      <c r="MCR23" s="2950"/>
      <c r="MCS23" s="2950"/>
      <c r="MCT23" s="2950"/>
      <c r="MCU23" s="2950"/>
      <c r="MCV23" s="2950"/>
      <c r="MCW23" s="2950"/>
      <c r="MCX23" s="2950"/>
      <c r="MCY23" s="2950"/>
      <c r="MCZ23" s="2950"/>
      <c r="MDA23" s="2950"/>
      <c r="MDB23" s="2950"/>
      <c r="MDC23" s="2950"/>
      <c r="MDD23" s="2950"/>
      <c r="MDE23" s="2950"/>
      <c r="MDF23" s="2950"/>
      <c r="MDG23" s="2950"/>
      <c r="MDH23" s="2950"/>
      <c r="MDI23" s="2950"/>
      <c r="MDJ23" s="2950"/>
      <c r="MDK23" s="2950"/>
      <c r="MDL23" s="2950"/>
      <c r="MDM23" s="2950"/>
      <c r="MDN23" s="2950"/>
      <c r="MDO23" s="2950"/>
      <c r="MDP23" s="2950"/>
      <c r="MDQ23" s="2950"/>
      <c r="MDR23" s="2950"/>
      <c r="MDS23" s="2950"/>
      <c r="MDT23" s="2950"/>
      <c r="MDU23" s="2950"/>
      <c r="MDV23" s="2950"/>
      <c r="MDW23" s="2950"/>
      <c r="MDX23" s="2950"/>
      <c r="MDY23" s="2950"/>
      <c r="MDZ23" s="2950"/>
      <c r="MEA23" s="2950"/>
      <c r="MEB23" s="2950"/>
      <c r="MEC23" s="2950"/>
      <c r="MED23" s="2950"/>
      <c r="MEE23" s="2950"/>
      <c r="MEF23" s="2950"/>
      <c r="MEG23" s="2950"/>
      <c r="MEH23" s="2950"/>
      <c r="MEI23" s="2950"/>
      <c r="MEJ23" s="2950"/>
      <c r="MEK23" s="2950"/>
      <c r="MEL23" s="2950"/>
      <c r="MEM23" s="2950"/>
      <c r="MEN23" s="2950"/>
      <c r="MEO23" s="2950"/>
      <c r="MEP23" s="2950"/>
      <c r="MEQ23" s="2950"/>
      <c r="MER23" s="2950"/>
      <c r="MES23" s="2950"/>
      <c r="MET23" s="2950"/>
      <c r="MEU23" s="2950"/>
      <c r="MEV23" s="2950"/>
      <c r="MEW23" s="2950"/>
      <c r="MEX23" s="2950"/>
      <c r="MEY23" s="2950"/>
      <c r="MEZ23" s="2950"/>
      <c r="MFA23" s="2950"/>
      <c r="MFB23" s="2950"/>
      <c r="MFC23" s="2950"/>
      <c r="MFD23" s="2950"/>
      <c r="MFE23" s="2950"/>
      <c r="MFF23" s="2950"/>
      <c r="MFG23" s="2950"/>
      <c r="MFH23" s="2950"/>
      <c r="MFI23" s="2950"/>
      <c r="MFJ23" s="2950"/>
      <c r="MFK23" s="2950"/>
      <c r="MFL23" s="2950"/>
      <c r="MFM23" s="2950"/>
      <c r="MFN23" s="2950"/>
      <c r="MFO23" s="2950"/>
      <c r="MFP23" s="2950"/>
      <c r="MFQ23" s="2950"/>
      <c r="MFR23" s="2950"/>
      <c r="MFS23" s="2950"/>
      <c r="MFT23" s="2950"/>
      <c r="MFU23" s="2950"/>
      <c r="MFV23" s="2950"/>
      <c r="MFW23" s="2950"/>
      <c r="MFX23" s="2950"/>
      <c r="MFY23" s="2950"/>
      <c r="MFZ23" s="2950"/>
      <c r="MGA23" s="2950"/>
      <c r="MGB23" s="2950"/>
      <c r="MGC23" s="2950"/>
      <c r="MGD23" s="2950"/>
      <c r="MGE23" s="2950"/>
      <c r="MGF23" s="2950"/>
      <c r="MGG23" s="2950"/>
      <c r="MGH23" s="2950"/>
      <c r="MGI23" s="2950"/>
      <c r="MGJ23" s="2950"/>
      <c r="MGK23" s="2950"/>
      <c r="MGL23" s="2950"/>
      <c r="MGM23" s="2950"/>
      <c r="MGN23" s="2950"/>
      <c r="MGO23" s="2950"/>
      <c r="MGP23" s="2950"/>
      <c r="MGQ23" s="2950"/>
      <c r="MGR23" s="2950"/>
      <c r="MGS23" s="2950"/>
      <c r="MGT23" s="2950"/>
      <c r="MGU23" s="2950"/>
      <c r="MGV23" s="2950"/>
      <c r="MGW23" s="2950"/>
      <c r="MGX23" s="2950"/>
      <c r="MGY23" s="2950"/>
      <c r="MGZ23" s="2950"/>
      <c r="MHA23" s="2950"/>
      <c r="MHB23" s="2950"/>
      <c r="MHC23" s="2950"/>
      <c r="MHD23" s="2950"/>
      <c r="MHE23" s="2950"/>
      <c r="MHF23" s="2950"/>
      <c r="MHG23" s="2950"/>
      <c r="MHH23" s="2950"/>
      <c r="MHI23" s="2950"/>
      <c r="MHJ23" s="2950"/>
      <c r="MHK23" s="2950"/>
      <c r="MHL23" s="2950"/>
      <c r="MHM23" s="2950"/>
      <c r="MHN23" s="2950"/>
      <c r="MHO23" s="2950"/>
      <c r="MHP23" s="2950"/>
      <c r="MHQ23" s="2950"/>
      <c r="MHR23" s="2950"/>
      <c r="MHS23" s="2950"/>
      <c r="MHT23" s="2950"/>
      <c r="MHU23" s="2950"/>
      <c r="MHV23" s="2950"/>
      <c r="MHW23" s="2950"/>
      <c r="MHX23" s="2950"/>
      <c r="MHY23" s="2950"/>
      <c r="MHZ23" s="2950"/>
      <c r="MIA23" s="2950"/>
      <c r="MIB23" s="2950"/>
      <c r="MIC23" s="2950"/>
      <c r="MID23" s="2950"/>
      <c r="MIE23" s="2950"/>
      <c r="MIF23" s="2950"/>
      <c r="MIG23" s="2950"/>
      <c r="MIH23" s="2950"/>
      <c r="MII23" s="2950"/>
      <c r="MIJ23" s="2950"/>
      <c r="MIK23" s="2950"/>
      <c r="MIL23" s="2950"/>
      <c r="MIM23" s="2950"/>
      <c r="MIN23" s="2950"/>
      <c r="MIO23" s="2950"/>
      <c r="MIP23" s="2950"/>
      <c r="MIQ23" s="2950"/>
      <c r="MIR23" s="2950"/>
      <c r="MIS23" s="2950"/>
      <c r="MIT23" s="2950"/>
      <c r="MIU23" s="2950"/>
      <c r="MIV23" s="2950"/>
      <c r="MIW23" s="2950"/>
      <c r="MIX23" s="2950"/>
      <c r="MIY23" s="2950"/>
      <c r="MIZ23" s="2950"/>
      <c r="MJA23" s="2950"/>
      <c r="MJB23" s="2950"/>
      <c r="MJC23" s="2950"/>
      <c r="MJD23" s="2950"/>
      <c r="MJE23" s="2950"/>
      <c r="MJF23" s="2950"/>
      <c r="MJG23" s="2950"/>
      <c r="MJH23" s="2950"/>
      <c r="MJI23" s="2950"/>
      <c r="MJJ23" s="2950"/>
      <c r="MJK23" s="2950"/>
      <c r="MJL23" s="2950"/>
      <c r="MJM23" s="2950"/>
      <c r="MJN23" s="2950"/>
      <c r="MJO23" s="2950"/>
      <c r="MJP23" s="2950"/>
      <c r="MJQ23" s="2950"/>
      <c r="MJR23" s="2950"/>
      <c r="MJS23" s="2950"/>
      <c r="MJT23" s="2950"/>
      <c r="MJU23" s="2950"/>
      <c r="MJV23" s="2950"/>
      <c r="MJW23" s="2950"/>
      <c r="MJX23" s="2950"/>
      <c r="MJY23" s="2950"/>
      <c r="MJZ23" s="2950"/>
      <c r="MKA23" s="2950"/>
      <c r="MKB23" s="2950"/>
      <c r="MKC23" s="2950"/>
      <c r="MKD23" s="2950"/>
      <c r="MKE23" s="2950"/>
      <c r="MKF23" s="2950"/>
      <c r="MKG23" s="2950"/>
      <c r="MKH23" s="2950"/>
      <c r="MKI23" s="2950"/>
      <c r="MKJ23" s="2950"/>
      <c r="MKK23" s="2950"/>
      <c r="MKL23" s="2950"/>
      <c r="MKM23" s="2950"/>
      <c r="MKN23" s="2950"/>
      <c r="MKO23" s="2950"/>
      <c r="MKP23" s="2950"/>
      <c r="MKQ23" s="2950"/>
      <c r="MKR23" s="2950"/>
      <c r="MKS23" s="2950"/>
      <c r="MKT23" s="2950"/>
      <c r="MKU23" s="2950"/>
      <c r="MKV23" s="2950"/>
      <c r="MKW23" s="2950"/>
      <c r="MKX23" s="2950"/>
      <c r="MKY23" s="2950"/>
      <c r="MKZ23" s="2950"/>
      <c r="MLA23" s="2950"/>
      <c r="MLB23" s="2950"/>
      <c r="MLC23" s="2950"/>
      <c r="MLD23" s="2950"/>
      <c r="MLE23" s="2950"/>
      <c r="MLF23" s="2950"/>
      <c r="MLG23" s="2950"/>
      <c r="MLH23" s="2950"/>
      <c r="MLI23" s="2950"/>
      <c r="MLJ23" s="2950"/>
      <c r="MLK23" s="2950"/>
      <c r="MLL23" s="2950"/>
      <c r="MLM23" s="2950"/>
      <c r="MLN23" s="2950"/>
      <c r="MLO23" s="2950"/>
      <c r="MLP23" s="2950"/>
      <c r="MLQ23" s="2950"/>
      <c r="MLR23" s="2950"/>
      <c r="MLS23" s="2950"/>
      <c r="MLT23" s="2950"/>
      <c r="MLU23" s="2950"/>
      <c r="MLV23" s="2950"/>
      <c r="MLW23" s="2950"/>
      <c r="MLX23" s="2950"/>
      <c r="MLY23" s="2950"/>
      <c r="MLZ23" s="2950"/>
      <c r="MMA23" s="2950"/>
      <c r="MMB23" s="2950"/>
      <c r="MMC23" s="2950"/>
      <c r="MMD23" s="2950"/>
      <c r="MME23" s="2950"/>
      <c r="MMF23" s="2950"/>
      <c r="MMG23" s="2950"/>
      <c r="MMH23" s="2950"/>
      <c r="MMI23" s="2950"/>
      <c r="MMJ23" s="2950"/>
      <c r="MMK23" s="2950"/>
      <c r="MML23" s="2950"/>
      <c r="MMM23" s="2950"/>
      <c r="MMN23" s="2950"/>
      <c r="MMO23" s="2950"/>
      <c r="MMP23" s="2950"/>
      <c r="MMQ23" s="2950"/>
      <c r="MMR23" s="2950"/>
      <c r="MMS23" s="2950"/>
      <c r="MMT23" s="2950"/>
      <c r="MMU23" s="2950"/>
      <c r="MMV23" s="2950"/>
      <c r="MMW23" s="2950"/>
      <c r="MMX23" s="2950"/>
      <c r="MMY23" s="2950"/>
      <c r="MMZ23" s="2950"/>
      <c r="MNA23" s="2950"/>
      <c r="MNB23" s="2950"/>
      <c r="MNC23" s="2950"/>
      <c r="MND23" s="2950"/>
      <c r="MNE23" s="2950"/>
      <c r="MNF23" s="2950"/>
      <c r="MNG23" s="2950"/>
      <c r="MNH23" s="2950"/>
      <c r="MNI23" s="2950"/>
      <c r="MNJ23" s="2950"/>
      <c r="MNK23" s="2950"/>
      <c r="MNL23" s="2950"/>
      <c r="MNM23" s="2950"/>
      <c r="MNN23" s="2950"/>
      <c r="MNO23" s="2950"/>
      <c r="MNP23" s="2950"/>
      <c r="MNQ23" s="2950"/>
      <c r="MNR23" s="2950"/>
      <c r="MNS23" s="2950"/>
      <c r="MNT23" s="2950"/>
      <c r="MNU23" s="2950"/>
      <c r="MNV23" s="2950"/>
      <c r="MNW23" s="2950"/>
      <c r="MNX23" s="2950"/>
      <c r="MNY23" s="2950"/>
      <c r="MNZ23" s="2950"/>
      <c r="MOA23" s="2950"/>
      <c r="MOB23" s="2950"/>
      <c r="MOC23" s="2950"/>
      <c r="MOD23" s="2950"/>
      <c r="MOE23" s="2950"/>
      <c r="MOF23" s="2950"/>
      <c r="MOG23" s="2950"/>
      <c r="MOH23" s="2950"/>
      <c r="MOI23" s="2950"/>
      <c r="MOJ23" s="2950"/>
      <c r="MOK23" s="2950"/>
      <c r="MOL23" s="2950"/>
      <c r="MOM23" s="2950"/>
      <c r="MON23" s="2950"/>
      <c r="MOO23" s="2950"/>
      <c r="MOP23" s="2950"/>
      <c r="MOQ23" s="2950"/>
      <c r="MOR23" s="2950"/>
      <c r="MOS23" s="2950"/>
      <c r="MOT23" s="2950"/>
      <c r="MOU23" s="2950"/>
      <c r="MOV23" s="2950"/>
      <c r="MOW23" s="2950"/>
      <c r="MOX23" s="2950"/>
      <c r="MOY23" s="2950"/>
      <c r="MOZ23" s="2950"/>
      <c r="MPA23" s="2950"/>
      <c r="MPB23" s="2950"/>
      <c r="MPC23" s="2950"/>
      <c r="MPD23" s="2950"/>
      <c r="MPE23" s="2950"/>
      <c r="MPF23" s="2950"/>
      <c r="MPG23" s="2950"/>
      <c r="MPH23" s="2950"/>
      <c r="MPI23" s="2950"/>
      <c r="MPJ23" s="2950"/>
      <c r="MPK23" s="2950"/>
      <c r="MPL23" s="2950"/>
      <c r="MPM23" s="2950"/>
      <c r="MPN23" s="2950"/>
      <c r="MPO23" s="2950"/>
      <c r="MPP23" s="2950"/>
      <c r="MPQ23" s="2950"/>
      <c r="MPR23" s="2950"/>
      <c r="MPS23" s="2950"/>
      <c r="MPT23" s="2950"/>
      <c r="MPU23" s="2950"/>
      <c r="MPV23" s="2950"/>
      <c r="MPW23" s="2950"/>
      <c r="MPX23" s="2950"/>
      <c r="MPY23" s="2950"/>
      <c r="MPZ23" s="2950"/>
      <c r="MQA23" s="2950"/>
      <c r="MQB23" s="2950"/>
      <c r="MQC23" s="2950"/>
      <c r="MQD23" s="2950"/>
      <c r="MQE23" s="2950"/>
      <c r="MQF23" s="2950"/>
      <c r="MQG23" s="2950"/>
      <c r="MQH23" s="2950"/>
      <c r="MQI23" s="2950"/>
      <c r="MQJ23" s="2950"/>
      <c r="MQK23" s="2950"/>
      <c r="MQL23" s="2950"/>
      <c r="MQM23" s="2950"/>
      <c r="MQN23" s="2950"/>
      <c r="MQO23" s="2950"/>
      <c r="MQP23" s="2950"/>
      <c r="MQQ23" s="2950"/>
      <c r="MQR23" s="2950"/>
      <c r="MQS23" s="2950"/>
      <c r="MQT23" s="2950"/>
      <c r="MQU23" s="2950"/>
      <c r="MQV23" s="2950"/>
      <c r="MQW23" s="2950"/>
      <c r="MQX23" s="2950"/>
      <c r="MQY23" s="2950"/>
      <c r="MQZ23" s="2950"/>
      <c r="MRA23" s="2950"/>
      <c r="MRB23" s="2950"/>
      <c r="MRC23" s="2950"/>
      <c r="MRD23" s="2950"/>
      <c r="MRE23" s="2950"/>
      <c r="MRF23" s="2950"/>
      <c r="MRG23" s="2950"/>
      <c r="MRH23" s="2950"/>
      <c r="MRI23" s="2950"/>
      <c r="MRJ23" s="2950"/>
      <c r="MRK23" s="2950"/>
      <c r="MRL23" s="2950"/>
      <c r="MRM23" s="2950"/>
      <c r="MRN23" s="2950"/>
      <c r="MRO23" s="2950"/>
      <c r="MRP23" s="2950"/>
      <c r="MRQ23" s="2950"/>
      <c r="MRR23" s="2950"/>
      <c r="MRS23" s="2950"/>
      <c r="MRT23" s="2950"/>
      <c r="MRU23" s="2950"/>
      <c r="MRV23" s="2950"/>
      <c r="MRW23" s="2950"/>
      <c r="MRX23" s="2950"/>
      <c r="MRY23" s="2950"/>
      <c r="MRZ23" s="2950"/>
      <c r="MSA23" s="2950"/>
      <c r="MSB23" s="2950"/>
      <c r="MSC23" s="2950"/>
      <c r="MSD23" s="2950"/>
      <c r="MSE23" s="2950"/>
      <c r="MSF23" s="2950"/>
      <c r="MSG23" s="2950"/>
      <c r="MSH23" s="2950"/>
      <c r="MSI23" s="2950"/>
      <c r="MSJ23" s="2950"/>
      <c r="MSK23" s="2950"/>
      <c r="MSL23" s="2950"/>
      <c r="MSM23" s="2950"/>
      <c r="MSN23" s="2950"/>
      <c r="MSO23" s="2950"/>
      <c r="MSP23" s="2950"/>
      <c r="MSQ23" s="2950"/>
      <c r="MSR23" s="2950"/>
      <c r="MSS23" s="2950"/>
      <c r="MST23" s="2950"/>
      <c r="MSU23" s="2950"/>
      <c r="MSV23" s="2950"/>
      <c r="MSW23" s="2950"/>
      <c r="MSX23" s="2950"/>
      <c r="MSY23" s="2950"/>
      <c r="MSZ23" s="2950"/>
      <c r="MTA23" s="2950"/>
      <c r="MTB23" s="2950"/>
      <c r="MTC23" s="2950"/>
      <c r="MTD23" s="2950"/>
      <c r="MTE23" s="2950"/>
      <c r="MTF23" s="2950"/>
      <c r="MTG23" s="2950"/>
      <c r="MTH23" s="2950"/>
      <c r="MTI23" s="2950"/>
      <c r="MTJ23" s="2950"/>
      <c r="MTK23" s="2950"/>
      <c r="MTL23" s="2950"/>
      <c r="MTM23" s="2950"/>
      <c r="MTN23" s="2950"/>
      <c r="MTO23" s="2950"/>
      <c r="MTP23" s="2950"/>
      <c r="MTQ23" s="2950"/>
      <c r="MTR23" s="2950"/>
      <c r="MTS23" s="2950"/>
      <c r="MTT23" s="2950"/>
      <c r="MTU23" s="2950"/>
      <c r="MTV23" s="2950"/>
      <c r="MTW23" s="2950"/>
      <c r="MTX23" s="2950"/>
      <c r="MTY23" s="2950"/>
      <c r="MTZ23" s="2950"/>
      <c r="MUA23" s="2950"/>
      <c r="MUB23" s="2950"/>
      <c r="MUC23" s="2950"/>
      <c r="MUD23" s="2950"/>
      <c r="MUE23" s="2950"/>
      <c r="MUF23" s="2950"/>
      <c r="MUG23" s="2950"/>
      <c r="MUH23" s="2950"/>
      <c r="MUI23" s="2950"/>
      <c r="MUJ23" s="2950"/>
      <c r="MUK23" s="2950"/>
      <c r="MUL23" s="2950"/>
      <c r="MUM23" s="2950"/>
      <c r="MUN23" s="2950"/>
      <c r="MUO23" s="2950"/>
      <c r="MUP23" s="2950"/>
      <c r="MUQ23" s="2950"/>
      <c r="MUR23" s="2950"/>
      <c r="MUS23" s="2950"/>
      <c r="MUT23" s="2950"/>
      <c r="MUU23" s="2950"/>
      <c r="MUV23" s="2950"/>
      <c r="MUW23" s="2950"/>
      <c r="MUX23" s="2950"/>
      <c r="MUY23" s="2950"/>
      <c r="MUZ23" s="2950"/>
      <c r="MVA23" s="2950"/>
      <c r="MVB23" s="2950"/>
      <c r="MVC23" s="2950"/>
      <c r="MVD23" s="2950"/>
      <c r="MVE23" s="2950"/>
      <c r="MVF23" s="2950"/>
      <c r="MVG23" s="2950"/>
      <c r="MVH23" s="2950"/>
      <c r="MVI23" s="2950"/>
      <c r="MVJ23" s="2950"/>
      <c r="MVK23" s="2950"/>
      <c r="MVL23" s="2950"/>
      <c r="MVM23" s="2950"/>
      <c r="MVN23" s="2950"/>
      <c r="MVO23" s="2950"/>
      <c r="MVP23" s="2950"/>
      <c r="MVQ23" s="2950"/>
      <c r="MVR23" s="2950"/>
      <c r="MVS23" s="2950"/>
      <c r="MVT23" s="2950"/>
      <c r="MVU23" s="2950"/>
      <c r="MVV23" s="2950"/>
      <c r="MVW23" s="2950"/>
      <c r="MVX23" s="2950"/>
      <c r="MVY23" s="2950"/>
      <c r="MVZ23" s="2950"/>
      <c r="MWA23" s="2950"/>
      <c r="MWB23" s="2950"/>
      <c r="MWC23" s="2950"/>
      <c r="MWD23" s="2950"/>
      <c r="MWE23" s="2950"/>
      <c r="MWF23" s="2950"/>
      <c r="MWG23" s="2950"/>
      <c r="MWH23" s="2950"/>
      <c r="MWI23" s="2950"/>
      <c r="MWJ23" s="2950"/>
      <c r="MWK23" s="2950"/>
      <c r="MWL23" s="2950"/>
      <c r="MWM23" s="2950"/>
      <c r="MWN23" s="2950"/>
      <c r="MWO23" s="2950"/>
      <c r="MWP23" s="2950"/>
      <c r="MWQ23" s="2950"/>
      <c r="MWR23" s="2950"/>
      <c r="MWS23" s="2950"/>
      <c r="MWT23" s="2950"/>
      <c r="MWU23" s="2950"/>
      <c r="MWV23" s="2950"/>
      <c r="MWW23" s="2950"/>
      <c r="MWX23" s="2950"/>
      <c r="MWY23" s="2950"/>
      <c r="MWZ23" s="2950"/>
      <c r="MXA23" s="2950"/>
      <c r="MXB23" s="2950"/>
      <c r="MXC23" s="2950"/>
      <c r="MXD23" s="2950"/>
      <c r="MXE23" s="2950"/>
      <c r="MXF23" s="2950"/>
      <c r="MXG23" s="2950"/>
      <c r="MXH23" s="2950"/>
      <c r="MXI23" s="2950"/>
      <c r="MXJ23" s="2950"/>
      <c r="MXK23" s="2950"/>
      <c r="MXL23" s="2950"/>
      <c r="MXM23" s="2950"/>
      <c r="MXN23" s="2950"/>
      <c r="MXO23" s="2950"/>
      <c r="MXP23" s="2950"/>
      <c r="MXQ23" s="2950"/>
      <c r="MXR23" s="2950"/>
      <c r="MXS23" s="2950"/>
      <c r="MXT23" s="2950"/>
      <c r="MXU23" s="2950"/>
      <c r="MXV23" s="2950"/>
      <c r="MXW23" s="2950"/>
      <c r="MXX23" s="2950"/>
      <c r="MXY23" s="2950"/>
      <c r="MXZ23" s="2950"/>
      <c r="MYA23" s="2950"/>
      <c r="MYB23" s="2950"/>
      <c r="MYC23" s="2950"/>
      <c r="MYD23" s="2950"/>
      <c r="MYE23" s="2950"/>
      <c r="MYF23" s="2950"/>
      <c r="MYG23" s="2950"/>
      <c r="MYH23" s="2950"/>
      <c r="MYI23" s="2950"/>
      <c r="MYJ23" s="2950"/>
      <c r="MYK23" s="2950"/>
      <c r="MYL23" s="2950"/>
      <c r="MYM23" s="2950"/>
      <c r="MYN23" s="2950"/>
      <c r="MYO23" s="2950"/>
      <c r="MYP23" s="2950"/>
      <c r="MYQ23" s="2950"/>
      <c r="MYR23" s="2950"/>
      <c r="MYS23" s="2950"/>
      <c r="MYT23" s="2950"/>
      <c r="MYU23" s="2950"/>
      <c r="MYV23" s="2950"/>
      <c r="MYW23" s="2950"/>
      <c r="MYX23" s="2950"/>
      <c r="MYY23" s="2950"/>
      <c r="MYZ23" s="2950"/>
      <c r="MZA23" s="2950"/>
      <c r="MZB23" s="2950"/>
      <c r="MZC23" s="2950"/>
      <c r="MZD23" s="2950"/>
      <c r="MZE23" s="2950"/>
      <c r="MZF23" s="2950"/>
      <c r="MZG23" s="2950"/>
      <c r="MZH23" s="2950"/>
      <c r="MZI23" s="2950"/>
      <c r="MZJ23" s="2950"/>
      <c r="MZK23" s="2950"/>
      <c r="MZL23" s="2950"/>
      <c r="MZM23" s="2950"/>
      <c r="MZN23" s="2950"/>
      <c r="MZO23" s="2950"/>
      <c r="MZP23" s="2950"/>
      <c r="MZQ23" s="2950"/>
      <c r="MZR23" s="2950"/>
      <c r="MZS23" s="2950"/>
      <c r="MZT23" s="2950"/>
      <c r="MZU23" s="2950"/>
      <c r="MZV23" s="2950"/>
      <c r="MZW23" s="2950"/>
      <c r="MZX23" s="2950"/>
      <c r="MZY23" s="2950"/>
      <c r="MZZ23" s="2950"/>
      <c r="NAA23" s="2950"/>
      <c r="NAB23" s="2950"/>
      <c r="NAC23" s="2950"/>
      <c r="NAD23" s="2950"/>
      <c r="NAE23" s="2950"/>
      <c r="NAF23" s="2950"/>
      <c r="NAG23" s="2950"/>
      <c r="NAH23" s="2950"/>
      <c r="NAI23" s="2950"/>
      <c r="NAJ23" s="2950"/>
      <c r="NAK23" s="2950"/>
      <c r="NAL23" s="2950"/>
      <c r="NAM23" s="2950"/>
      <c r="NAN23" s="2950"/>
      <c r="NAO23" s="2950"/>
      <c r="NAP23" s="2950"/>
      <c r="NAQ23" s="2950"/>
      <c r="NAR23" s="2950"/>
      <c r="NAS23" s="2950"/>
      <c r="NAT23" s="2950"/>
      <c r="NAU23" s="2950"/>
      <c r="NAV23" s="2950"/>
      <c r="NAW23" s="2950"/>
      <c r="NAX23" s="2950"/>
      <c r="NAY23" s="2950"/>
      <c r="NAZ23" s="2950"/>
      <c r="NBA23" s="2950"/>
      <c r="NBB23" s="2950"/>
      <c r="NBC23" s="2950"/>
      <c r="NBD23" s="2950"/>
      <c r="NBE23" s="2950"/>
      <c r="NBF23" s="2950"/>
      <c r="NBG23" s="2950"/>
      <c r="NBH23" s="2950"/>
      <c r="NBI23" s="2950"/>
      <c r="NBJ23" s="2950"/>
      <c r="NBK23" s="2950"/>
      <c r="NBL23" s="2950"/>
      <c r="NBM23" s="2950"/>
      <c r="NBN23" s="2950"/>
      <c r="NBO23" s="2950"/>
      <c r="NBP23" s="2950"/>
      <c r="NBQ23" s="2950"/>
      <c r="NBR23" s="2950"/>
      <c r="NBS23" s="2950"/>
      <c r="NBT23" s="2950"/>
      <c r="NBU23" s="2950"/>
      <c r="NBV23" s="2950"/>
      <c r="NBW23" s="2950"/>
      <c r="NBX23" s="2950"/>
      <c r="NBY23" s="2950"/>
      <c r="NBZ23" s="2950"/>
      <c r="NCA23" s="2950"/>
      <c r="NCB23" s="2950"/>
      <c r="NCC23" s="2950"/>
      <c r="NCD23" s="2950"/>
      <c r="NCE23" s="2950"/>
      <c r="NCF23" s="2950"/>
      <c r="NCG23" s="2950"/>
      <c r="NCH23" s="2950"/>
      <c r="NCI23" s="2950"/>
      <c r="NCJ23" s="2950"/>
      <c r="NCK23" s="2950"/>
      <c r="NCL23" s="2950"/>
      <c r="NCM23" s="2950"/>
      <c r="NCN23" s="2950"/>
      <c r="NCO23" s="2950"/>
      <c r="NCP23" s="2950"/>
      <c r="NCQ23" s="2950"/>
      <c r="NCR23" s="2950"/>
      <c r="NCS23" s="2950"/>
      <c r="NCT23" s="2950"/>
      <c r="NCU23" s="2950"/>
      <c r="NCV23" s="2950"/>
      <c r="NCW23" s="2950"/>
      <c r="NCX23" s="2950"/>
      <c r="NCY23" s="2950"/>
      <c r="NCZ23" s="2950"/>
      <c r="NDA23" s="2950"/>
      <c r="NDB23" s="2950"/>
      <c r="NDC23" s="2950"/>
      <c r="NDD23" s="2950"/>
      <c r="NDE23" s="2950"/>
      <c r="NDF23" s="2950"/>
      <c r="NDG23" s="2950"/>
      <c r="NDH23" s="2950"/>
      <c r="NDI23" s="2950"/>
      <c r="NDJ23" s="2950"/>
      <c r="NDK23" s="2950"/>
      <c r="NDL23" s="2950"/>
      <c r="NDM23" s="2950"/>
      <c r="NDN23" s="2950"/>
      <c r="NDO23" s="2950"/>
      <c r="NDP23" s="2950"/>
      <c r="NDQ23" s="2950"/>
      <c r="NDR23" s="2950"/>
      <c r="NDS23" s="2950"/>
      <c r="NDT23" s="2950"/>
      <c r="NDU23" s="2950"/>
      <c r="NDV23" s="2950"/>
      <c r="NDW23" s="2950"/>
      <c r="NDX23" s="2950"/>
      <c r="NDY23" s="2950"/>
      <c r="NDZ23" s="2950"/>
      <c r="NEA23" s="2950"/>
      <c r="NEB23" s="2950"/>
      <c r="NEC23" s="2950"/>
      <c r="NED23" s="2950"/>
      <c r="NEE23" s="2950"/>
      <c r="NEF23" s="2950"/>
      <c r="NEG23" s="2950"/>
      <c r="NEH23" s="2950"/>
      <c r="NEI23" s="2950"/>
      <c r="NEJ23" s="2950"/>
      <c r="NEK23" s="2950"/>
      <c r="NEL23" s="2950"/>
      <c r="NEM23" s="2950"/>
      <c r="NEN23" s="2950"/>
      <c r="NEO23" s="2950"/>
      <c r="NEP23" s="2950"/>
      <c r="NEQ23" s="2950"/>
      <c r="NER23" s="2950"/>
      <c r="NES23" s="2950"/>
      <c r="NET23" s="2950"/>
      <c r="NEU23" s="2950"/>
      <c r="NEV23" s="2950"/>
      <c r="NEW23" s="2950"/>
      <c r="NEX23" s="2950"/>
      <c r="NEY23" s="2950"/>
      <c r="NEZ23" s="2950"/>
      <c r="NFA23" s="2950"/>
      <c r="NFB23" s="2950"/>
      <c r="NFC23" s="2950"/>
      <c r="NFD23" s="2950"/>
      <c r="NFE23" s="2950"/>
      <c r="NFF23" s="2950"/>
      <c r="NFG23" s="2950"/>
      <c r="NFH23" s="2950"/>
      <c r="NFI23" s="2950"/>
      <c r="NFJ23" s="2950"/>
      <c r="NFK23" s="2950"/>
      <c r="NFL23" s="2950"/>
      <c r="NFM23" s="2950"/>
      <c r="NFN23" s="2950"/>
      <c r="NFO23" s="2950"/>
      <c r="NFP23" s="2950"/>
      <c r="NFQ23" s="2950"/>
      <c r="NFR23" s="2950"/>
      <c r="NFS23" s="2950"/>
      <c r="NFT23" s="2950"/>
      <c r="NFU23" s="2950"/>
      <c r="NFV23" s="2950"/>
      <c r="NFW23" s="2950"/>
      <c r="NFX23" s="2950"/>
      <c r="NFY23" s="2950"/>
      <c r="NFZ23" s="2950"/>
      <c r="NGA23" s="2950"/>
      <c r="NGB23" s="2950"/>
      <c r="NGC23" s="2950"/>
      <c r="NGD23" s="2950"/>
      <c r="NGE23" s="2950"/>
      <c r="NGF23" s="2950"/>
      <c r="NGG23" s="2950"/>
      <c r="NGH23" s="2950"/>
      <c r="NGI23" s="2950"/>
      <c r="NGJ23" s="2950"/>
      <c r="NGK23" s="2950"/>
      <c r="NGL23" s="2950"/>
      <c r="NGM23" s="2950"/>
      <c r="NGN23" s="2950"/>
      <c r="NGO23" s="2950"/>
      <c r="NGP23" s="2950"/>
      <c r="NGQ23" s="2950"/>
      <c r="NGR23" s="2950"/>
      <c r="NGS23" s="2950"/>
      <c r="NGT23" s="2950"/>
      <c r="NGU23" s="2950"/>
      <c r="NGV23" s="2950"/>
      <c r="NGW23" s="2950"/>
      <c r="NGX23" s="2950"/>
      <c r="NGY23" s="2950"/>
      <c r="NGZ23" s="2950"/>
      <c r="NHA23" s="2950"/>
      <c r="NHB23" s="2950"/>
      <c r="NHC23" s="2950"/>
      <c r="NHD23" s="2950"/>
      <c r="NHE23" s="2950"/>
      <c r="NHF23" s="2950"/>
      <c r="NHG23" s="2950"/>
      <c r="NHH23" s="2950"/>
      <c r="NHI23" s="2950"/>
      <c r="NHJ23" s="2950"/>
      <c r="NHK23" s="2950"/>
      <c r="NHL23" s="2950"/>
      <c r="NHM23" s="2950"/>
      <c r="NHN23" s="2950"/>
      <c r="NHO23" s="2950"/>
      <c r="NHP23" s="2950"/>
      <c r="NHQ23" s="2950"/>
      <c r="NHR23" s="2950"/>
      <c r="NHS23" s="2950"/>
      <c r="NHT23" s="2950"/>
      <c r="NHU23" s="2950"/>
      <c r="NHV23" s="2950"/>
      <c r="NHW23" s="2950"/>
      <c r="NHX23" s="2950"/>
      <c r="NHY23" s="2950"/>
      <c r="NHZ23" s="2950"/>
      <c r="NIA23" s="2950"/>
      <c r="NIB23" s="2950"/>
      <c r="NIC23" s="2950"/>
      <c r="NID23" s="2950"/>
      <c r="NIE23" s="2950"/>
      <c r="NIF23" s="2950"/>
      <c r="NIG23" s="2950"/>
      <c r="NIH23" s="2950"/>
      <c r="NII23" s="2950"/>
      <c r="NIJ23" s="2950"/>
      <c r="NIK23" s="2950"/>
      <c r="NIL23" s="2950"/>
      <c r="NIM23" s="2950"/>
      <c r="NIN23" s="2950"/>
      <c r="NIO23" s="2950"/>
      <c r="NIP23" s="2950"/>
      <c r="NIQ23" s="2950"/>
      <c r="NIR23" s="2950"/>
      <c r="NIS23" s="2950"/>
      <c r="NIT23" s="2950"/>
      <c r="NIU23" s="2950"/>
      <c r="NIV23" s="2950"/>
      <c r="NIW23" s="2950"/>
      <c r="NIX23" s="2950"/>
      <c r="NIY23" s="2950"/>
      <c r="NIZ23" s="2950"/>
      <c r="NJA23" s="2950"/>
      <c r="NJB23" s="2950"/>
      <c r="NJC23" s="2950"/>
      <c r="NJD23" s="2950"/>
      <c r="NJE23" s="2950"/>
      <c r="NJF23" s="2950"/>
      <c r="NJG23" s="2950"/>
      <c r="NJH23" s="2950"/>
      <c r="NJI23" s="2950"/>
      <c r="NJJ23" s="2950"/>
      <c r="NJK23" s="2950"/>
      <c r="NJL23" s="2950"/>
      <c r="NJM23" s="2950"/>
      <c r="NJN23" s="2950"/>
      <c r="NJO23" s="2950"/>
      <c r="NJP23" s="2950"/>
      <c r="NJQ23" s="2950"/>
      <c r="NJR23" s="2950"/>
      <c r="NJS23" s="2950"/>
      <c r="NJT23" s="2950"/>
      <c r="NJU23" s="2950"/>
      <c r="NJV23" s="2950"/>
      <c r="NJW23" s="2950"/>
      <c r="NJX23" s="2950"/>
      <c r="NJY23" s="2950"/>
      <c r="NJZ23" s="2950"/>
      <c r="NKA23" s="2950"/>
      <c r="NKB23" s="2950"/>
      <c r="NKC23" s="2950"/>
      <c r="NKD23" s="2950"/>
      <c r="NKE23" s="2950"/>
      <c r="NKF23" s="2950"/>
      <c r="NKG23" s="2950"/>
      <c r="NKH23" s="2950"/>
      <c r="NKI23" s="2950"/>
      <c r="NKJ23" s="2950"/>
      <c r="NKK23" s="2950"/>
      <c r="NKL23" s="2950"/>
      <c r="NKM23" s="2950"/>
      <c r="NKN23" s="2950"/>
      <c r="NKO23" s="2950"/>
      <c r="NKP23" s="2950"/>
      <c r="NKQ23" s="2950"/>
      <c r="NKR23" s="2950"/>
      <c r="NKS23" s="2950"/>
      <c r="NKT23" s="2950"/>
      <c r="NKU23" s="2950"/>
      <c r="NKV23" s="2950"/>
      <c r="NKW23" s="2950"/>
      <c r="NKX23" s="2950"/>
      <c r="NKY23" s="2950"/>
      <c r="NKZ23" s="2950"/>
      <c r="NLA23" s="2950"/>
      <c r="NLB23" s="2950"/>
      <c r="NLC23" s="2950"/>
      <c r="NLD23" s="2950"/>
      <c r="NLE23" s="2950"/>
      <c r="NLF23" s="2950"/>
      <c r="NLG23" s="2950"/>
      <c r="NLH23" s="2950"/>
      <c r="NLI23" s="2950"/>
      <c r="NLJ23" s="2950"/>
      <c r="NLK23" s="2950"/>
      <c r="NLL23" s="2950"/>
      <c r="NLM23" s="2950"/>
      <c r="NLN23" s="2950"/>
      <c r="NLO23" s="2950"/>
      <c r="NLP23" s="2950"/>
      <c r="NLQ23" s="2950"/>
      <c r="NLR23" s="2950"/>
      <c r="NLS23" s="2950"/>
      <c r="NLT23" s="2950"/>
      <c r="NLU23" s="2950"/>
      <c r="NLV23" s="2950"/>
      <c r="NLW23" s="2950"/>
      <c r="NLX23" s="2950"/>
      <c r="NLY23" s="2950"/>
      <c r="NLZ23" s="2950"/>
      <c r="NMA23" s="2950"/>
      <c r="NMB23" s="2950"/>
      <c r="NMC23" s="2950"/>
      <c r="NMD23" s="2950"/>
      <c r="NME23" s="2950"/>
      <c r="NMF23" s="2950"/>
      <c r="NMG23" s="2950"/>
      <c r="NMH23" s="2950"/>
      <c r="NMI23" s="2950"/>
      <c r="NMJ23" s="2950"/>
      <c r="NMK23" s="2950"/>
      <c r="NML23" s="2950"/>
      <c r="NMM23" s="2950"/>
      <c r="NMN23" s="2950"/>
      <c r="NMO23" s="2950"/>
      <c r="NMP23" s="2950"/>
      <c r="NMQ23" s="2950"/>
      <c r="NMR23" s="2950"/>
      <c r="NMS23" s="2950"/>
      <c r="NMT23" s="2950"/>
      <c r="NMU23" s="2950"/>
      <c r="NMV23" s="2950"/>
      <c r="NMW23" s="2950"/>
      <c r="NMX23" s="2950"/>
      <c r="NMY23" s="2950"/>
      <c r="NMZ23" s="2950"/>
      <c r="NNA23" s="2950"/>
      <c r="NNB23" s="2950"/>
      <c r="NNC23" s="2950"/>
      <c r="NND23" s="2950"/>
      <c r="NNE23" s="2950"/>
      <c r="NNF23" s="2950"/>
      <c r="NNG23" s="2950"/>
      <c r="NNH23" s="2950"/>
      <c r="NNI23" s="2950"/>
      <c r="NNJ23" s="2950"/>
      <c r="NNK23" s="2950"/>
      <c r="NNL23" s="2950"/>
      <c r="NNM23" s="2950"/>
      <c r="NNN23" s="2950"/>
      <c r="NNO23" s="2950"/>
      <c r="NNP23" s="2950"/>
      <c r="NNQ23" s="2950"/>
      <c r="NNR23" s="2950"/>
      <c r="NNS23" s="2950"/>
      <c r="NNT23" s="2950"/>
      <c r="NNU23" s="2950"/>
      <c r="NNV23" s="2950"/>
      <c r="NNW23" s="2950"/>
      <c r="NNX23" s="2950"/>
      <c r="NNY23" s="2950"/>
      <c r="NNZ23" s="2950"/>
      <c r="NOA23" s="2950"/>
      <c r="NOB23" s="2950"/>
      <c r="NOC23" s="2950"/>
      <c r="NOD23" s="2950"/>
      <c r="NOE23" s="2950"/>
      <c r="NOF23" s="2950"/>
      <c r="NOG23" s="2950"/>
      <c r="NOH23" s="2950"/>
      <c r="NOI23" s="2950"/>
      <c r="NOJ23" s="2950"/>
      <c r="NOK23" s="2950"/>
      <c r="NOL23" s="2950"/>
      <c r="NOM23" s="2950"/>
      <c r="NON23" s="2950"/>
      <c r="NOO23" s="2950"/>
      <c r="NOP23" s="2950"/>
      <c r="NOQ23" s="2950"/>
      <c r="NOR23" s="2950"/>
      <c r="NOS23" s="2950"/>
      <c r="NOT23" s="2950"/>
      <c r="NOU23" s="2950"/>
      <c r="NOV23" s="2950"/>
      <c r="NOW23" s="2950"/>
      <c r="NOX23" s="2950"/>
      <c r="NOY23" s="2950"/>
      <c r="NOZ23" s="2950"/>
      <c r="NPA23" s="2950"/>
      <c r="NPB23" s="2950"/>
      <c r="NPC23" s="2950"/>
      <c r="NPD23" s="2950"/>
      <c r="NPE23" s="2950"/>
      <c r="NPF23" s="2950"/>
      <c r="NPG23" s="2950"/>
      <c r="NPH23" s="2950"/>
      <c r="NPI23" s="2950"/>
      <c r="NPJ23" s="2950"/>
      <c r="NPK23" s="2950"/>
      <c r="NPL23" s="2950"/>
      <c r="NPM23" s="2950"/>
      <c r="NPN23" s="2950"/>
      <c r="NPO23" s="2950"/>
      <c r="NPP23" s="2950"/>
      <c r="NPQ23" s="2950"/>
      <c r="NPR23" s="2950"/>
      <c r="NPS23" s="2950"/>
      <c r="NPT23" s="2950"/>
      <c r="NPU23" s="2950"/>
      <c r="NPV23" s="2950"/>
      <c r="NPW23" s="2950"/>
      <c r="NPX23" s="2950"/>
      <c r="NPY23" s="2950"/>
      <c r="NPZ23" s="2950"/>
      <c r="NQA23" s="2950"/>
      <c r="NQB23" s="2950"/>
      <c r="NQC23" s="2950"/>
      <c r="NQD23" s="2950"/>
      <c r="NQE23" s="2950"/>
      <c r="NQF23" s="2950"/>
      <c r="NQG23" s="2950"/>
      <c r="NQH23" s="2950"/>
      <c r="NQI23" s="2950"/>
      <c r="NQJ23" s="2950"/>
      <c r="NQK23" s="2950"/>
      <c r="NQL23" s="2950"/>
      <c r="NQM23" s="2950"/>
      <c r="NQN23" s="2950"/>
      <c r="NQO23" s="2950"/>
      <c r="NQP23" s="2950"/>
      <c r="NQQ23" s="2950"/>
      <c r="NQR23" s="2950"/>
      <c r="NQS23" s="2950"/>
      <c r="NQT23" s="2950"/>
      <c r="NQU23" s="2950"/>
      <c r="NQV23" s="2950"/>
      <c r="NQW23" s="2950"/>
      <c r="NQX23" s="2950"/>
      <c r="NQY23" s="2950"/>
      <c r="NQZ23" s="2950"/>
      <c r="NRA23" s="2950"/>
      <c r="NRB23" s="2950"/>
      <c r="NRC23" s="2950"/>
      <c r="NRD23" s="2950"/>
      <c r="NRE23" s="2950"/>
      <c r="NRF23" s="2950"/>
      <c r="NRG23" s="2950"/>
      <c r="NRH23" s="2950"/>
      <c r="NRI23" s="2950"/>
      <c r="NRJ23" s="2950"/>
      <c r="NRK23" s="2950"/>
      <c r="NRL23" s="2950"/>
      <c r="NRM23" s="2950"/>
      <c r="NRN23" s="2950"/>
      <c r="NRO23" s="2950"/>
      <c r="NRP23" s="2950"/>
      <c r="NRQ23" s="2950"/>
      <c r="NRR23" s="2950"/>
      <c r="NRS23" s="2950"/>
      <c r="NRT23" s="2950"/>
      <c r="NRU23" s="2950"/>
      <c r="NRV23" s="2950"/>
      <c r="NRW23" s="2950"/>
      <c r="NRX23" s="2950"/>
      <c r="NRY23" s="2950"/>
      <c r="NRZ23" s="2950"/>
      <c r="NSA23" s="2950"/>
      <c r="NSB23" s="2950"/>
      <c r="NSC23" s="2950"/>
      <c r="NSD23" s="2950"/>
      <c r="NSE23" s="2950"/>
      <c r="NSF23" s="2950"/>
      <c r="NSG23" s="2950"/>
      <c r="NSH23" s="2950"/>
      <c r="NSI23" s="2950"/>
      <c r="NSJ23" s="2950"/>
      <c r="NSK23" s="2950"/>
      <c r="NSL23" s="2950"/>
      <c r="NSM23" s="2950"/>
      <c r="NSN23" s="2950"/>
      <c r="NSO23" s="2950"/>
      <c r="NSP23" s="2950"/>
      <c r="NSQ23" s="2950"/>
      <c r="NSR23" s="2950"/>
      <c r="NSS23" s="2950"/>
      <c r="NST23" s="2950"/>
      <c r="NSU23" s="2950"/>
      <c r="NSV23" s="2950"/>
      <c r="NSW23" s="2950"/>
      <c r="NSX23" s="2950"/>
      <c r="NSY23" s="2950"/>
      <c r="NSZ23" s="2950"/>
      <c r="NTA23" s="2950"/>
      <c r="NTB23" s="2950"/>
      <c r="NTC23" s="2950"/>
      <c r="NTD23" s="2950"/>
      <c r="NTE23" s="2950"/>
      <c r="NTF23" s="2950"/>
      <c r="NTG23" s="2950"/>
      <c r="NTH23" s="2950"/>
      <c r="NTI23" s="2950"/>
      <c r="NTJ23" s="2950"/>
      <c r="NTK23" s="2950"/>
      <c r="NTL23" s="2950"/>
      <c r="NTM23" s="2950"/>
      <c r="NTN23" s="2950"/>
      <c r="NTO23" s="2950"/>
      <c r="NTP23" s="2950"/>
      <c r="NTQ23" s="2950"/>
      <c r="NTR23" s="2950"/>
      <c r="NTS23" s="2950"/>
      <c r="NTT23" s="2950"/>
      <c r="NTU23" s="2950"/>
      <c r="NTV23" s="2950"/>
      <c r="NTW23" s="2950"/>
      <c r="NTX23" s="2950"/>
      <c r="NTY23" s="2950"/>
      <c r="NTZ23" s="2950"/>
      <c r="NUA23" s="2950"/>
      <c r="NUB23" s="2950"/>
      <c r="NUC23" s="2950"/>
      <c r="NUD23" s="2950"/>
      <c r="NUE23" s="2950"/>
      <c r="NUF23" s="2950"/>
      <c r="NUG23" s="2950"/>
      <c r="NUH23" s="2950"/>
      <c r="NUI23" s="2950"/>
      <c r="NUJ23" s="2950"/>
      <c r="NUK23" s="2950"/>
      <c r="NUL23" s="2950"/>
      <c r="NUM23" s="2950"/>
      <c r="NUN23" s="2950"/>
      <c r="NUO23" s="2950"/>
      <c r="NUP23" s="2950"/>
      <c r="NUQ23" s="2950"/>
      <c r="NUR23" s="2950"/>
      <c r="NUS23" s="2950"/>
      <c r="NUT23" s="2950"/>
      <c r="NUU23" s="2950"/>
      <c r="NUV23" s="2950"/>
      <c r="NUW23" s="2950"/>
      <c r="NUX23" s="2950"/>
      <c r="NUY23" s="2950"/>
      <c r="NUZ23" s="2950"/>
      <c r="NVA23" s="2950"/>
      <c r="NVB23" s="2950"/>
      <c r="NVC23" s="2950"/>
      <c r="NVD23" s="2950"/>
      <c r="NVE23" s="2950"/>
      <c r="NVF23" s="2950"/>
      <c r="NVG23" s="2950"/>
      <c r="NVH23" s="2950"/>
      <c r="NVI23" s="2950"/>
      <c r="NVJ23" s="2950"/>
      <c r="NVK23" s="2950"/>
      <c r="NVL23" s="2950"/>
      <c r="NVM23" s="2950"/>
      <c r="NVN23" s="2950"/>
      <c r="NVO23" s="2950"/>
      <c r="NVP23" s="2950"/>
      <c r="NVQ23" s="2950"/>
      <c r="NVR23" s="2950"/>
      <c r="NVS23" s="2950"/>
      <c r="NVT23" s="2950"/>
      <c r="NVU23" s="2950"/>
      <c r="NVV23" s="2950"/>
      <c r="NVW23" s="2950"/>
      <c r="NVX23" s="2950"/>
      <c r="NVY23" s="2950"/>
      <c r="NVZ23" s="2950"/>
      <c r="NWA23" s="2950"/>
      <c r="NWB23" s="2950"/>
      <c r="NWC23" s="2950"/>
      <c r="NWD23" s="2950"/>
      <c r="NWE23" s="2950"/>
      <c r="NWF23" s="2950"/>
      <c r="NWG23" s="2950"/>
      <c r="NWH23" s="2950"/>
      <c r="NWI23" s="2950"/>
      <c r="NWJ23" s="2950"/>
      <c r="NWK23" s="2950"/>
      <c r="NWL23" s="2950"/>
      <c r="NWM23" s="2950"/>
      <c r="NWN23" s="2950"/>
      <c r="NWO23" s="2950"/>
      <c r="NWP23" s="2950"/>
      <c r="NWQ23" s="2950"/>
      <c r="NWR23" s="2950"/>
      <c r="NWS23" s="2950"/>
      <c r="NWT23" s="2950"/>
      <c r="NWU23" s="2950"/>
      <c r="NWV23" s="2950"/>
      <c r="NWW23" s="2950"/>
      <c r="NWX23" s="2950"/>
      <c r="NWY23" s="2950"/>
      <c r="NWZ23" s="2950"/>
      <c r="NXA23" s="2950"/>
      <c r="NXB23" s="2950"/>
      <c r="NXC23" s="2950"/>
      <c r="NXD23" s="2950"/>
      <c r="NXE23" s="2950"/>
      <c r="NXF23" s="2950"/>
      <c r="NXG23" s="2950"/>
      <c r="NXH23" s="2950"/>
      <c r="NXI23" s="2950"/>
      <c r="NXJ23" s="2950"/>
      <c r="NXK23" s="2950"/>
      <c r="NXL23" s="2950"/>
      <c r="NXM23" s="2950"/>
      <c r="NXN23" s="2950"/>
      <c r="NXO23" s="2950"/>
      <c r="NXP23" s="2950"/>
      <c r="NXQ23" s="2950"/>
      <c r="NXR23" s="2950"/>
      <c r="NXS23" s="2950"/>
      <c r="NXT23" s="2950"/>
      <c r="NXU23" s="2950"/>
      <c r="NXV23" s="2950"/>
      <c r="NXW23" s="2950"/>
      <c r="NXX23" s="2950"/>
      <c r="NXY23" s="2950"/>
      <c r="NXZ23" s="2950"/>
      <c r="NYA23" s="2950"/>
      <c r="NYB23" s="2950"/>
      <c r="NYC23" s="2950"/>
      <c r="NYD23" s="2950"/>
      <c r="NYE23" s="2950"/>
      <c r="NYF23" s="2950"/>
      <c r="NYG23" s="2950"/>
      <c r="NYH23" s="2950"/>
      <c r="NYI23" s="2950"/>
      <c r="NYJ23" s="2950"/>
      <c r="NYK23" s="2950"/>
      <c r="NYL23" s="2950"/>
      <c r="NYM23" s="2950"/>
      <c r="NYN23" s="2950"/>
      <c r="NYO23" s="2950"/>
      <c r="NYP23" s="2950"/>
      <c r="NYQ23" s="2950"/>
      <c r="NYR23" s="2950"/>
      <c r="NYS23" s="2950"/>
      <c r="NYT23" s="2950"/>
      <c r="NYU23" s="2950"/>
      <c r="NYV23" s="2950"/>
      <c r="NYW23" s="2950"/>
      <c r="NYX23" s="2950"/>
      <c r="NYY23" s="2950"/>
      <c r="NYZ23" s="2950"/>
      <c r="NZA23" s="2950"/>
      <c r="NZB23" s="2950"/>
      <c r="NZC23" s="2950"/>
      <c r="NZD23" s="2950"/>
      <c r="NZE23" s="2950"/>
      <c r="NZF23" s="2950"/>
      <c r="NZG23" s="2950"/>
      <c r="NZH23" s="2950"/>
      <c r="NZI23" s="2950"/>
      <c r="NZJ23" s="2950"/>
      <c r="NZK23" s="2950"/>
      <c r="NZL23" s="2950"/>
      <c r="NZM23" s="2950"/>
      <c r="NZN23" s="2950"/>
      <c r="NZO23" s="2950"/>
      <c r="NZP23" s="2950"/>
      <c r="NZQ23" s="2950"/>
      <c r="NZR23" s="2950"/>
      <c r="NZS23" s="2950"/>
      <c r="NZT23" s="2950"/>
      <c r="NZU23" s="2950"/>
      <c r="NZV23" s="2950"/>
      <c r="NZW23" s="2950"/>
      <c r="NZX23" s="2950"/>
      <c r="NZY23" s="2950"/>
      <c r="NZZ23" s="2950"/>
      <c r="OAA23" s="2950"/>
      <c r="OAB23" s="2950"/>
      <c r="OAC23" s="2950"/>
      <c r="OAD23" s="2950"/>
      <c r="OAE23" s="2950"/>
      <c r="OAF23" s="2950"/>
      <c r="OAG23" s="2950"/>
      <c r="OAH23" s="2950"/>
      <c r="OAI23" s="2950"/>
      <c r="OAJ23" s="2950"/>
      <c r="OAK23" s="2950"/>
      <c r="OAL23" s="2950"/>
      <c r="OAM23" s="2950"/>
      <c r="OAN23" s="2950"/>
      <c r="OAO23" s="2950"/>
      <c r="OAP23" s="2950"/>
      <c r="OAQ23" s="2950"/>
      <c r="OAR23" s="2950"/>
      <c r="OAS23" s="2950"/>
      <c r="OAT23" s="2950"/>
      <c r="OAU23" s="2950"/>
      <c r="OAV23" s="2950"/>
      <c r="OAW23" s="2950"/>
      <c r="OAX23" s="2950"/>
      <c r="OAY23" s="2950"/>
      <c r="OAZ23" s="2950"/>
      <c r="OBA23" s="2950"/>
      <c r="OBB23" s="2950"/>
      <c r="OBC23" s="2950"/>
      <c r="OBD23" s="2950"/>
      <c r="OBE23" s="2950"/>
      <c r="OBF23" s="2950"/>
      <c r="OBG23" s="2950"/>
      <c r="OBH23" s="2950"/>
      <c r="OBI23" s="2950"/>
      <c r="OBJ23" s="2950"/>
      <c r="OBK23" s="2950"/>
      <c r="OBL23" s="2950"/>
      <c r="OBM23" s="2950"/>
      <c r="OBN23" s="2950"/>
      <c r="OBO23" s="2950"/>
      <c r="OBP23" s="2950"/>
      <c r="OBQ23" s="2950"/>
      <c r="OBR23" s="2950"/>
      <c r="OBS23" s="2950"/>
      <c r="OBT23" s="2950"/>
      <c r="OBU23" s="2950"/>
      <c r="OBV23" s="2950"/>
      <c r="OBW23" s="2950"/>
      <c r="OBX23" s="2950"/>
      <c r="OBY23" s="2950"/>
      <c r="OBZ23" s="2950"/>
      <c r="OCA23" s="2950"/>
      <c r="OCB23" s="2950"/>
      <c r="OCC23" s="2950"/>
      <c r="OCD23" s="2950"/>
      <c r="OCE23" s="2950"/>
      <c r="OCF23" s="2950"/>
      <c r="OCG23" s="2950"/>
      <c r="OCH23" s="2950"/>
      <c r="OCI23" s="2950"/>
      <c r="OCJ23" s="2950"/>
      <c r="OCK23" s="2950"/>
      <c r="OCL23" s="2950"/>
      <c r="OCM23" s="2950"/>
      <c r="OCN23" s="2950"/>
      <c r="OCO23" s="2950"/>
      <c r="OCP23" s="2950"/>
      <c r="OCQ23" s="2950"/>
      <c r="OCR23" s="2950"/>
      <c r="OCS23" s="2950"/>
      <c r="OCT23" s="2950"/>
      <c r="OCU23" s="2950"/>
      <c r="OCV23" s="2950"/>
      <c r="OCW23" s="2950"/>
      <c r="OCX23" s="2950"/>
      <c r="OCY23" s="2950"/>
      <c r="OCZ23" s="2950"/>
      <c r="ODA23" s="2950"/>
      <c r="ODB23" s="2950"/>
      <c r="ODC23" s="2950"/>
      <c r="ODD23" s="2950"/>
      <c r="ODE23" s="2950"/>
      <c r="ODF23" s="2950"/>
      <c r="ODG23" s="2950"/>
      <c r="ODH23" s="2950"/>
      <c r="ODI23" s="2950"/>
      <c r="ODJ23" s="2950"/>
      <c r="ODK23" s="2950"/>
      <c r="ODL23" s="2950"/>
      <c r="ODM23" s="2950"/>
      <c r="ODN23" s="2950"/>
      <c r="ODO23" s="2950"/>
      <c r="ODP23" s="2950"/>
      <c r="ODQ23" s="2950"/>
      <c r="ODR23" s="2950"/>
      <c r="ODS23" s="2950"/>
      <c r="ODT23" s="2950"/>
      <c r="ODU23" s="2950"/>
      <c r="ODV23" s="2950"/>
      <c r="ODW23" s="2950"/>
      <c r="ODX23" s="2950"/>
      <c r="ODY23" s="2950"/>
      <c r="ODZ23" s="2950"/>
      <c r="OEA23" s="2950"/>
      <c r="OEB23" s="2950"/>
      <c r="OEC23" s="2950"/>
      <c r="OED23" s="2950"/>
      <c r="OEE23" s="2950"/>
      <c r="OEF23" s="2950"/>
      <c r="OEG23" s="2950"/>
      <c r="OEH23" s="2950"/>
      <c r="OEI23" s="2950"/>
      <c r="OEJ23" s="2950"/>
      <c r="OEK23" s="2950"/>
      <c r="OEL23" s="2950"/>
      <c r="OEM23" s="2950"/>
      <c r="OEN23" s="2950"/>
      <c r="OEO23" s="2950"/>
      <c r="OEP23" s="2950"/>
      <c r="OEQ23" s="2950"/>
      <c r="OER23" s="2950"/>
      <c r="OES23" s="2950"/>
      <c r="OET23" s="2950"/>
      <c r="OEU23" s="2950"/>
      <c r="OEV23" s="2950"/>
      <c r="OEW23" s="2950"/>
      <c r="OEX23" s="2950"/>
      <c r="OEY23" s="2950"/>
      <c r="OEZ23" s="2950"/>
      <c r="OFA23" s="2950"/>
      <c r="OFB23" s="2950"/>
      <c r="OFC23" s="2950"/>
      <c r="OFD23" s="2950"/>
      <c r="OFE23" s="2950"/>
      <c r="OFF23" s="2950"/>
      <c r="OFG23" s="2950"/>
      <c r="OFH23" s="2950"/>
      <c r="OFI23" s="2950"/>
      <c r="OFJ23" s="2950"/>
      <c r="OFK23" s="2950"/>
      <c r="OFL23" s="2950"/>
      <c r="OFM23" s="2950"/>
      <c r="OFN23" s="2950"/>
      <c r="OFO23" s="2950"/>
      <c r="OFP23" s="2950"/>
      <c r="OFQ23" s="2950"/>
      <c r="OFR23" s="2950"/>
      <c r="OFS23" s="2950"/>
      <c r="OFT23" s="2950"/>
      <c r="OFU23" s="2950"/>
      <c r="OFV23" s="2950"/>
      <c r="OFW23" s="2950"/>
      <c r="OFX23" s="2950"/>
      <c r="OFY23" s="2950"/>
      <c r="OFZ23" s="2950"/>
      <c r="OGA23" s="2950"/>
      <c r="OGB23" s="2950"/>
      <c r="OGC23" s="2950"/>
      <c r="OGD23" s="2950"/>
      <c r="OGE23" s="2950"/>
      <c r="OGF23" s="2950"/>
      <c r="OGG23" s="2950"/>
      <c r="OGH23" s="2950"/>
      <c r="OGI23" s="2950"/>
      <c r="OGJ23" s="2950"/>
      <c r="OGK23" s="2950"/>
      <c r="OGL23" s="2950"/>
      <c r="OGM23" s="2950"/>
      <c r="OGN23" s="2950"/>
      <c r="OGO23" s="2950"/>
      <c r="OGP23" s="2950"/>
      <c r="OGQ23" s="2950"/>
      <c r="OGR23" s="2950"/>
      <c r="OGS23" s="2950"/>
      <c r="OGT23" s="2950"/>
      <c r="OGU23" s="2950"/>
      <c r="OGV23" s="2950"/>
      <c r="OGW23" s="2950"/>
      <c r="OGX23" s="2950"/>
      <c r="OGY23" s="2950"/>
      <c r="OGZ23" s="2950"/>
      <c r="OHA23" s="2950"/>
      <c r="OHB23" s="2950"/>
      <c r="OHC23" s="2950"/>
      <c r="OHD23" s="2950"/>
      <c r="OHE23" s="2950"/>
      <c r="OHF23" s="2950"/>
      <c r="OHG23" s="2950"/>
      <c r="OHH23" s="2950"/>
      <c r="OHI23" s="2950"/>
      <c r="OHJ23" s="2950"/>
      <c r="OHK23" s="2950"/>
      <c r="OHL23" s="2950"/>
      <c r="OHM23" s="2950"/>
      <c r="OHN23" s="2950"/>
      <c r="OHO23" s="2950"/>
      <c r="OHP23" s="2950"/>
      <c r="OHQ23" s="2950"/>
      <c r="OHR23" s="2950"/>
      <c r="OHS23" s="2950"/>
      <c r="OHT23" s="2950"/>
      <c r="OHU23" s="2950"/>
      <c r="OHV23" s="2950"/>
      <c r="OHW23" s="2950"/>
      <c r="OHX23" s="2950"/>
      <c r="OHY23" s="2950"/>
      <c r="OHZ23" s="2950"/>
      <c r="OIA23" s="2950"/>
      <c r="OIB23" s="2950"/>
      <c r="OIC23" s="2950"/>
      <c r="OID23" s="2950"/>
      <c r="OIE23" s="2950"/>
      <c r="OIF23" s="2950"/>
      <c r="OIG23" s="2950"/>
      <c r="OIH23" s="2950"/>
      <c r="OII23" s="2950"/>
      <c r="OIJ23" s="2950"/>
      <c r="OIK23" s="2950"/>
      <c r="OIL23" s="2950"/>
      <c r="OIM23" s="2950"/>
      <c r="OIN23" s="2950"/>
      <c r="OIO23" s="2950"/>
      <c r="OIP23" s="2950"/>
      <c r="OIQ23" s="2950"/>
      <c r="OIR23" s="2950"/>
      <c r="OIS23" s="2950"/>
      <c r="OIT23" s="2950"/>
      <c r="OIU23" s="2950"/>
      <c r="OIV23" s="2950"/>
      <c r="OIW23" s="2950"/>
      <c r="OIX23" s="2950"/>
      <c r="OIY23" s="2950"/>
      <c r="OIZ23" s="2950"/>
      <c r="OJA23" s="2950"/>
      <c r="OJB23" s="2950"/>
      <c r="OJC23" s="2950"/>
      <c r="OJD23" s="2950"/>
      <c r="OJE23" s="2950"/>
      <c r="OJF23" s="2950"/>
      <c r="OJG23" s="2950"/>
      <c r="OJH23" s="2950"/>
      <c r="OJI23" s="2950"/>
      <c r="OJJ23" s="2950"/>
      <c r="OJK23" s="2950"/>
      <c r="OJL23" s="2950"/>
      <c r="OJM23" s="2950"/>
      <c r="OJN23" s="2950"/>
      <c r="OJO23" s="2950"/>
      <c r="OJP23" s="2950"/>
      <c r="OJQ23" s="2950"/>
      <c r="OJR23" s="2950"/>
      <c r="OJS23" s="2950"/>
      <c r="OJT23" s="2950"/>
      <c r="OJU23" s="2950"/>
      <c r="OJV23" s="2950"/>
      <c r="OJW23" s="2950"/>
      <c r="OJX23" s="2950"/>
      <c r="OJY23" s="2950"/>
      <c r="OJZ23" s="2950"/>
      <c r="OKA23" s="2950"/>
      <c r="OKB23" s="2950"/>
      <c r="OKC23" s="2950"/>
      <c r="OKD23" s="2950"/>
      <c r="OKE23" s="2950"/>
      <c r="OKF23" s="2950"/>
      <c r="OKG23" s="2950"/>
      <c r="OKH23" s="2950"/>
      <c r="OKI23" s="2950"/>
      <c r="OKJ23" s="2950"/>
      <c r="OKK23" s="2950"/>
      <c r="OKL23" s="2950"/>
      <c r="OKM23" s="2950"/>
      <c r="OKN23" s="2950"/>
      <c r="OKO23" s="2950"/>
      <c r="OKP23" s="2950"/>
      <c r="OKQ23" s="2950"/>
      <c r="OKR23" s="2950"/>
      <c r="OKS23" s="2950"/>
      <c r="OKT23" s="2950"/>
      <c r="OKU23" s="2950"/>
      <c r="OKV23" s="2950"/>
      <c r="OKW23" s="2950"/>
      <c r="OKX23" s="2950"/>
      <c r="OKY23" s="2950"/>
      <c r="OKZ23" s="2950"/>
      <c r="OLA23" s="2950"/>
      <c r="OLB23" s="2950"/>
      <c r="OLC23" s="2950"/>
      <c r="OLD23" s="2950"/>
      <c r="OLE23" s="2950"/>
      <c r="OLF23" s="2950"/>
      <c r="OLG23" s="2950"/>
      <c r="OLH23" s="2950"/>
      <c r="OLI23" s="2950"/>
      <c r="OLJ23" s="2950"/>
      <c r="OLK23" s="2950"/>
      <c r="OLL23" s="2950"/>
      <c r="OLM23" s="2950"/>
      <c r="OLN23" s="2950"/>
      <c r="OLO23" s="2950"/>
      <c r="OLP23" s="2950"/>
      <c r="OLQ23" s="2950"/>
      <c r="OLR23" s="2950"/>
      <c r="OLS23" s="2950"/>
      <c r="OLT23" s="2950"/>
      <c r="OLU23" s="2950"/>
      <c r="OLV23" s="2950"/>
      <c r="OLW23" s="2950"/>
      <c r="OLX23" s="2950"/>
      <c r="OLY23" s="2950"/>
      <c r="OLZ23" s="2950"/>
      <c r="OMA23" s="2950"/>
      <c r="OMB23" s="2950"/>
      <c r="OMC23" s="2950"/>
      <c r="OMD23" s="2950"/>
      <c r="OME23" s="2950"/>
      <c r="OMF23" s="2950"/>
      <c r="OMG23" s="2950"/>
      <c r="OMH23" s="2950"/>
      <c r="OMI23" s="2950"/>
      <c r="OMJ23" s="2950"/>
      <c r="OMK23" s="2950"/>
      <c r="OML23" s="2950"/>
      <c r="OMM23" s="2950"/>
      <c r="OMN23" s="2950"/>
      <c r="OMO23" s="2950"/>
      <c r="OMP23" s="2950"/>
      <c r="OMQ23" s="2950"/>
      <c r="OMR23" s="2950"/>
      <c r="OMS23" s="2950"/>
      <c r="OMT23" s="2950"/>
      <c r="OMU23" s="2950"/>
      <c r="OMV23" s="2950"/>
      <c r="OMW23" s="2950"/>
      <c r="OMX23" s="2950"/>
      <c r="OMY23" s="2950"/>
      <c r="OMZ23" s="2950"/>
      <c r="ONA23" s="2950"/>
      <c r="ONB23" s="2950"/>
      <c r="ONC23" s="2950"/>
      <c r="OND23" s="2950"/>
      <c r="ONE23" s="2950"/>
      <c r="ONF23" s="2950"/>
      <c r="ONG23" s="2950"/>
      <c r="ONH23" s="2950"/>
      <c r="ONI23" s="2950"/>
      <c r="ONJ23" s="2950"/>
      <c r="ONK23" s="2950"/>
      <c r="ONL23" s="2950"/>
      <c r="ONM23" s="2950"/>
      <c r="ONN23" s="2950"/>
      <c r="ONO23" s="2950"/>
      <c r="ONP23" s="2950"/>
      <c r="ONQ23" s="2950"/>
      <c r="ONR23" s="2950"/>
      <c r="ONS23" s="2950"/>
      <c r="ONT23" s="2950"/>
      <c r="ONU23" s="2950"/>
      <c r="ONV23" s="2950"/>
      <c r="ONW23" s="2950"/>
      <c r="ONX23" s="2950"/>
      <c r="ONY23" s="2950"/>
      <c r="ONZ23" s="2950"/>
      <c r="OOA23" s="2950"/>
      <c r="OOB23" s="2950"/>
      <c r="OOC23" s="2950"/>
      <c r="OOD23" s="2950"/>
      <c r="OOE23" s="2950"/>
      <c r="OOF23" s="2950"/>
      <c r="OOG23" s="2950"/>
      <c r="OOH23" s="2950"/>
      <c r="OOI23" s="2950"/>
      <c r="OOJ23" s="2950"/>
      <c r="OOK23" s="2950"/>
      <c r="OOL23" s="2950"/>
      <c r="OOM23" s="2950"/>
      <c r="OON23" s="2950"/>
      <c r="OOO23" s="2950"/>
      <c r="OOP23" s="2950"/>
      <c r="OOQ23" s="2950"/>
      <c r="OOR23" s="2950"/>
      <c r="OOS23" s="2950"/>
      <c r="OOT23" s="2950"/>
      <c r="OOU23" s="2950"/>
      <c r="OOV23" s="2950"/>
      <c r="OOW23" s="2950"/>
      <c r="OOX23" s="2950"/>
      <c r="OOY23" s="2950"/>
      <c r="OOZ23" s="2950"/>
      <c r="OPA23" s="2950"/>
      <c r="OPB23" s="2950"/>
      <c r="OPC23" s="2950"/>
      <c r="OPD23" s="2950"/>
      <c r="OPE23" s="2950"/>
      <c r="OPF23" s="2950"/>
      <c r="OPG23" s="2950"/>
      <c r="OPH23" s="2950"/>
      <c r="OPI23" s="2950"/>
      <c r="OPJ23" s="2950"/>
      <c r="OPK23" s="2950"/>
      <c r="OPL23" s="2950"/>
      <c r="OPM23" s="2950"/>
      <c r="OPN23" s="2950"/>
      <c r="OPO23" s="2950"/>
      <c r="OPP23" s="2950"/>
      <c r="OPQ23" s="2950"/>
      <c r="OPR23" s="2950"/>
      <c r="OPS23" s="2950"/>
      <c r="OPT23" s="2950"/>
      <c r="OPU23" s="2950"/>
      <c r="OPV23" s="2950"/>
      <c r="OPW23" s="2950"/>
      <c r="OPX23" s="2950"/>
      <c r="OPY23" s="2950"/>
      <c r="OPZ23" s="2950"/>
      <c r="OQA23" s="2950"/>
      <c r="OQB23" s="2950"/>
      <c r="OQC23" s="2950"/>
      <c r="OQD23" s="2950"/>
      <c r="OQE23" s="2950"/>
      <c r="OQF23" s="2950"/>
      <c r="OQG23" s="2950"/>
      <c r="OQH23" s="2950"/>
      <c r="OQI23" s="2950"/>
      <c r="OQJ23" s="2950"/>
      <c r="OQK23" s="2950"/>
      <c r="OQL23" s="2950"/>
      <c r="OQM23" s="2950"/>
      <c r="OQN23" s="2950"/>
      <c r="OQO23" s="2950"/>
      <c r="OQP23" s="2950"/>
      <c r="OQQ23" s="2950"/>
      <c r="OQR23" s="2950"/>
      <c r="OQS23" s="2950"/>
      <c r="OQT23" s="2950"/>
      <c r="OQU23" s="2950"/>
      <c r="OQV23" s="2950"/>
      <c r="OQW23" s="2950"/>
      <c r="OQX23" s="2950"/>
      <c r="OQY23" s="2950"/>
      <c r="OQZ23" s="2950"/>
      <c r="ORA23" s="2950"/>
      <c r="ORB23" s="2950"/>
      <c r="ORC23" s="2950"/>
      <c r="ORD23" s="2950"/>
      <c r="ORE23" s="2950"/>
      <c r="ORF23" s="2950"/>
      <c r="ORG23" s="2950"/>
      <c r="ORH23" s="2950"/>
      <c r="ORI23" s="2950"/>
      <c r="ORJ23" s="2950"/>
      <c r="ORK23" s="2950"/>
      <c r="ORL23" s="2950"/>
      <c r="ORM23" s="2950"/>
      <c r="ORN23" s="2950"/>
      <c r="ORO23" s="2950"/>
      <c r="ORP23" s="2950"/>
      <c r="ORQ23" s="2950"/>
      <c r="ORR23" s="2950"/>
      <c r="ORS23" s="2950"/>
      <c r="ORT23" s="2950"/>
      <c r="ORU23" s="2950"/>
      <c r="ORV23" s="2950"/>
      <c r="ORW23" s="2950"/>
      <c r="ORX23" s="2950"/>
      <c r="ORY23" s="2950"/>
      <c r="ORZ23" s="2950"/>
      <c r="OSA23" s="2950"/>
      <c r="OSB23" s="2950"/>
      <c r="OSC23" s="2950"/>
      <c r="OSD23" s="2950"/>
      <c r="OSE23" s="2950"/>
      <c r="OSF23" s="2950"/>
      <c r="OSG23" s="2950"/>
      <c r="OSH23" s="2950"/>
      <c r="OSI23" s="2950"/>
      <c r="OSJ23" s="2950"/>
      <c r="OSK23" s="2950"/>
      <c r="OSL23" s="2950"/>
      <c r="OSM23" s="2950"/>
      <c r="OSN23" s="2950"/>
      <c r="OSO23" s="2950"/>
      <c r="OSP23" s="2950"/>
      <c r="OSQ23" s="2950"/>
      <c r="OSR23" s="2950"/>
      <c r="OSS23" s="2950"/>
      <c r="OST23" s="2950"/>
      <c r="OSU23" s="2950"/>
      <c r="OSV23" s="2950"/>
      <c r="OSW23" s="2950"/>
      <c r="OSX23" s="2950"/>
      <c r="OSY23" s="2950"/>
      <c r="OSZ23" s="2950"/>
      <c r="OTA23" s="2950"/>
      <c r="OTB23" s="2950"/>
      <c r="OTC23" s="2950"/>
      <c r="OTD23" s="2950"/>
      <c r="OTE23" s="2950"/>
      <c r="OTF23" s="2950"/>
      <c r="OTG23" s="2950"/>
      <c r="OTH23" s="2950"/>
      <c r="OTI23" s="2950"/>
      <c r="OTJ23" s="2950"/>
      <c r="OTK23" s="2950"/>
      <c r="OTL23" s="2950"/>
      <c r="OTM23" s="2950"/>
      <c r="OTN23" s="2950"/>
      <c r="OTO23" s="2950"/>
      <c r="OTP23" s="2950"/>
      <c r="OTQ23" s="2950"/>
      <c r="OTR23" s="2950"/>
      <c r="OTS23" s="2950"/>
      <c r="OTT23" s="2950"/>
      <c r="OTU23" s="2950"/>
      <c r="OTV23" s="2950"/>
      <c r="OTW23" s="2950"/>
      <c r="OTX23" s="2950"/>
      <c r="OTY23" s="2950"/>
      <c r="OTZ23" s="2950"/>
      <c r="OUA23" s="2950"/>
      <c r="OUB23" s="2950"/>
      <c r="OUC23" s="2950"/>
      <c r="OUD23" s="2950"/>
      <c r="OUE23" s="2950"/>
      <c r="OUF23" s="2950"/>
      <c r="OUG23" s="2950"/>
      <c r="OUH23" s="2950"/>
      <c r="OUI23" s="2950"/>
      <c r="OUJ23" s="2950"/>
      <c r="OUK23" s="2950"/>
      <c r="OUL23" s="2950"/>
      <c r="OUM23" s="2950"/>
      <c r="OUN23" s="2950"/>
      <c r="OUO23" s="2950"/>
      <c r="OUP23" s="2950"/>
      <c r="OUQ23" s="2950"/>
      <c r="OUR23" s="2950"/>
      <c r="OUS23" s="2950"/>
      <c r="OUT23" s="2950"/>
      <c r="OUU23" s="2950"/>
      <c r="OUV23" s="2950"/>
      <c r="OUW23" s="2950"/>
      <c r="OUX23" s="2950"/>
      <c r="OUY23" s="2950"/>
      <c r="OUZ23" s="2950"/>
      <c r="OVA23" s="2950"/>
      <c r="OVB23" s="2950"/>
      <c r="OVC23" s="2950"/>
      <c r="OVD23" s="2950"/>
      <c r="OVE23" s="2950"/>
      <c r="OVF23" s="2950"/>
      <c r="OVG23" s="2950"/>
      <c r="OVH23" s="2950"/>
      <c r="OVI23" s="2950"/>
      <c r="OVJ23" s="2950"/>
      <c r="OVK23" s="2950"/>
      <c r="OVL23" s="2950"/>
      <c r="OVM23" s="2950"/>
      <c r="OVN23" s="2950"/>
      <c r="OVO23" s="2950"/>
      <c r="OVP23" s="2950"/>
      <c r="OVQ23" s="2950"/>
      <c r="OVR23" s="2950"/>
      <c r="OVS23" s="2950"/>
      <c r="OVT23" s="2950"/>
      <c r="OVU23" s="2950"/>
      <c r="OVV23" s="2950"/>
      <c r="OVW23" s="2950"/>
      <c r="OVX23" s="2950"/>
      <c r="OVY23" s="2950"/>
      <c r="OVZ23" s="2950"/>
      <c r="OWA23" s="2950"/>
      <c r="OWB23" s="2950"/>
      <c r="OWC23" s="2950"/>
      <c r="OWD23" s="2950"/>
      <c r="OWE23" s="2950"/>
      <c r="OWF23" s="2950"/>
      <c r="OWG23" s="2950"/>
      <c r="OWH23" s="2950"/>
      <c r="OWI23" s="2950"/>
      <c r="OWJ23" s="2950"/>
      <c r="OWK23" s="2950"/>
      <c r="OWL23" s="2950"/>
      <c r="OWM23" s="2950"/>
      <c r="OWN23" s="2950"/>
      <c r="OWO23" s="2950"/>
      <c r="OWP23" s="2950"/>
      <c r="OWQ23" s="2950"/>
      <c r="OWR23" s="2950"/>
      <c r="OWS23" s="2950"/>
      <c r="OWT23" s="2950"/>
      <c r="OWU23" s="2950"/>
      <c r="OWV23" s="2950"/>
      <c r="OWW23" s="2950"/>
      <c r="OWX23" s="2950"/>
      <c r="OWY23" s="2950"/>
      <c r="OWZ23" s="2950"/>
      <c r="OXA23" s="2950"/>
      <c r="OXB23" s="2950"/>
      <c r="OXC23" s="2950"/>
      <c r="OXD23" s="2950"/>
      <c r="OXE23" s="2950"/>
      <c r="OXF23" s="2950"/>
      <c r="OXG23" s="2950"/>
      <c r="OXH23" s="2950"/>
      <c r="OXI23" s="2950"/>
      <c r="OXJ23" s="2950"/>
      <c r="OXK23" s="2950"/>
      <c r="OXL23" s="2950"/>
      <c r="OXM23" s="2950"/>
      <c r="OXN23" s="2950"/>
      <c r="OXO23" s="2950"/>
      <c r="OXP23" s="2950"/>
      <c r="OXQ23" s="2950"/>
      <c r="OXR23" s="2950"/>
      <c r="OXS23" s="2950"/>
      <c r="OXT23" s="2950"/>
      <c r="OXU23" s="2950"/>
      <c r="OXV23" s="2950"/>
      <c r="OXW23" s="2950"/>
      <c r="OXX23" s="2950"/>
      <c r="OXY23" s="2950"/>
      <c r="OXZ23" s="2950"/>
      <c r="OYA23" s="2950"/>
      <c r="OYB23" s="2950"/>
      <c r="OYC23" s="2950"/>
      <c r="OYD23" s="2950"/>
      <c r="OYE23" s="2950"/>
      <c r="OYF23" s="2950"/>
      <c r="OYG23" s="2950"/>
      <c r="OYH23" s="2950"/>
      <c r="OYI23" s="2950"/>
      <c r="OYJ23" s="2950"/>
      <c r="OYK23" s="2950"/>
      <c r="OYL23" s="2950"/>
      <c r="OYM23" s="2950"/>
      <c r="OYN23" s="2950"/>
      <c r="OYO23" s="2950"/>
      <c r="OYP23" s="2950"/>
      <c r="OYQ23" s="2950"/>
      <c r="OYR23" s="2950"/>
      <c r="OYS23" s="2950"/>
      <c r="OYT23" s="2950"/>
      <c r="OYU23" s="2950"/>
      <c r="OYV23" s="2950"/>
      <c r="OYW23" s="2950"/>
      <c r="OYX23" s="2950"/>
      <c r="OYY23" s="2950"/>
      <c r="OYZ23" s="2950"/>
      <c r="OZA23" s="2950"/>
      <c r="OZB23" s="2950"/>
      <c r="OZC23" s="2950"/>
      <c r="OZD23" s="2950"/>
      <c r="OZE23" s="2950"/>
      <c r="OZF23" s="2950"/>
      <c r="OZG23" s="2950"/>
      <c r="OZH23" s="2950"/>
      <c r="OZI23" s="2950"/>
      <c r="OZJ23" s="2950"/>
      <c r="OZK23" s="2950"/>
      <c r="OZL23" s="2950"/>
      <c r="OZM23" s="2950"/>
      <c r="OZN23" s="2950"/>
      <c r="OZO23" s="2950"/>
      <c r="OZP23" s="2950"/>
      <c r="OZQ23" s="2950"/>
      <c r="OZR23" s="2950"/>
      <c r="OZS23" s="2950"/>
      <c r="OZT23" s="2950"/>
      <c r="OZU23" s="2950"/>
      <c r="OZV23" s="2950"/>
      <c r="OZW23" s="2950"/>
      <c r="OZX23" s="2950"/>
      <c r="OZY23" s="2950"/>
      <c r="OZZ23" s="2950"/>
      <c r="PAA23" s="2950"/>
      <c r="PAB23" s="2950"/>
      <c r="PAC23" s="2950"/>
      <c r="PAD23" s="2950"/>
      <c r="PAE23" s="2950"/>
      <c r="PAF23" s="2950"/>
      <c r="PAG23" s="2950"/>
      <c r="PAH23" s="2950"/>
      <c r="PAI23" s="2950"/>
      <c r="PAJ23" s="2950"/>
      <c r="PAK23" s="2950"/>
      <c r="PAL23" s="2950"/>
      <c r="PAM23" s="2950"/>
      <c r="PAN23" s="2950"/>
      <c r="PAO23" s="2950"/>
      <c r="PAP23" s="2950"/>
      <c r="PAQ23" s="2950"/>
      <c r="PAR23" s="2950"/>
      <c r="PAS23" s="2950"/>
      <c r="PAT23" s="2950"/>
      <c r="PAU23" s="2950"/>
      <c r="PAV23" s="2950"/>
      <c r="PAW23" s="2950"/>
      <c r="PAX23" s="2950"/>
      <c r="PAY23" s="2950"/>
      <c r="PAZ23" s="2950"/>
      <c r="PBA23" s="2950"/>
      <c r="PBB23" s="2950"/>
      <c r="PBC23" s="2950"/>
      <c r="PBD23" s="2950"/>
      <c r="PBE23" s="2950"/>
      <c r="PBF23" s="2950"/>
      <c r="PBG23" s="2950"/>
      <c r="PBH23" s="2950"/>
      <c r="PBI23" s="2950"/>
      <c r="PBJ23" s="2950"/>
      <c r="PBK23" s="2950"/>
      <c r="PBL23" s="2950"/>
      <c r="PBM23" s="2950"/>
      <c r="PBN23" s="2950"/>
      <c r="PBO23" s="2950"/>
      <c r="PBP23" s="2950"/>
      <c r="PBQ23" s="2950"/>
      <c r="PBR23" s="2950"/>
      <c r="PBS23" s="2950"/>
      <c r="PBT23" s="2950"/>
      <c r="PBU23" s="2950"/>
      <c r="PBV23" s="2950"/>
      <c r="PBW23" s="2950"/>
      <c r="PBX23" s="2950"/>
      <c r="PBY23" s="2950"/>
      <c r="PBZ23" s="2950"/>
      <c r="PCA23" s="2950"/>
      <c r="PCB23" s="2950"/>
      <c r="PCC23" s="2950"/>
      <c r="PCD23" s="2950"/>
      <c r="PCE23" s="2950"/>
      <c r="PCF23" s="2950"/>
      <c r="PCG23" s="2950"/>
      <c r="PCH23" s="2950"/>
      <c r="PCI23" s="2950"/>
      <c r="PCJ23" s="2950"/>
      <c r="PCK23" s="2950"/>
      <c r="PCL23" s="2950"/>
      <c r="PCM23" s="2950"/>
      <c r="PCN23" s="2950"/>
      <c r="PCO23" s="2950"/>
      <c r="PCP23" s="2950"/>
      <c r="PCQ23" s="2950"/>
      <c r="PCR23" s="2950"/>
      <c r="PCS23" s="2950"/>
      <c r="PCT23" s="2950"/>
      <c r="PCU23" s="2950"/>
      <c r="PCV23" s="2950"/>
      <c r="PCW23" s="2950"/>
      <c r="PCX23" s="2950"/>
      <c r="PCY23" s="2950"/>
      <c r="PCZ23" s="2950"/>
      <c r="PDA23" s="2950"/>
      <c r="PDB23" s="2950"/>
      <c r="PDC23" s="2950"/>
      <c r="PDD23" s="2950"/>
      <c r="PDE23" s="2950"/>
      <c r="PDF23" s="2950"/>
      <c r="PDG23" s="2950"/>
      <c r="PDH23" s="2950"/>
      <c r="PDI23" s="2950"/>
      <c r="PDJ23" s="2950"/>
      <c r="PDK23" s="2950"/>
      <c r="PDL23" s="2950"/>
      <c r="PDM23" s="2950"/>
      <c r="PDN23" s="2950"/>
      <c r="PDO23" s="2950"/>
      <c r="PDP23" s="2950"/>
      <c r="PDQ23" s="2950"/>
      <c r="PDR23" s="2950"/>
      <c r="PDS23" s="2950"/>
      <c r="PDT23" s="2950"/>
      <c r="PDU23" s="2950"/>
      <c r="PDV23" s="2950"/>
      <c r="PDW23" s="2950"/>
      <c r="PDX23" s="2950"/>
      <c r="PDY23" s="2950"/>
      <c r="PDZ23" s="2950"/>
      <c r="PEA23" s="2950"/>
      <c r="PEB23" s="2950"/>
      <c r="PEC23" s="2950"/>
      <c r="PED23" s="2950"/>
      <c r="PEE23" s="2950"/>
      <c r="PEF23" s="2950"/>
      <c r="PEG23" s="2950"/>
      <c r="PEH23" s="2950"/>
      <c r="PEI23" s="2950"/>
      <c r="PEJ23" s="2950"/>
      <c r="PEK23" s="2950"/>
      <c r="PEL23" s="2950"/>
      <c r="PEM23" s="2950"/>
      <c r="PEN23" s="2950"/>
      <c r="PEO23" s="2950"/>
      <c r="PEP23" s="2950"/>
      <c r="PEQ23" s="2950"/>
      <c r="PER23" s="2950"/>
      <c r="PES23" s="2950"/>
      <c r="PET23" s="2950"/>
      <c r="PEU23" s="2950"/>
      <c r="PEV23" s="2950"/>
      <c r="PEW23" s="2950"/>
      <c r="PEX23" s="2950"/>
      <c r="PEY23" s="2950"/>
      <c r="PEZ23" s="2950"/>
      <c r="PFA23" s="2950"/>
      <c r="PFB23" s="2950"/>
      <c r="PFC23" s="2950"/>
      <c r="PFD23" s="2950"/>
      <c r="PFE23" s="2950"/>
      <c r="PFF23" s="2950"/>
      <c r="PFG23" s="2950"/>
      <c r="PFH23" s="2950"/>
      <c r="PFI23" s="2950"/>
      <c r="PFJ23" s="2950"/>
      <c r="PFK23" s="2950"/>
      <c r="PFL23" s="2950"/>
      <c r="PFM23" s="2950"/>
      <c r="PFN23" s="2950"/>
      <c r="PFO23" s="2950"/>
      <c r="PFP23" s="2950"/>
      <c r="PFQ23" s="2950"/>
      <c r="PFR23" s="2950"/>
      <c r="PFS23" s="2950"/>
      <c r="PFT23" s="2950"/>
      <c r="PFU23" s="2950"/>
      <c r="PFV23" s="2950"/>
      <c r="PFW23" s="2950"/>
      <c r="PFX23" s="2950"/>
      <c r="PFY23" s="2950"/>
      <c r="PFZ23" s="2950"/>
      <c r="PGA23" s="2950"/>
      <c r="PGB23" s="2950"/>
      <c r="PGC23" s="2950"/>
      <c r="PGD23" s="2950"/>
      <c r="PGE23" s="2950"/>
      <c r="PGF23" s="2950"/>
      <c r="PGG23" s="2950"/>
      <c r="PGH23" s="2950"/>
      <c r="PGI23" s="2950"/>
      <c r="PGJ23" s="2950"/>
      <c r="PGK23" s="2950"/>
      <c r="PGL23" s="2950"/>
      <c r="PGM23" s="2950"/>
      <c r="PGN23" s="2950"/>
      <c r="PGO23" s="2950"/>
      <c r="PGP23" s="2950"/>
      <c r="PGQ23" s="2950"/>
      <c r="PGR23" s="2950"/>
      <c r="PGS23" s="2950"/>
      <c r="PGT23" s="2950"/>
      <c r="PGU23" s="2950"/>
      <c r="PGV23" s="2950"/>
      <c r="PGW23" s="2950"/>
      <c r="PGX23" s="2950"/>
      <c r="PGY23" s="2950"/>
      <c r="PGZ23" s="2950"/>
      <c r="PHA23" s="2950"/>
      <c r="PHB23" s="2950"/>
      <c r="PHC23" s="2950"/>
      <c r="PHD23" s="2950"/>
      <c r="PHE23" s="2950"/>
      <c r="PHF23" s="2950"/>
      <c r="PHG23" s="2950"/>
      <c r="PHH23" s="2950"/>
      <c r="PHI23" s="2950"/>
      <c r="PHJ23" s="2950"/>
      <c r="PHK23" s="2950"/>
      <c r="PHL23" s="2950"/>
      <c r="PHM23" s="2950"/>
      <c r="PHN23" s="2950"/>
      <c r="PHO23" s="2950"/>
      <c r="PHP23" s="2950"/>
      <c r="PHQ23" s="2950"/>
      <c r="PHR23" s="2950"/>
      <c r="PHS23" s="2950"/>
      <c r="PHT23" s="2950"/>
      <c r="PHU23" s="2950"/>
      <c r="PHV23" s="2950"/>
      <c r="PHW23" s="2950"/>
      <c r="PHX23" s="2950"/>
      <c r="PHY23" s="2950"/>
      <c r="PHZ23" s="2950"/>
      <c r="PIA23" s="2950"/>
      <c r="PIB23" s="2950"/>
      <c r="PIC23" s="2950"/>
      <c r="PID23" s="2950"/>
      <c r="PIE23" s="2950"/>
      <c r="PIF23" s="2950"/>
      <c r="PIG23" s="2950"/>
      <c r="PIH23" s="2950"/>
      <c r="PII23" s="2950"/>
      <c r="PIJ23" s="2950"/>
      <c r="PIK23" s="2950"/>
      <c r="PIL23" s="2950"/>
      <c r="PIM23" s="2950"/>
      <c r="PIN23" s="2950"/>
      <c r="PIO23" s="2950"/>
      <c r="PIP23" s="2950"/>
      <c r="PIQ23" s="2950"/>
      <c r="PIR23" s="2950"/>
      <c r="PIS23" s="2950"/>
      <c r="PIT23" s="2950"/>
      <c r="PIU23" s="2950"/>
      <c r="PIV23" s="2950"/>
      <c r="PIW23" s="2950"/>
      <c r="PIX23" s="2950"/>
      <c r="PIY23" s="2950"/>
      <c r="PIZ23" s="2950"/>
      <c r="PJA23" s="2950"/>
      <c r="PJB23" s="2950"/>
      <c r="PJC23" s="2950"/>
      <c r="PJD23" s="2950"/>
      <c r="PJE23" s="2950"/>
      <c r="PJF23" s="2950"/>
      <c r="PJG23" s="2950"/>
      <c r="PJH23" s="2950"/>
      <c r="PJI23" s="2950"/>
      <c r="PJJ23" s="2950"/>
      <c r="PJK23" s="2950"/>
      <c r="PJL23" s="2950"/>
      <c r="PJM23" s="2950"/>
      <c r="PJN23" s="2950"/>
      <c r="PJO23" s="2950"/>
      <c r="PJP23" s="2950"/>
      <c r="PJQ23" s="2950"/>
      <c r="PJR23" s="2950"/>
      <c r="PJS23" s="2950"/>
      <c r="PJT23" s="2950"/>
      <c r="PJU23" s="2950"/>
      <c r="PJV23" s="2950"/>
      <c r="PJW23" s="2950"/>
      <c r="PJX23" s="2950"/>
      <c r="PJY23" s="2950"/>
      <c r="PJZ23" s="2950"/>
      <c r="PKA23" s="2950"/>
      <c r="PKB23" s="2950"/>
      <c r="PKC23" s="2950"/>
      <c r="PKD23" s="2950"/>
      <c r="PKE23" s="2950"/>
      <c r="PKF23" s="2950"/>
      <c r="PKG23" s="2950"/>
      <c r="PKH23" s="2950"/>
      <c r="PKI23" s="2950"/>
      <c r="PKJ23" s="2950"/>
      <c r="PKK23" s="2950"/>
      <c r="PKL23" s="2950"/>
      <c r="PKM23" s="2950"/>
      <c r="PKN23" s="2950"/>
      <c r="PKO23" s="2950"/>
      <c r="PKP23" s="2950"/>
      <c r="PKQ23" s="2950"/>
      <c r="PKR23" s="2950"/>
      <c r="PKS23" s="2950"/>
      <c r="PKT23" s="2950"/>
      <c r="PKU23" s="2950"/>
      <c r="PKV23" s="2950"/>
      <c r="PKW23" s="2950"/>
      <c r="PKX23" s="2950"/>
      <c r="PKY23" s="2950"/>
      <c r="PKZ23" s="2950"/>
      <c r="PLA23" s="2950"/>
      <c r="PLB23" s="2950"/>
      <c r="PLC23" s="2950"/>
      <c r="PLD23" s="2950"/>
      <c r="PLE23" s="2950"/>
      <c r="PLF23" s="2950"/>
      <c r="PLG23" s="2950"/>
      <c r="PLH23" s="2950"/>
      <c r="PLI23" s="2950"/>
      <c r="PLJ23" s="2950"/>
      <c r="PLK23" s="2950"/>
      <c r="PLL23" s="2950"/>
      <c r="PLM23" s="2950"/>
      <c r="PLN23" s="2950"/>
      <c r="PLO23" s="2950"/>
      <c r="PLP23" s="2950"/>
      <c r="PLQ23" s="2950"/>
      <c r="PLR23" s="2950"/>
      <c r="PLS23" s="2950"/>
      <c r="PLT23" s="2950"/>
      <c r="PLU23" s="2950"/>
      <c r="PLV23" s="2950"/>
      <c r="PLW23" s="2950"/>
      <c r="PLX23" s="2950"/>
      <c r="PLY23" s="2950"/>
      <c r="PLZ23" s="2950"/>
      <c r="PMA23" s="2950"/>
      <c r="PMB23" s="2950"/>
      <c r="PMC23" s="2950"/>
      <c r="PMD23" s="2950"/>
      <c r="PME23" s="2950"/>
      <c r="PMF23" s="2950"/>
      <c r="PMG23" s="2950"/>
      <c r="PMH23" s="2950"/>
      <c r="PMI23" s="2950"/>
      <c r="PMJ23" s="2950"/>
      <c r="PMK23" s="2950"/>
      <c r="PML23" s="2950"/>
      <c r="PMM23" s="2950"/>
      <c r="PMN23" s="2950"/>
      <c r="PMO23" s="2950"/>
      <c r="PMP23" s="2950"/>
      <c r="PMQ23" s="2950"/>
      <c r="PMR23" s="2950"/>
      <c r="PMS23" s="2950"/>
      <c r="PMT23" s="2950"/>
      <c r="PMU23" s="2950"/>
      <c r="PMV23" s="2950"/>
      <c r="PMW23" s="2950"/>
      <c r="PMX23" s="2950"/>
      <c r="PMY23" s="2950"/>
      <c r="PMZ23" s="2950"/>
      <c r="PNA23" s="2950"/>
      <c r="PNB23" s="2950"/>
      <c r="PNC23" s="2950"/>
      <c r="PND23" s="2950"/>
      <c r="PNE23" s="2950"/>
      <c r="PNF23" s="2950"/>
      <c r="PNG23" s="2950"/>
      <c r="PNH23" s="2950"/>
      <c r="PNI23" s="2950"/>
      <c r="PNJ23" s="2950"/>
      <c r="PNK23" s="2950"/>
      <c r="PNL23" s="2950"/>
      <c r="PNM23" s="2950"/>
      <c r="PNN23" s="2950"/>
      <c r="PNO23" s="2950"/>
      <c r="PNP23" s="2950"/>
      <c r="PNQ23" s="2950"/>
      <c r="PNR23" s="2950"/>
      <c r="PNS23" s="2950"/>
      <c r="PNT23" s="2950"/>
      <c r="PNU23" s="2950"/>
      <c r="PNV23" s="2950"/>
      <c r="PNW23" s="2950"/>
      <c r="PNX23" s="2950"/>
      <c r="PNY23" s="2950"/>
      <c r="PNZ23" s="2950"/>
      <c r="POA23" s="2950"/>
      <c r="POB23" s="2950"/>
      <c r="POC23" s="2950"/>
      <c r="POD23" s="2950"/>
      <c r="POE23" s="2950"/>
      <c r="POF23" s="2950"/>
      <c r="POG23" s="2950"/>
      <c r="POH23" s="2950"/>
      <c r="POI23" s="2950"/>
      <c r="POJ23" s="2950"/>
      <c r="POK23" s="2950"/>
      <c r="POL23" s="2950"/>
      <c r="POM23" s="2950"/>
      <c r="PON23" s="2950"/>
      <c r="POO23" s="2950"/>
      <c r="POP23" s="2950"/>
      <c r="POQ23" s="2950"/>
      <c r="POR23" s="2950"/>
      <c r="POS23" s="2950"/>
      <c r="POT23" s="2950"/>
      <c r="POU23" s="2950"/>
      <c r="POV23" s="2950"/>
      <c r="POW23" s="2950"/>
      <c r="POX23" s="2950"/>
      <c r="POY23" s="2950"/>
      <c r="POZ23" s="2950"/>
      <c r="PPA23" s="2950"/>
      <c r="PPB23" s="2950"/>
      <c r="PPC23" s="2950"/>
      <c r="PPD23" s="2950"/>
      <c r="PPE23" s="2950"/>
      <c r="PPF23" s="2950"/>
      <c r="PPG23" s="2950"/>
      <c r="PPH23" s="2950"/>
      <c r="PPI23" s="2950"/>
      <c r="PPJ23" s="2950"/>
      <c r="PPK23" s="2950"/>
      <c r="PPL23" s="2950"/>
      <c r="PPM23" s="2950"/>
      <c r="PPN23" s="2950"/>
      <c r="PPO23" s="2950"/>
      <c r="PPP23" s="2950"/>
      <c r="PPQ23" s="2950"/>
      <c r="PPR23" s="2950"/>
      <c r="PPS23" s="2950"/>
      <c r="PPT23" s="2950"/>
      <c r="PPU23" s="2950"/>
      <c r="PPV23" s="2950"/>
      <c r="PPW23" s="2950"/>
      <c r="PPX23" s="2950"/>
      <c r="PPY23" s="2950"/>
      <c r="PPZ23" s="2950"/>
      <c r="PQA23" s="2950"/>
      <c r="PQB23" s="2950"/>
      <c r="PQC23" s="2950"/>
      <c r="PQD23" s="2950"/>
      <c r="PQE23" s="2950"/>
      <c r="PQF23" s="2950"/>
      <c r="PQG23" s="2950"/>
      <c r="PQH23" s="2950"/>
      <c r="PQI23" s="2950"/>
      <c r="PQJ23" s="2950"/>
      <c r="PQK23" s="2950"/>
      <c r="PQL23" s="2950"/>
      <c r="PQM23" s="2950"/>
      <c r="PQN23" s="2950"/>
      <c r="PQO23" s="2950"/>
      <c r="PQP23" s="2950"/>
      <c r="PQQ23" s="2950"/>
      <c r="PQR23" s="2950"/>
      <c r="PQS23" s="2950"/>
      <c r="PQT23" s="2950"/>
      <c r="PQU23" s="2950"/>
      <c r="PQV23" s="2950"/>
      <c r="PQW23" s="2950"/>
      <c r="PQX23" s="2950"/>
      <c r="PQY23" s="2950"/>
      <c r="PQZ23" s="2950"/>
      <c r="PRA23" s="2950"/>
      <c r="PRB23" s="2950"/>
      <c r="PRC23" s="2950"/>
      <c r="PRD23" s="2950"/>
      <c r="PRE23" s="2950"/>
      <c r="PRF23" s="2950"/>
      <c r="PRG23" s="2950"/>
      <c r="PRH23" s="2950"/>
      <c r="PRI23" s="2950"/>
      <c r="PRJ23" s="2950"/>
      <c r="PRK23" s="2950"/>
      <c r="PRL23" s="2950"/>
      <c r="PRM23" s="2950"/>
      <c r="PRN23" s="2950"/>
      <c r="PRO23" s="2950"/>
      <c r="PRP23" s="2950"/>
      <c r="PRQ23" s="2950"/>
      <c r="PRR23" s="2950"/>
      <c r="PRS23" s="2950"/>
      <c r="PRT23" s="2950"/>
      <c r="PRU23" s="2950"/>
      <c r="PRV23" s="2950"/>
      <c r="PRW23" s="2950"/>
      <c r="PRX23" s="2950"/>
      <c r="PRY23" s="2950"/>
      <c r="PRZ23" s="2950"/>
      <c r="PSA23" s="2950"/>
      <c r="PSB23" s="2950"/>
      <c r="PSC23" s="2950"/>
      <c r="PSD23" s="2950"/>
      <c r="PSE23" s="2950"/>
      <c r="PSF23" s="2950"/>
      <c r="PSG23" s="2950"/>
      <c r="PSH23" s="2950"/>
      <c r="PSI23" s="2950"/>
      <c r="PSJ23" s="2950"/>
      <c r="PSK23" s="2950"/>
      <c r="PSL23" s="2950"/>
      <c r="PSM23" s="2950"/>
      <c r="PSN23" s="2950"/>
      <c r="PSO23" s="2950"/>
      <c r="PSP23" s="2950"/>
      <c r="PSQ23" s="2950"/>
      <c r="PSR23" s="2950"/>
      <c r="PSS23" s="2950"/>
      <c r="PST23" s="2950"/>
      <c r="PSU23" s="2950"/>
      <c r="PSV23" s="2950"/>
      <c r="PSW23" s="2950"/>
      <c r="PSX23" s="2950"/>
      <c r="PSY23" s="2950"/>
      <c r="PSZ23" s="2950"/>
      <c r="PTA23" s="2950"/>
      <c r="PTB23" s="2950"/>
      <c r="PTC23" s="2950"/>
      <c r="PTD23" s="2950"/>
      <c r="PTE23" s="2950"/>
      <c r="PTF23" s="2950"/>
      <c r="PTG23" s="2950"/>
      <c r="PTH23" s="2950"/>
      <c r="PTI23" s="2950"/>
      <c r="PTJ23" s="2950"/>
      <c r="PTK23" s="2950"/>
      <c r="PTL23" s="2950"/>
      <c r="PTM23" s="2950"/>
      <c r="PTN23" s="2950"/>
      <c r="PTO23" s="2950"/>
      <c r="PTP23" s="2950"/>
      <c r="PTQ23" s="2950"/>
      <c r="PTR23" s="2950"/>
      <c r="PTS23" s="2950"/>
      <c r="PTT23" s="2950"/>
      <c r="PTU23" s="2950"/>
      <c r="PTV23" s="2950"/>
      <c r="PTW23" s="2950"/>
      <c r="PTX23" s="2950"/>
      <c r="PTY23" s="2950"/>
      <c r="PTZ23" s="2950"/>
      <c r="PUA23" s="2950"/>
      <c r="PUB23" s="2950"/>
      <c r="PUC23" s="2950"/>
      <c r="PUD23" s="2950"/>
      <c r="PUE23" s="2950"/>
      <c r="PUF23" s="2950"/>
      <c r="PUG23" s="2950"/>
      <c r="PUH23" s="2950"/>
      <c r="PUI23" s="2950"/>
      <c r="PUJ23" s="2950"/>
      <c r="PUK23" s="2950"/>
      <c r="PUL23" s="2950"/>
      <c r="PUM23" s="2950"/>
      <c r="PUN23" s="2950"/>
      <c r="PUO23" s="2950"/>
      <c r="PUP23" s="2950"/>
      <c r="PUQ23" s="2950"/>
      <c r="PUR23" s="2950"/>
      <c r="PUS23" s="2950"/>
      <c r="PUT23" s="2950"/>
      <c r="PUU23" s="2950"/>
      <c r="PUV23" s="2950"/>
      <c r="PUW23" s="2950"/>
      <c r="PUX23" s="2950"/>
      <c r="PUY23" s="2950"/>
      <c r="PUZ23" s="2950"/>
      <c r="PVA23" s="2950"/>
      <c r="PVB23" s="2950"/>
      <c r="PVC23" s="2950"/>
      <c r="PVD23" s="2950"/>
      <c r="PVE23" s="2950"/>
      <c r="PVF23" s="2950"/>
      <c r="PVG23" s="2950"/>
      <c r="PVH23" s="2950"/>
      <c r="PVI23" s="2950"/>
      <c r="PVJ23" s="2950"/>
      <c r="PVK23" s="2950"/>
      <c r="PVL23" s="2950"/>
      <c r="PVM23" s="2950"/>
      <c r="PVN23" s="2950"/>
      <c r="PVO23" s="2950"/>
      <c r="PVP23" s="2950"/>
      <c r="PVQ23" s="2950"/>
      <c r="PVR23" s="2950"/>
      <c r="PVS23" s="2950"/>
      <c r="PVT23" s="2950"/>
      <c r="PVU23" s="2950"/>
      <c r="PVV23" s="2950"/>
      <c r="PVW23" s="2950"/>
      <c r="PVX23" s="2950"/>
      <c r="PVY23" s="2950"/>
      <c r="PVZ23" s="2950"/>
      <c r="PWA23" s="2950"/>
      <c r="PWB23" s="2950"/>
      <c r="PWC23" s="2950"/>
      <c r="PWD23" s="2950"/>
      <c r="PWE23" s="2950"/>
      <c r="PWF23" s="2950"/>
      <c r="PWG23" s="2950"/>
      <c r="PWH23" s="2950"/>
      <c r="PWI23" s="2950"/>
      <c r="PWJ23" s="2950"/>
      <c r="PWK23" s="2950"/>
      <c r="PWL23" s="2950"/>
      <c r="PWM23" s="2950"/>
      <c r="PWN23" s="2950"/>
      <c r="PWO23" s="2950"/>
      <c r="PWP23" s="2950"/>
      <c r="PWQ23" s="2950"/>
      <c r="PWR23" s="2950"/>
      <c r="PWS23" s="2950"/>
      <c r="PWT23" s="2950"/>
      <c r="PWU23" s="2950"/>
      <c r="PWV23" s="2950"/>
      <c r="PWW23" s="2950"/>
      <c r="PWX23" s="2950"/>
      <c r="PWY23" s="2950"/>
      <c r="PWZ23" s="2950"/>
      <c r="PXA23" s="2950"/>
      <c r="PXB23" s="2950"/>
      <c r="PXC23" s="2950"/>
      <c r="PXD23" s="2950"/>
      <c r="PXE23" s="2950"/>
      <c r="PXF23" s="2950"/>
      <c r="PXG23" s="2950"/>
      <c r="PXH23" s="2950"/>
      <c r="PXI23" s="2950"/>
      <c r="PXJ23" s="2950"/>
      <c r="PXK23" s="2950"/>
      <c r="PXL23" s="2950"/>
      <c r="PXM23" s="2950"/>
      <c r="PXN23" s="2950"/>
      <c r="PXO23" s="2950"/>
      <c r="PXP23" s="2950"/>
      <c r="PXQ23" s="2950"/>
      <c r="PXR23" s="2950"/>
      <c r="PXS23" s="2950"/>
      <c r="PXT23" s="2950"/>
      <c r="PXU23" s="2950"/>
      <c r="PXV23" s="2950"/>
      <c r="PXW23" s="2950"/>
      <c r="PXX23" s="2950"/>
      <c r="PXY23" s="2950"/>
      <c r="PXZ23" s="2950"/>
      <c r="PYA23" s="2950"/>
      <c r="PYB23" s="2950"/>
      <c r="PYC23" s="2950"/>
      <c r="PYD23" s="2950"/>
      <c r="PYE23" s="2950"/>
      <c r="PYF23" s="2950"/>
      <c r="PYG23" s="2950"/>
      <c r="PYH23" s="2950"/>
      <c r="PYI23" s="2950"/>
      <c r="PYJ23" s="2950"/>
      <c r="PYK23" s="2950"/>
      <c r="PYL23" s="2950"/>
      <c r="PYM23" s="2950"/>
      <c r="PYN23" s="2950"/>
      <c r="PYO23" s="2950"/>
      <c r="PYP23" s="2950"/>
      <c r="PYQ23" s="2950"/>
      <c r="PYR23" s="2950"/>
      <c r="PYS23" s="2950"/>
      <c r="PYT23" s="2950"/>
      <c r="PYU23" s="2950"/>
      <c r="PYV23" s="2950"/>
      <c r="PYW23" s="2950"/>
      <c r="PYX23" s="2950"/>
      <c r="PYY23" s="2950"/>
      <c r="PYZ23" s="2950"/>
      <c r="PZA23" s="2950"/>
      <c r="PZB23" s="2950"/>
      <c r="PZC23" s="2950"/>
      <c r="PZD23" s="2950"/>
      <c r="PZE23" s="2950"/>
      <c r="PZF23" s="2950"/>
      <c r="PZG23" s="2950"/>
      <c r="PZH23" s="2950"/>
      <c r="PZI23" s="2950"/>
      <c r="PZJ23" s="2950"/>
      <c r="PZK23" s="2950"/>
      <c r="PZL23" s="2950"/>
      <c r="PZM23" s="2950"/>
      <c r="PZN23" s="2950"/>
      <c r="PZO23" s="2950"/>
      <c r="PZP23" s="2950"/>
      <c r="PZQ23" s="2950"/>
      <c r="PZR23" s="2950"/>
      <c r="PZS23" s="2950"/>
      <c r="PZT23" s="2950"/>
      <c r="PZU23" s="2950"/>
      <c r="PZV23" s="2950"/>
      <c r="PZW23" s="2950"/>
      <c r="PZX23" s="2950"/>
      <c r="PZY23" s="2950"/>
      <c r="PZZ23" s="2950"/>
      <c r="QAA23" s="2950"/>
      <c r="QAB23" s="2950"/>
      <c r="QAC23" s="2950"/>
      <c r="QAD23" s="2950"/>
      <c r="QAE23" s="2950"/>
      <c r="QAF23" s="2950"/>
      <c r="QAG23" s="2950"/>
      <c r="QAH23" s="2950"/>
      <c r="QAI23" s="2950"/>
      <c r="QAJ23" s="2950"/>
      <c r="QAK23" s="2950"/>
      <c r="QAL23" s="2950"/>
      <c r="QAM23" s="2950"/>
      <c r="QAN23" s="2950"/>
      <c r="QAO23" s="2950"/>
      <c r="QAP23" s="2950"/>
      <c r="QAQ23" s="2950"/>
      <c r="QAR23" s="2950"/>
      <c r="QAS23" s="2950"/>
      <c r="QAT23" s="2950"/>
      <c r="QAU23" s="2950"/>
      <c r="QAV23" s="2950"/>
      <c r="QAW23" s="2950"/>
      <c r="QAX23" s="2950"/>
      <c r="QAY23" s="2950"/>
      <c r="QAZ23" s="2950"/>
      <c r="QBA23" s="2950"/>
      <c r="QBB23" s="2950"/>
      <c r="QBC23" s="2950"/>
      <c r="QBD23" s="2950"/>
      <c r="QBE23" s="2950"/>
      <c r="QBF23" s="2950"/>
      <c r="QBG23" s="2950"/>
      <c r="QBH23" s="2950"/>
      <c r="QBI23" s="2950"/>
      <c r="QBJ23" s="2950"/>
      <c r="QBK23" s="2950"/>
      <c r="QBL23" s="2950"/>
      <c r="QBM23" s="2950"/>
      <c r="QBN23" s="2950"/>
      <c r="QBO23" s="2950"/>
      <c r="QBP23" s="2950"/>
      <c r="QBQ23" s="2950"/>
      <c r="QBR23" s="2950"/>
      <c r="QBS23" s="2950"/>
      <c r="QBT23" s="2950"/>
      <c r="QBU23" s="2950"/>
      <c r="QBV23" s="2950"/>
      <c r="QBW23" s="2950"/>
      <c r="QBX23" s="2950"/>
      <c r="QBY23" s="2950"/>
      <c r="QBZ23" s="2950"/>
      <c r="QCA23" s="2950"/>
      <c r="QCB23" s="2950"/>
      <c r="QCC23" s="2950"/>
      <c r="QCD23" s="2950"/>
      <c r="QCE23" s="2950"/>
      <c r="QCF23" s="2950"/>
      <c r="QCG23" s="2950"/>
      <c r="QCH23" s="2950"/>
      <c r="QCI23" s="2950"/>
      <c r="QCJ23" s="2950"/>
      <c r="QCK23" s="2950"/>
      <c r="QCL23" s="2950"/>
      <c r="QCM23" s="2950"/>
      <c r="QCN23" s="2950"/>
      <c r="QCO23" s="2950"/>
      <c r="QCP23" s="2950"/>
      <c r="QCQ23" s="2950"/>
      <c r="QCR23" s="2950"/>
      <c r="QCS23" s="2950"/>
      <c r="QCT23" s="2950"/>
      <c r="QCU23" s="2950"/>
      <c r="QCV23" s="2950"/>
      <c r="QCW23" s="2950"/>
      <c r="QCX23" s="2950"/>
      <c r="QCY23" s="2950"/>
      <c r="QCZ23" s="2950"/>
      <c r="QDA23" s="2950"/>
      <c r="QDB23" s="2950"/>
      <c r="QDC23" s="2950"/>
      <c r="QDD23" s="2950"/>
      <c r="QDE23" s="2950"/>
      <c r="QDF23" s="2950"/>
      <c r="QDG23" s="2950"/>
      <c r="QDH23" s="2950"/>
      <c r="QDI23" s="2950"/>
      <c r="QDJ23" s="2950"/>
      <c r="QDK23" s="2950"/>
      <c r="QDL23" s="2950"/>
      <c r="QDM23" s="2950"/>
      <c r="QDN23" s="2950"/>
      <c r="QDO23" s="2950"/>
      <c r="QDP23" s="2950"/>
      <c r="QDQ23" s="2950"/>
      <c r="QDR23" s="2950"/>
      <c r="QDS23" s="2950"/>
      <c r="QDT23" s="2950"/>
      <c r="QDU23" s="2950"/>
      <c r="QDV23" s="2950"/>
      <c r="QDW23" s="2950"/>
      <c r="QDX23" s="2950"/>
      <c r="QDY23" s="2950"/>
      <c r="QDZ23" s="2950"/>
      <c r="QEA23" s="2950"/>
      <c r="QEB23" s="2950"/>
      <c r="QEC23" s="2950"/>
      <c r="QED23" s="2950"/>
      <c r="QEE23" s="2950"/>
      <c r="QEF23" s="2950"/>
      <c r="QEG23" s="2950"/>
      <c r="QEH23" s="2950"/>
      <c r="QEI23" s="2950"/>
      <c r="QEJ23" s="2950"/>
      <c r="QEK23" s="2950"/>
      <c r="QEL23" s="2950"/>
      <c r="QEM23" s="2950"/>
      <c r="QEN23" s="2950"/>
      <c r="QEO23" s="2950"/>
      <c r="QEP23" s="2950"/>
      <c r="QEQ23" s="2950"/>
      <c r="QER23" s="2950"/>
      <c r="QES23" s="2950"/>
      <c r="QET23" s="2950"/>
      <c r="QEU23" s="2950"/>
      <c r="QEV23" s="2950"/>
      <c r="QEW23" s="2950"/>
      <c r="QEX23" s="2950"/>
      <c r="QEY23" s="2950"/>
      <c r="QEZ23" s="2950"/>
      <c r="QFA23" s="2950"/>
      <c r="QFB23" s="2950"/>
      <c r="QFC23" s="2950"/>
      <c r="QFD23" s="2950"/>
      <c r="QFE23" s="2950"/>
      <c r="QFF23" s="2950"/>
      <c r="QFG23" s="2950"/>
      <c r="QFH23" s="2950"/>
      <c r="QFI23" s="2950"/>
      <c r="QFJ23" s="2950"/>
      <c r="QFK23" s="2950"/>
      <c r="QFL23" s="2950"/>
      <c r="QFM23" s="2950"/>
      <c r="QFN23" s="2950"/>
      <c r="QFO23" s="2950"/>
      <c r="QFP23" s="2950"/>
      <c r="QFQ23" s="2950"/>
      <c r="QFR23" s="2950"/>
      <c r="QFS23" s="2950"/>
      <c r="QFT23" s="2950"/>
      <c r="QFU23" s="2950"/>
      <c r="QFV23" s="2950"/>
      <c r="QFW23" s="2950"/>
      <c r="QFX23" s="2950"/>
      <c r="QFY23" s="2950"/>
      <c r="QFZ23" s="2950"/>
      <c r="QGA23" s="2950"/>
      <c r="QGB23" s="2950"/>
      <c r="QGC23" s="2950"/>
      <c r="QGD23" s="2950"/>
      <c r="QGE23" s="2950"/>
      <c r="QGF23" s="2950"/>
      <c r="QGG23" s="2950"/>
      <c r="QGH23" s="2950"/>
      <c r="QGI23" s="2950"/>
      <c r="QGJ23" s="2950"/>
      <c r="QGK23" s="2950"/>
      <c r="QGL23" s="2950"/>
      <c r="QGM23" s="2950"/>
      <c r="QGN23" s="2950"/>
      <c r="QGO23" s="2950"/>
      <c r="QGP23" s="2950"/>
      <c r="QGQ23" s="2950"/>
      <c r="QGR23" s="2950"/>
      <c r="QGS23" s="2950"/>
      <c r="QGT23" s="2950"/>
      <c r="QGU23" s="2950"/>
      <c r="QGV23" s="2950"/>
      <c r="QGW23" s="2950"/>
      <c r="QGX23" s="2950"/>
      <c r="QGY23" s="2950"/>
      <c r="QGZ23" s="2950"/>
      <c r="QHA23" s="2950"/>
      <c r="QHB23" s="2950"/>
      <c r="QHC23" s="2950"/>
      <c r="QHD23" s="2950"/>
      <c r="QHE23" s="2950"/>
      <c r="QHF23" s="2950"/>
      <c r="QHG23" s="2950"/>
      <c r="QHH23" s="2950"/>
      <c r="QHI23" s="2950"/>
      <c r="QHJ23" s="2950"/>
      <c r="QHK23" s="2950"/>
      <c r="QHL23" s="2950"/>
      <c r="QHM23" s="2950"/>
      <c r="QHN23" s="2950"/>
      <c r="QHO23" s="2950"/>
      <c r="QHP23" s="2950"/>
      <c r="QHQ23" s="2950"/>
      <c r="QHR23" s="2950"/>
      <c r="QHS23" s="2950"/>
      <c r="QHT23" s="2950"/>
      <c r="QHU23" s="2950"/>
      <c r="QHV23" s="2950"/>
      <c r="QHW23" s="2950"/>
      <c r="QHX23" s="2950"/>
      <c r="QHY23" s="2950"/>
      <c r="QHZ23" s="2950"/>
      <c r="QIA23" s="2950"/>
      <c r="QIB23" s="2950"/>
      <c r="QIC23" s="2950"/>
      <c r="QID23" s="2950"/>
      <c r="QIE23" s="2950"/>
      <c r="QIF23" s="2950"/>
      <c r="QIG23" s="2950"/>
      <c r="QIH23" s="2950"/>
      <c r="QII23" s="2950"/>
      <c r="QIJ23" s="2950"/>
      <c r="QIK23" s="2950"/>
      <c r="QIL23" s="2950"/>
      <c r="QIM23" s="2950"/>
      <c r="QIN23" s="2950"/>
      <c r="QIO23" s="2950"/>
      <c r="QIP23" s="2950"/>
      <c r="QIQ23" s="2950"/>
      <c r="QIR23" s="2950"/>
      <c r="QIS23" s="2950"/>
      <c r="QIT23" s="2950"/>
      <c r="QIU23" s="2950"/>
      <c r="QIV23" s="2950"/>
      <c r="QIW23" s="2950"/>
      <c r="QIX23" s="2950"/>
      <c r="QIY23" s="2950"/>
      <c r="QIZ23" s="2950"/>
      <c r="QJA23" s="2950"/>
      <c r="QJB23" s="2950"/>
      <c r="QJC23" s="2950"/>
      <c r="QJD23" s="2950"/>
      <c r="QJE23" s="2950"/>
      <c r="QJF23" s="2950"/>
      <c r="QJG23" s="2950"/>
      <c r="QJH23" s="2950"/>
      <c r="QJI23" s="2950"/>
      <c r="QJJ23" s="2950"/>
      <c r="QJK23" s="2950"/>
      <c r="QJL23" s="2950"/>
      <c r="QJM23" s="2950"/>
      <c r="QJN23" s="2950"/>
      <c r="QJO23" s="2950"/>
      <c r="QJP23" s="2950"/>
      <c r="QJQ23" s="2950"/>
      <c r="QJR23" s="2950"/>
      <c r="QJS23" s="2950"/>
      <c r="QJT23" s="2950"/>
      <c r="QJU23" s="2950"/>
      <c r="QJV23" s="2950"/>
      <c r="QJW23" s="2950"/>
      <c r="QJX23" s="2950"/>
      <c r="QJY23" s="2950"/>
      <c r="QJZ23" s="2950"/>
      <c r="QKA23" s="2950"/>
      <c r="QKB23" s="2950"/>
      <c r="QKC23" s="2950"/>
      <c r="QKD23" s="2950"/>
      <c r="QKE23" s="2950"/>
      <c r="QKF23" s="2950"/>
      <c r="QKG23" s="2950"/>
      <c r="QKH23" s="2950"/>
      <c r="QKI23" s="2950"/>
      <c r="QKJ23" s="2950"/>
      <c r="QKK23" s="2950"/>
      <c r="QKL23" s="2950"/>
      <c r="QKM23" s="2950"/>
      <c r="QKN23" s="2950"/>
      <c r="QKO23" s="2950"/>
      <c r="QKP23" s="2950"/>
      <c r="QKQ23" s="2950"/>
      <c r="QKR23" s="2950"/>
      <c r="QKS23" s="2950"/>
      <c r="QKT23" s="2950"/>
      <c r="QKU23" s="2950"/>
      <c r="QKV23" s="2950"/>
      <c r="QKW23" s="2950"/>
      <c r="QKX23" s="2950"/>
      <c r="QKY23" s="2950"/>
      <c r="QKZ23" s="2950"/>
      <c r="QLA23" s="2950"/>
      <c r="QLB23" s="2950"/>
      <c r="QLC23" s="2950"/>
      <c r="QLD23" s="2950"/>
      <c r="QLE23" s="2950"/>
      <c r="QLF23" s="2950"/>
      <c r="QLG23" s="2950"/>
      <c r="QLH23" s="2950"/>
      <c r="QLI23" s="2950"/>
      <c r="QLJ23" s="2950"/>
      <c r="QLK23" s="2950"/>
      <c r="QLL23" s="2950"/>
      <c r="QLM23" s="2950"/>
      <c r="QLN23" s="2950"/>
      <c r="QLO23" s="2950"/>
      <c r="QLP23" s="2950"/>
      <c r="QLQ23" s="2950"/>
      <c r="QLR23" s="2950"/>
      <c r="QLS23" s="2950"/>
      <c r="QLT23" s="2950"/>
      <c r="QLU23" s="2950"/>
      <c r="QLV23" s="2950"/>
      <c r="QLW23" s="2950"/>
      <c r="QLX23" s="2950"/>
      <c r="QLY23" s="2950"/>
      <c r="QLZ23" s="2950"/>
      <c r="QMA23" s="2950"/>
      <c r="QMB23" s="2950"/>
      <c r="QMC23" s="2950"/>
      <c r="QMD23" s="2950"/>
      <c r="QME23" s="2950"/>
      <c r="QMF23" s="2950"/>
      <c r="QMG23" s="2950"/>
      <c r="QMH23" s="2950"/>
      <c r="QMI23" s="2950"/>
      <c r="QMJ23" s="2950"/>
      <c r="QMK23" s="2950"/>
      <c r="QML23" s="2950"/>
      <c r="QMM23" s="2950"/>
      <c r="QMN23" s="2950"/>
      <c r="QMO23" s="2950"/>
      <c r="QMP23" s="2950"/>
      <c r="QMQ23" s="2950"/>
      <c r="QMR23" s="2950"/>
      <c r="QMS23" s="2950"/>
      <c r="QMT23" s="2950"/>
      <c r="QMU23" s="2950"/>
      <c r="QMV23" s="2950"/>
      <c r="QMW23" s="2950"/>
      <c r="QMX23" s="2950"/>
      <c r="QMY23" s="2950"/>
      <c r="QMZ23" s="2950"/>
      <c r="QNA23" s="2950"/>
      <c r="QNB23" s="2950"/>
      <c r="QNC23" s="2950"/>
      <c r="QND23" s="2950"/>
      <c r="QNE23" s="2950"/>
      <c r="QNF23" s="2950"/>
      <c r="QNG23" s="2950"/>
      <c r="QNH23" s="2950"/>
      <c r="QNI23" s="2950"/>
      <c r="QNJ23" s="2950"/>
      <c r="QNK23" s="2950"/>
      <c r="QNL23" s="2950"/>
      <c r="QNM23" s="2950"/>
      <c r="QNN23" s="2950"/>
      <c r="QNO23" s="2950"/>
      <c r="QNP23" s="2950"/>
      <c r="QNQ23" s="2950"/>
      <c r="QNR23" s="2950"/>
      <c r="QNS23" s="2950"/>
      <c r="QNT23" s="2950"/>
      <c r="QNU23" s="2950"/>
      <c r="QNV23" s="2950"/>
      <c r="QNW23" s="2950"/>
      <c r="QNX23" s="2950"/>
      <c r="QNY23" s="2950"/>
      <c r="QNZ23" s="2950"/>
      <c r="QOA23" s="2950"/>
      <c r="QOB23" s="2950"/>
      <c r="QOC23" s="2950"/>
      <c r="QOD23" s="2950"/>
      <c r="QOE23" s="2950"/>
      <c r="QOF23" s="2950"/>
      <c r="QOG23" s="2950"/>
      <c r="QOH23" s="2950"/>
      <c r="QOI23" s="2950"/>
      <c r="QOJ23" s="2950"/>
      <c r="QOK23" s="2950"/>
      <c r="QOL23" s="2950"/>
      <c r="QOM23" s="2950"/>
      <c r="QON23" s="2950"/>
      <c r="QOO23" s="2950"/>
      <c r="QOP23" s="2950"/>
      <c r="QOQ23" s="2950"/>
      <c r="QOR23" s="2950"/>
      <c r="QOS23" s="2950"/>
      <c r="QOT23" s="2950"/>
      <c r="QOU23" s="2950"/>
      <c r="QOV23" s="2950"/>
      <c r="QOW23" s="2950"/>
      <c r="QOX23" s="2950"/>
      <c r="QOY23" s="2950"/>
      <c r="QOZ23" s="2950"/>
      <c r="QPA23" s="2950"/>
      <c r="QPB23" s="2950"/>
      <c r="QPC23" s="2950"/>
      <c r="QPD23" s="2950"/>
      <c r="QPE23" s="2950"/>
      <c r="QPF23" s="2950"/>
      <c r="QPG23" s="2950"/>
      <c r="QPH23" s="2950"/>
      <c r="QPI23" s="2950"/>
      <c r="QPJ23" s="2950"/>
      <c r="QPK23" s="2950"/>
      <c r="QPL23" s="2950"/>
      <c r="QPM23" s="2950"/>
      <c r="QPN23" s="2950"/>
      <c r="QPO23" s="2950"/>
      <c r="QPP23" s="2950"/>
      <c r="QPQ23" s="2950"/>
      <c r="QPR23" s="2950"/>
      <c r="QPS23" s="2950"/>
      <c r="QPT23" s="2950"/>
      <c r="QPU23" s="2950"/>
      <c r="QPV23" s="2950"/>
      <c r="QPW23" s="2950"/>
      <c r="QPX23" s="2950"/>
      <c r="QPY23" s="2950"/>
      <c r="QPZ23" s="2950"/>
      <c r="QQA23" s="2950"/>
      <c r="QQB23" s="2950"/>
      <c r="QQC23" s="2950"/>
      <c r="QQD23" s="2950"/>
      <c r="QQE23" s="2950"/>
      <c r="QQF23" s="2950"/>
      <c r="QQG23" s="2950"/>
      <c r="QQH23" s="2950"/>
      <c r="QQI23" s="2950"/>
      <c r="QQJ23" s="2950"/>
      <c r="QQK23" s="2950"/>
      <c r="QQL23" s="2950"/>
      <c r="QQM23" s="2950"/>
      <c r="QQN23" s="2950"/>
      <c r="QQO23" s="2950"/>
      <c r="QQP23" s="2950"/>
      <c r="QQQ23" s="2950"/>
      <c r="QQR23" s="2950"/>
      <c r="QQS23" s="2950"/>
      <c r="QQT23" s="2950"/>
      <c r="QQU23" s="2950"/>
      <c r="QQV23" s="2950"/>
      <c r="QQW23" s="2950"/>
      <c r="QQX23" s="2950"/>
      <c r="QQY23" s="2950"/>
      <c r="QQZ23" s="2950"/>
      <c r="QRA23" s="2950"/>
      <c r="QRB23" s="2950"/>
      <c r="QRC23" s="2950"/>
      <c r="QRD23" s="2950"/>
      <c r="QRE23" s="2950"/>
      <c r="QRF23" s="2950"/>
      <c r="QRG23" s="2950"/>
      <c r="QRH23" s="2950"/>
      <c r="QRI23" s="2950"/>
      <c r="QRJ23" s="2950"/>
      <c r="QRK23" s="2950"/>
      <c r="QRL23" s="2950"/>
      <c r="QRM23" s="2950"/>
      <c r="QRN23" s="2950"/>
      <c r="QRO23" s="2950"/>
      <c r="QRP23" s="2950"/>
      <c r="QRQ23" s="2950"/>
      <c r="QRR23" s="2950"/>
      <c r="QRS23" s="2950"/>
      <c r="QRT23" s="2950"/>
      <c r="QRU23" s="2950"/>
      <c r="QRV23" s="2950"/>
      <c r="QRW23" s="2950"/>
      <c r="QRX23" s="2950"/>
      <c r="QRY23" s="2950"/>
      <c r="QRZ23" s="2950"/>
      <c r="QSA23" s="2950"/>
      <c r="QSB23" s="2950"/>
      <c r="QSC23" s="2950"/>
      <c r="QSD23" s="2950"/>
      <c r="QSE23" s="2950"/>
      <c r="QSF23" s="2950"/>
      <c r="QSG23" s="2950"/>
      <c r="QSH23" s="2950"/>
      <c r="QSI23" s="2950"/>
      <c r="QSJ23" s="2950"/>
      <c r="QSK23" s="2950"/>
      <c r="QSL23" s="2950"/>
      <c r="QSM23" s="2950"/>
      <c r="QSN23" s="2950"/>
      <c r="QSO23" s="2950"/>
      <c r="QSP23" s="2950"/>
      <c r="QSQ23" s="2950"/>
      <c r="QSR23" s="2950"/>
      <c r="QSS23" s="2950"/>
      <c r="QST23" s="2950"/>
      <c r="QSU23" s="2950"/>
      <c r="QSV23" s="2950"/>
      <c r="QSW23" s="2950"/>
      <c r="QSX23" s="2950"/>
      <c r="QSY23" s="2950"/>
      <c r="QSZ23" s="2950"/>
      <c r="QTA23" s="2950"/>
      <c r="QTB23" s="2950"/>
      <c r="QTC23" s="2950"/>
      <c r="QTD23" s="2950"/>
      <c r="QTE23" s="2950"/>
      <c r="QTF23" s="2950"/>
      <c r="QTG23" s="2950"/>
      <c r="QTH23" s="2950"/>
      <c r="QTI23" s="2950"/>
      <c r="QTJ23" s="2950"/>
      <c r="QTK23" s="2950"/>
      <c r="QTL23" s="2950"/>
      <c r="QTM23" s="2950"/>
      <c r="QTN23" s="2950"/>
      <c r="QTO23" s="2950"/>
      <c r="QTP23" s="2950"/>
      <c r="QTQ23" s="2950"/>
      <c r="QTR23" s="2950"/>
      <c r="QTS23" s="2950"/>
      <c r="QTT23" s="2950"/>
      <c r="QTU23" s="2950"/>
      <c r="QTV23" s="2950"/>
      <c r="QTW23" s="2950"/>
      <c r="QTX23" s="2950"/>
      <c r="QTY23" s="2950"/>
      <c r="QTZ23" s="2950"/>
      <c r="QUA23" s="2950"/>
      <c r="QUB23" s="2950"/>
      <c r="QUC23" s="2950"/>
      <c r="QUD23" s="2950"/>
      <c r="QUE23" s="2950"/>
      <c r="QUF23" s="2950"/>
      <c r="QUG23" s="2950"/>
      <c r="QUH23" s="2950"/>
      <c r="QUI23" s="2950"/>
      <c r="QUJ23" s="2950"/>
      <c r="QUK23" s="2950"/>
      <c r="QUL23" s="2950"/>
      <c r="QUM23" s="2950"/>
      <c r="QUN23" s="2950"/>
      <c r="QUO23" s="2950"/>
      <c r="QUP23" s="2950"/>
      <c r="QUQ23" s="2950"/>
      <c r="QUR23" s="2950"/>
      <c r="QUS23" s="2950"/>
      <c r="QUT23" s="2950"/>
      <c r="QUU23" s="2950"/>
      <c r="QUV23" s="2950"/>
      <c r="QUW23" s="2950"/>
      <c r="QUX23" s="2950"/>
      <c r="QUY23" s="2950"/>
      <c r="QUZ23" s="2950"/>
      <c r="QVA23" s="2950"/>
      <c r="QVB23" s="2950"/>
      <c r="QVC23" s="2950"/>
      <c r="QVD23" s="2950"/>
      <c r="QVE23" s="2950"/>
      <c r="QVF23" s="2950"/>
      <c r="QVG23" s="2950"/>
      <c r="QVH23" s="2950"/>
      <c r="QVI23" s="2950"/>
      <c r="QVJ23" s="2950"/>
      <c r="QVK23" s="2950"/>
      <c r="QVL23" s="2950"/>
      <c r="QVM23" s="2950"/>
      <c r="QVN23" s="2950"/>
      <c r="QVO23" s="2950"/>
      <c r="QVP23" s="2950"/>
      <c r="QVQ23" s="2950"/>
      <c r="QVR23" s="2950"/>
      <c r="QVS23" s="2950"/>
      <c r="QVT23" s="2950"/>
      <c r="QVU23" s="2950"/>
      <c r="QVV23" s="2950"/>
      <c r="QVW23" s="2950"/>
      <c r="QVX23" s="2950"/>
      <c r="QVY23" s="2950"/>
      <c r="QVZ23" s="2950"/>
      <c r="QWA23" s="2950"/>
      <c r="QWB23" s="2950"/>
      <c r="QWC23" s="2950"/>
      <c r="QWD23" s="2950"/>
      <c r="QWE23" s="2950"/>
      <c r="QWF23" s="2950"/>
      <c r="QWG23" s="2950"/>
      <c r="QWH23" s="2950"/>
      <c r="QWI23" s="2950"/>
      <c r="QWJ23" s="2950"/>
      <c r="QWK23" s="2950"/>
      <c r="QWL23" s="2950"/>
      <c r="QWM23" s="2950"/>
      <c r="QWN23" s="2950"/>
      <c r="QWO23" s="2950"/>
      <c r="QWP23" s="2950"/>
      <c r="QWQ23" s="2950"/>
      <c r="QWR23" s="2950"/>
      <c r="QWS23" s="2950"/>
      <c r="QWT23" s="2950"/>
      <c r="QWU23" s="2950"/>
      <c r="QWV23" s="2950"/>
      <c r="QWW23" s="2950"/>
      <c r="QWX23" s="2950"/>
      <c r="QWY23" s="2950"/>
      <c r="QWZ23" s="2950"/>
      <c r="QXA23" s="2950"/>
      <c r="QXB23" s="2950"/>
      <c r="QXC23" s="2950"/>
      <c r="QXD23" s="2950"/>
      <c r="QXE23" s="2950"/>
      <c r="QXF23" s="2950"/>
      <c r="QXG23" s="2950"/>
      <c r="QXH23" s="2950"/>
      <c r="QXI23" s="2950"/>
      <c r="QXJ23" s="2950"/>
      <c r="QXK23" s="2950"/>
      <c r="QXL23" s="2950"/>
      <c r="QXM23" s="2950"/>
      <c r="QXN23" s="2950"/>
      <c r="QXO23" s="2950"/>
      <c r="QXP23" s="2950"/>
      <c r="QXQ23" s="2950"/>
      <c r="QXR23" s="2950"/>
      <c r="QXS23" s="2950"/>
      <c r="QXT23" s="2950"/>
      <c r="QXU23" s="2950"/>
      <c r="QXV23" s="2950"/>
      <c r="QXW23" s="2950"/>
      <c r="QXX23" s="2950"/>
      <c r="QXY23" s="2950"/>
      <c r="QXZ23" s="2950"/>
      <c r="QYA23" s="2950"/>
      <c r="QYB23" s="2950"/>
      <c r="QYC23" s="2950"/>
      <c r="QYD23" s="2950"/>
      <c r="QYE23" s="2950"/>
      <c r="QYF23" s="2950"/>
      <c r="QYG23" s="2950"/>
      <c r="QYH23" s="2950"/>
      <c r="QYI23" s="2950"/>
      <c r="QYJ23" s="2950"/>
      <c r="QYK23" s="2950"/>
      <c r="QYL23" s="2950"/>
      <c r="QYM23" s="2950"/>
      <c r="QYN23" s="2950"/>
      <c r="QYO23" s="2950"/>
      <c r="QYP23" s="2950"/>
      <c r="QYQ23" s="2950"/>
      <c r="QYR23" s="2950"/>
      <c r="QYS23" s="2950"/>
      <c r="QYT23" s="2950"/>
      <c r="QYU23" s="2950"/>
      <c r="QYV23" s="2950"/>
      <c r="QYW23" s="2950"/>
      <c r="QYX23" s="2950"/>
      <c r="QYY23" s="2950"/>
      <c r="QYZ23" s="2950"/>
      <c r="QZA23" s="2950"/>
      <c r="QZB23" s="2950"/>
      <c r="QZC23" s="2950"/>
      <c r="QZD23" s="2950"/>
      <c r="QZE23" s="2950"/>
      <c r="QZF23" s="2950"/>
      <c r="QZG23" s="2950"/>
      <c r="QZH23" s="2950"/>
      <c r="QZI23" s="2950"/>
      <c r="QZJ23" s="2950"/>
      <c r="QZK23" s="2950"/>
      <c r="QZL23" s="2950"/>
      <c r="QZM23" s="2950"/>
      <c r="QZN23" s="2950"/>
      <c r="QZO23" s="2950"/>
      <c r="QZP23" s="2950"/>
      <c r="QZQ23" s="2950"/>
      <c r="QZR23" s="2950"/>
      <c r="QZS23" s="2950"/>
      <c r="QZT23" s="2950"/>
      <c r="QZU23" s="2950"/>
      <c r="QZV23" s="2950"/>
      <c r="QZW23" s="2950"/>
      <c r="QZX23" s="2950"/>
      <c r="QZY23" s="2950"/>
      <c r="QZZ23" s="2950"/>
      <c r="RAA23" s="2950"/>
      <c r="RAB23" s="2950"/>
      <c r="RAC23" s="2950"/>
      <c r="RAD23" s="2950"/>
      <c r="RAE23" s="2950"/>
      <c r="RAF23" s="2950"/>
      <c r="RAG23" s="2950"/>
      <c r="RAH23" s="2950"/>
      <c r="RAI23" s="2950"/>
      <c r="RAJ23" s="2950"/>
      <c r="RAK23" s="2950"/>
      <c r="RAL23" s="2950"/>
      <c r="RAM23" s="2950"/>
      <c r="RAN23" s="2950"/>
      <c r="RAO23" s="2950"/>
      <c r="RAP23" s="2950"/>
      <c r="RAQ23" s="2950"/>
      <c r="RAR23" s="2950"/>
      <c r="RAS23" s="2950"/>
      <c r="RAT23" s="2950"/>
      <c r="RAU23" s="2950"/>
      <c r="RAV23" s="2950"/>
      <c r="RAW23" s="2950"/>
      <c r="RAX23" s="2950"/>
      <c r="RAY23" s="2950"/>
      <c r="RAZ23" s="2950"/>
      <c r="RBA23" s="2950"/>
      <c r="RBB23" s="2950"/>
      <c r="RBC23" s="2950"/>
      <c r="RBD23" s="2950"/>
      <c r="RBE23" s="2950"/>
      <c r="RBF23" s="2950"/>
      <c r="RBG23" s="2950"/>
      <c r="RBH23" s="2950"/>
      <c r="RBI23" s="2950"/>
      <c r="RBJ23" s="2950"/>
      <c r="RBK23" s="2950"/>
      <c r="RBL23" s="2950"/>
      <c r="RBM23" s="2950"/>
      <c r="RBN23" s="2950"/>
      <c r="RBO23" s="2950"/>
      <c r="RBP23" s="2950"/>
      <c r="RBQ23" s="2950"/>
      <c r="RBR23" s="2950"/>
      <c r="RBS23" s="2950"/>
      <c r="RBT23" s="2950"/>
      <c r="RBU23" s="2950"/>
      <c r="RBV23" s="2950"/>
      <c r="RBW23" s="2950"/>
      <c r="RBX23" s="2950"/>
      <c r="RBY23" s="2950"/>
      <c r="RBZ23" s="2950"/>
      <c r="RCA23" s="2950"/>
      <c r="RCB23" s="2950"/>
      <c r="RCC23" s="2950"/>
      <c r="RCD23" s="2950"/>
      <c r="RCE23" s="2950"/>
      <c r="RCF23" s="2950"/>
      <c r="RCG23" s="2950"/>
      <c r="RCH23" s="2950"/>
      <c r="RCI23" s="2950"/>
      <c r="RCJ23" s="2950"/>
      <c r="RCK23" s="2950"/>
      <c r="RCL23" s="2950"/>
      <c r="RCM23" s="2950"/>
      <c r="RCN23" s="2950"/>
      <c r="RCO23" s="2950"/>
      <c r="RCP23" s="2950"/>
      <c r="RCQ23" s="2950"/>
      <c r="RCR23" s="2950"/>
      <c r="RCS23" s="2950"/>
      <c r="RCT23" s="2950"/>
      <c r="RCU23" s="2950"/>
      <c r="RCV23" s="2950"/>
      <c r="RCW23" s="2950"/>
      <c r="RCX23" s="2950"/>
      <c r="RCY23" s="2950"/>
      <c r="RCZ23" s="2950"/>
      <c r="RDA23" s="2950"/>
      <c r="RDB23" s="2950"/>
      <c r="RDC23" s="2950"/>
      <c r="RDD23" s="2950"/>
      <c r="RDE23" s="2950"/>
      <c r="RDF23" s="2950"/>
      <c r="RDG23" s="2950"/>
      <c r="RDH23" s="2950"/>
      <c r="RDI23" s="2950"/>
      <c r="RDJ23" s="2950"/>
      <c r="RDK23" s="2950"/>
      <c r="RDL23" s="2950"/>
      <c r="RDM23" s="2950"/>
      <c r="RDN23" s="2950"/>
      <c r="RDO23" s="2950"/>
      <c r="RDP23" s="2950"/>
      <c r="RDQ23" s="2950"/>
      <c r="RDR23" s="2950"/>
      <c r="RDS23" s="2950"/>
      <c r="RDT23" s="2950"/>
      <c r="RDU23" s="2950"/>
      <c r="RDV23" s="2950"/>
      <c r="RDW23" s="2950"/>
      <c r="RDX23" s="2950"/>
      <c r="RDY23" s="2950"/>
      <c r="RDZ23" s="2950"/>
      <c r="REA23" s="2950"/>
      <c r="REB23" s="2950"/>
      <c r="REC23" s="2950"/>
      <c r="RED23" s="2950"/>
      <c r="REE23" s="2950"/>
      <c r="REF23" s="2950"/>
      <c r="REG23" s="2950"/>
      <c r="REH23" s="2950"/>
      <c r="REI23" s="2950"/>
      <c r="REJ23" s="2950"/>
      <c r="REK23" s="2950"/>
      <c r="REL23" s="2950"/>
      <c r="REM23" s="2950"/>
      <c r="REN23" s="2950"/>
      <c r="REO23" s="2950"/>
      <c r="REP23" s="2950"/>
      <c r="REQ23" s="2950"/>
      <c r="RER23" s="2950"/>
      <c r="RES23" s="2950"/>
      <c r="RET23" s="2950"/>
      <c r="REU23" s="2950"/>
      <c r="REV23" s="2950"/>
      <c r="REW23" s="2950"/>
      <c r="REX23" s="2950"/>
      <c r="REY23" s="2950"/>
      <c r="REZ23" s="2950"/>
      <c r="RFA23" s="2950"/>
      <c r="RFB23" s="2950"/>
      <c r="RFC23" s="2950"/>
      <c r="RFD23" s="2950"/>
      <c r="RFE23" s="2950"/>
      <c r="RFF23" s="2950"/>
      <c r="RFG23" s="2950"/>
      <c r="RFH23" s="2950"/>
      <c r="RFI23" s="2950"/>
      <c r="RFJ23" s="2950"/>
      <c r="RFK23" s="2950"/>
      <c r="RFL23" s="2950"/>
      <c r="RFM23" s="2950"/>
      <c r="RFN23" s="2950"/>
      <c r="RFO23" s="2950"/>
      <c r="RFP23" s="2950"/>
      <c r="RFQ23" s="2950"/>
      <c r="RFR23" s="2950"/>
      <c r="RFS23" s="2950"/>
      <c r="RFT23" s="2950"/>
      <c r="RFU23" s="2950"/>
      <c r="RFV23" s="2950"/>
      <c r="RFW23" s="2950"/>
      <c r="RFX23" s="2950"/>
      <c r="RFY23" s="2950"/>
      <c r="RFZ23" s="2950"/>
      <c r="RGA23" s="2950"/>
      <c r="RGB23" s="2950"/>
      <c r="RGC23" s="2950"/>
      <c r="RGD23" s="2950"/>
      <c r="RGE23" s="2950"/>
      <c r="RGF23" s="2950"/>
      <c r="RGG23" s="2950"/>
      <c r="RGH23" s="2950"/>
      <c r="RGI23" s="2950"/>
      <c r="RGJ23" s="2950"/>
      <c r="RGK23" s="2950"/>
      <c r="RGL23" s="2950"/>
      <c r="RGM23" s="2950"/>
      <c r="RGN23" s="2950"/>
      <c r="RGO23" s="2950"/>
      <c r="RGP23" s="2950"/>
      <c r="RGQ23" s="2950"/>
      <c r="RGR23" s="2950"/>
      <c r="RGS23" s="2950"/>
      <c r="RGT23" s="2950"/>
      <c r="RGU23" s="2950"/>
      <c r="RGV23" s="2950"/>
      <c r="RGW23" s="2950"/>
      <c r="RGX23" s="2950"/>
      <c r="RGY23" s="2950"/>
      <c r="RGZ23" s="2950"/>
      <c r="RHA23" s="2950"/>
      <c r="RHB23" s="2950"/>
      <c r="RHC23" s="2950"/>
      <c r="RHD23" s="2950"/>
      <c r="RHE23" s="2950"/>
      <c r="RHF23" s="2950"/>
      <c r="RHG23" s="2950"/>
      <c r="RHH23" s="2950"/>
      <c r="RHI23" s="2950"/>
      <c r="RHJ23" s="2950"/>
      <c r="RHK23" s="2950"/>
      <c r="RHL23" s="2950"/>
      <c r="RHM23" s="2950"/>
      <c r="RHN23" s="2950"/>
      <c r="RHO23" s="2950"/>
      <c r="RHP23" s="2950"/>
      <c r="RHQ23" s="2950"/>
      <c r="RHR23" s="2950"/>
      <c r="RHS23" s="2950"/>
      <c r="RHT23" s="2950"/>
      <c r="RHU23" s="2950"/>
      <c r="RHV23" s="2950"/>
      <c r="RHW23" s="2950"/>
      <c r="RHX23" s="2950"/>
      <c r="RHY23" s="2950"/>
      <c r="RHZ23" s="2950"/>
      <c r="RIA23" s="2950"/>
      <c r="RIB23" s="2950"/>
      <c r="RIC23" s="2950"/>
      <c r="RID23" s="2950"/>
      <c r="RIE23" s="2950"/>
      <c r="RIF23" s="2950"/>
      <c r="RIG23" s="2950"/>
      <c r="RIH23" s="2950"/>
      <c r="RII23" s="2950"/>
      <c r="RIJ23" s="2950"/>
      <c r="RIK23" s="2950"/>
      <c r="RIL23" s="2950"/>
      <c r="RIM23" s="2950"/>
      <c r="RIN23" s="2950"/>
      <c r="RIO23" s="2950"/>
      <c r="RIP23" s="2950"/>
      <c r="RIQ23" s="2950"/>
      <c r="RIR23" s="2950"/>
      <c r="RIS23" s="2950"/>
      <c r="RIT23" s="2950"/>
      <c r="RIU23" s="2950"/>
      <c r="RIV23" s="2950"/>
      <c r="RIW23" s="2950"/>
      <c r="RIX23" s="2950"/>
      <c r="RIY23" s="2950"/>
      <c r="RIZ23" s="2950"/>
      <c r="RJA23" s="2950"/>
      <c r="RJB23" s="2950"/>
      <c r="RJC23" s="2950"/>
      <c r="RJD23" s="2950"/>
      <c r="RJE23" s="2950"/>
      <c r="RJF23" s="2950"/>
      <c r="RJG23" s="2950"/>
      <c r="RJH23" s="2950"/>
      <c r="RJI23" s="2950"/>
      <c r="RJJ23" s="2950"/>
      <c r="RJK23" s="2950"/>
      <c r="RJL23" s="2950"/>
      <c r="RJM23" s="2950"/>
      <c r="RJN23" s="2950"/>
      <c r="RJO23" s="2950"/>
      <c r="RJP23" s="2950"/>
      <c r="RJQ23" s="2950"/>
      <c r="RJR23" s="2950"/>
      <c r="RJS23" s="2950"/>
      <c r="RJT23" s="2950"/>
      <c r="RJU23" s="2950"/>
      <c r="RJV23" s="2950"/>
      <c r="RJW23" s="2950"/>
      <c r="RJX23" s="2950"/>
      <c r="RJY23" s="2950"/>
      <c r="RJZ23" s="2950"/>
      <c r="RKA23" s="2950"/>
      <c r="RKB23" s="2950"/>
      <c r="RKC23" s="2950"/>
      <c r="RKD23" s="2950"/>
      <c r="RKE23" s="2950"/>
      <c r="RKF23" s="2950"/>
      <c r="RKG23" s="2950"/>
      <c r="RKH23" s="2950"/>
      <c r="RKI23" s="2950"/>
      <c r="RKJ23" s="2950"/>
      <c r="RKK23" s="2950"/>
      <c r="RKL23" s="2950"/>
      <c r="RKM23" s="2950"/>
      <c r="RKN23" s="2950"/>
      <c r="RKO23" s="2950"/>
      <c r="RKP23" s="2950"/>
      <c r="RKQ23" s="2950"/>
      <c r="RKR23" s="2950"/>
      <c r="RKS23" s="2950"/>
      <c r="RKT23" s="2950"/>
      <c r="RKU23" s="2950"/>
      <c r="RKV23" s="2950"/>
      <c r="RKW23" s="2950"/>
      <c r="RKX23" s="2950"/>
      <c r="RKY23" s="2950"/>
      <c r="RKZ23" s="2950"/>
      <c r="RLA23" s="2950"/>
      <c r="RLB23" s="2950"/>
      <c r="RLC23" s="2950"/>
      <c r="RLD23" s="2950"/>
      <c r="RLE23" s="2950"/>
      <c r="RLF23" s="2950"/>
      <c r="RLG23" s="2950"/>
      <c r="RLH23" s="2950"/>
      <c r="RLI23" s="2950"/>
      <c r="RLJ23" s="2950"/>
      <c r="RLK23" s="2950"/>
      <c r="RLL23" s="2950"/>
      <c r="RLM23" s="2950"/>
      <c r="RLN23" s="2950"/>
      <c r="RLO23" s="2950"/>
      <c r="RLP23" s="2950"/>
      <c r="RLQ23" s="2950"/>
      <c r="RLR23" s="2950"/>
      <c r="RLS23" s="2950"/>
      <c r="RLT23" s="2950"/>
      <c r="RLU23" s="2950"/>
      <c r="RLV23" s="2950"/>
      <c r="RLW23" s="2950"/>
      <c r="RLX23" s="2950"/>
      <c r="RLY23" s="2950"/>
      <c r="RLZ23" s="2950"/>
      <c r="RMA23" s="2950"/>
      <c r="RMB23" s="2950"/>
      <c r="RMC23" s="2950"/>
      <c r="RMD23" s="2950"/>
      <c r="RME23" s="2950"/>
      <c r="RMF23" s="2950"/>
      <c r="RMG23" s="2950"/>
      <c r="RMH23" s="2950"/>
      <c r="RMI23" s="2950"/>
      <c r="RMJ23" s="2950"/>
      <c r="RMK23" s="2950"/>
      <c r="RML23" s="2950"/>
      <c r="RMM23" s="2950"/>
      <c r="RMN23" s="2950"/>
      <c r="RMO23" s="2950"/>
      <c r="RMP23" s="2950"/>
      <c r="RMQ23" s="2950"/>
      <c r="RMR23" s="2950"/>
      <c r="RMS23" s="2950"/>
      <c r="RMT23" s="2950"/>
      <c r="RMU23" s="2950"/>
      <c r="RMV23" s="2950"/>
      <c r="RMW23" s="2950"/>
      <c r="RMX23" s="2950"/>
      <c r="RMY23" s="2950"/>
      <c r="RMZ23" s="2950"/>
      <c r="RNA23" s="2950"/>
      <c r="RNB23" s="2950"/>
      <c r="RNC23" s="2950"/>
      <c r="RND23" s="2950"/>
      <c r="RNE23" s="2950"/>
      <c r="RNF23" s="2950"/>
      <c r="RNG23" s="2950"/>
      <c r="RNH23" s="2950"/>
      <c r="RNI23" s="2950"/>
      <c r="RNJ23" s="2950"/>
      <c r="RNK23" s="2950"/>
      <c r="RNL23" s="2950"/>
      <c r="RNM23" s="2950"/>
      <c r="RNN23" s="2950"/>
      <c r="RNO23" s="2950"/>
      <c r="RNP23" s="2950"/>
      <c r="RNQ23" s="2950"/>
      <c r="RNR23" s="2950"/>
      <c r="RNS23" s="2950"/>
      <c r="RNT23" s="2950"/>
      <c r="RNU23" s="2950"/>
      <c r="RNV23" s="2950"/>
      <c r="RNW23" s="2950"/>
      <c r="RNX23" s="2950"/>
      <c r="RNY23" s="2950"/>
      <c r="RNZ23" s="2950"/>
      <c r="ROA23" s="2950"/>
      <c r="ROB23" s="2950"/>
      <c r="ROC23" s="2950"/>
      <c r="ROD23" s="2950"/>
      <c r="ROE23" s="2950"/>
      <c r="ROF23" s="2950"/>
      <c r="ROG23" s="2950"/>
      <c r="ROH23" s="2950"/>
      <c r="ROI23" s="2950"/>
      <c r="ROJ23" s="2950"/>
      <c r="ROK23" s="2950"/>
      <c r="ROL23" s="2950"/>
      <c r="ROM23" s="2950"/>
      <c r="RON23" s="2950"/>
      <c r="ROO23" s="2950"/>
      <c r="ROP23" s="2950"/>
      <c r="ROQ23" s="2950"/>
      <c r="ROR23" s="2950"/>
      <c r="ROS23" s="2950"/>
      <c r="ROT23" s="2950"/>
      <c r="ROU23" s="2950"/>
      <c r="ROV23" s="2950"/>
      <c r="ROW23" s="2950"/>
      <c r="ROX23" s="2950"/>
      <c r="ROY23" s="2950"/>
      <c r="ROZ23" s="2950"/>
      <c r="RPA23" s="2950"/>
      <c r="RPB23" s="2950"/>
      <c r="RPC23" s="2950"/>
      <c r="RPD23" s="2950"/>
      <c r="RPE23" s="2950"/>
      <c r="RPF23" s="2950"/>
      <c r="RPG23" s="2950"/>
      <c r="RPH23" s="2950"/>
      <c r="RPI23" s="2950"/>
      <c r="RPJ23" s="2950"/>
      <c r="RPK23" s="2950"/>
      <c r="RPL23" s="2950"/>
      <c r="RPM23" s="2950"/>
      <c r="RPN23" s="2950"/>
      <c r="RPO23" s="2950"/>
      <c r="RPP23" s="2950"/>
      <c r="RPQ23" s="2950"/>
      <c r="RPR23" s="2950"/>
      <c r="RPS23" s="2950"/>
      <c r="RPT23" s="2950"/>
      <c r="RPU23" s="2950"/>
      <c r="RPV23" s="2950"/>
      <c r="RPW23" s="2950"/>
      <c r="RPX23" s="2950"/>
      <c r="RPY23" s="2950"/>
      <c r="RPZ23" s="2950"/>
      <c r="RQA23" s="2950"/>
      <c r="RQB23" s="2950"/>
      <c r="RQC23" s="2950"/>
      <c r="RQD23" s="2950"/>
      <c r="RQE23" s="2950"/>
      <c r="RQF23" s="2950"/>
      <c r="RQG23" s="2950"/>
      <c r="RQH23" s="2950"/>
      <c r="RQI23" s="2950"/>
      <c r="RQJ23" s="2950"/>
      <c r="RQK23" s="2950"/>
      <c r="RQL23" s="2950"/>
      <c r="RQM23" s="2950"/>
      <c r="RQN23" s="2950"/>
      <c r="RQO23" s="2950"/>
      <c r="RQP23" s="2950"/>
      <c r="RQQ23" s="2950"/>
      <c r="RQR23" s="2950"/>
      <c r="RQS23" s="2950"/>
      <c r="RQT23" s="2950"/>
      <c r="RQU23" s="2950"/>
      <c r="RQV23" s="2950"/>
      <c r="RQW23" s="2950"/>
      <c r="RQX23" s="2950"/>
      <c r="RQY23" s="2950"/>
      <c r="RQZ23" s="2950"/>
      <c r="RRA23" s="2950"/>
      <c r="RRB23" s="2950"/>
      <c r="RRC23" s="2950"/>
      <c r="RRD23" s="2950"/>
      <c r="RRE23" s="2950"/>
      <c r="RRF23" s="2950"/>
      <c r="RRG23" s="2950"/>
      <c r="RRH23" s="2950"/>
      <c r="RRI23" s="2950"/>
      <c r="RRJ23" s="2950"/>
      <c r="RRK23" s="2950"/>
      <c r="RRL23" s="2950"/>
      <c r="RRM23" s="2950"/>
      <c r="RRN23" s="2950"/>
      <c r="RRO23" s="2950"/>
      <c r="RRP23" s="2950"/>
      <c r="RRQ23" s="2950"/>
      <c r="RRR23" s="2950"/>
      <c r="RRS23" s="2950"/>
      <c r="RRT23" s="2950"/>
      <c r="RRU23" s="2950"/>
      <c r="RRV23" s="2950"/>
      <c r="RRW23" s="2950"/>
      <c r="RRX23" s="2950"/>
      <c r="RRY23" s="2950"/>
      <c r="RRZ23" s="2950"/>
      <c r="RSA23" s="2950"/>
      <c r="RSB23" s="2950"/>
      <c r="RSC23" s="2950"/>
      <c r="RSD23" s="2950"/>
      <c r="RSE23" s="2950"/>
      <c r="RSF23" s="2950"/>
      <c r="RSG23" s="2950"/>
      <c r="RSH23" s="2950"/>
      <c r="RSI23" s="2950"/>
      <c r="RSJ23" s="2950"/>
      <c r="RSK23" s="2950"/>
      <c r="RSL23" s="2950"/>
      <c r="RSM23" s="2950"/>
      <c r="RSN23" s="2950"/>
      <c r="RSO23" s="2950"/>
      <c r="RSP23" s="2950"/>
      <c r="RSQ23" s="2950"/>
      <c r="RSR23" s="2950"/>
      <c r="RSS23" s="2950"/>
      <c r="RST23" s="2950"/>
      <c r="RSU23" s="2950"/>
      <c r="RSV23" s="2950"/>
      <c r="RSW23" s="2950"/>
      <c r="RSX23" s="2950"/>
      <c r="RSY23" s="2950"/>
      <c r="RSZ23" s="2950"/>
      <c r="RTA23" s="2950"/>
      <c r="RTB23" s="2950"/>
      <c r="RTC23" s="2950"/>
      <c r="RTD23" s="2950"/>
      <c r="RTE23" s="2950"/>
      <c r="RTF23" s="2950"/>
      <c r="RTG23" s="2950"/>
      <c r="RTH23" s="2950"/>
      <c r="RTI23" s="2950"/>
      <c r="RTJ23" s="2950"/>
      <c r="RTK23" s="2950"/>
      <c r="RTL23" s="2950"/>
      <c r="RTM23" s="2950"/>
      <c r="RTN23" s="2950"/>
      <c r="RTO23" s="2950"/>
      <c r="RTP23" s="2950"/>
      <c r="RTQ23" s="2950"/>
      <c r="RTR23" s="2950"/>
      <c r="RTS23" s="2950"/>
      <c r="RTT23" s="2950"/>
      <c r="RTU23" s="2950"/>
      <c r="RTV23" s="2950"/>
      <c r="RTW23" s="2950"/>
      <c r="RTX23" s="2950"/>
      <c r="RTY23" s="2950"/>
      <c r="RTZ23" s="2950"/>
      <c r="RUA23" s="2950"/>
      <c r="RUB23" s="2950"/>
      <c r="RUC23" s="2950"/>
      <c r="RUD23" s="2950"/>
      <c r="RUE23" s="2950"/>
      <c r="RUF23" s="2950"/>
      <c r="RUG23" s="2950"/>
      <c r="RUH23" s="2950"/>
      <c r="RUI23" s="2950"/>
      <c r="RUJ23" s="2950"/>
      <c r="RUK23" s="2950"/>
      <c r="RUL23" s="2950"/>
      <c r="RUM23" s="2950"/>
      <c r="RUN23" s="2950"/>
      <c r="RUO23" s="2950"/>
      <c r="RUP23" s="2950"/>
      <c r="RUQ23" s="2950"/>
      <c r="RUR23" s="2950"/>
      <c r="RUS23" s="2950"/>
      <c r="RUT23" s="2950"/>
      <c r="RUU23" s="2950"/>
      <c r="RUV23" s="2950"/>
      <c r="RUW23" s="2950"/>
      <c r="RUX23" s="2950"/>
      <c r="RUY23" s="2950"/>
      <c r="RUZ23" s="2950"/>
      <c r="RVA23" s="2950"/>
      <c r="RVB23" s="2950"/>
      <c r="RVC23" s="2950"/>
      <c r="RVD23" s="2950"/>
      <c r="RVE23" s="2950"/>
      <c r="RVF23" s="2950"/>
      <c r="RVG23" s="2950"/>
      <c r="RVH23" s="2950"/>
      <c r="RVI23" s="2950"/>
      <c r="RVJ23" s="2950"/>
      <c r="RVK23" s="2950"/>
      <c r="RVL23" s="2950"/>
      <c r="RVM23" s="2950"/>
      <c r="RVN23" s="2950"/>
      <c r="RVO23" s="2950"/>
      <c r="RVP23" s="2950"/>
      <c r="RVQ23" s="2950"/>
      <c r="RVR23" s="2950"/>
      <c r="RVS23" s="2950"/>
      <c r="RVT23" s="2950"/>
      <c r="RVU23" s="2950"/>
      <c r="RVV23" s="2950"/>
      <c r="RVW23" s="2950"/>
      <c r="RVX23" s="2950"/>
      <c r="RVY23" s="2950"/>
      <c r="RVZ23" s="2950"/>
      <c r="RWA23" s="2950"/>
      <c r="RWB23" s="2950"/>
      <c r="RWC23" s="2950"/>
      <c r="RWD23" s="2950"/>
      <c r="RWE23" s="2950"/>
      <c r="RWF23" s="2950"/>
      <c r="RWG23" s="2950"/>
      <c r="RWH23" s="2950"/>
      <c r="RWI23" s="2950"/>
      <c r="RWJ23" s="2950"/>
      <c r="RWK23" s="2950"/>
      <c r="RWL23" s="2950"/>
      <c r="RWM23" s="2950"/>
      <c r="RWN23" s="2950"/>
      <c r="RWO23" s="2950"/>
      <c r="RWP23" s="2950"/>
      <c r="RWQ23" s="2950"/>
      <c r="RWR23" s="2950"/>
      <c r="RWS23" s="2950"/>
      <c r="RWT23" s="2950"/>
      <c r="RWU23" s="2950"/>
      <c r="RWV23" s="2950"/>
      <c r="RWW23" s="2950"/>
      <c r="RWX23" s="2950"/>
      <c r="RWY23" s="2950"/>
      <c r="RWZ23" s="2950"/>
      <c r="RXA23" s="2950"/>
      <c r="RXB23" s="2950"/>
      <c r="RXC23" s="2950"/>
      <c r="RXD23" s="2950"/>
      <c r="RXE23" s="2950"/>
      <c r="RXF23" s="2950"/>
      <c r="RXG23" s="2950"/>
      <c r="RXH23" s="2950"/>
      <c r="RXI23" s="2950"/>
      <c r="RXJ23" s="2950"/>
      <c r="RXK23" s="2950"/>
      <c r="RXL23" s="2950"/>
      <c r="RXM23" s="2950"/>
      <c r="RXN23" s="2950"/>
      <c r="RXO23" s="2950"/>
      <c r="RXP23" s="2950"/>
      <c r="RXQ23" s="2950"/>
      <c r="RXR23" s="2950"/>
      <c r="RXS23" s="2950"/>
      <c r="RXT23" s="2950"/>
      <c r="RXU23" s="2950"/>
      <c r="RXV23" s="2950"/>
      <c r="RXW23" s="2950"/>
      <c r="RXX23" s="2950"/>
      <c r="RXY23" s="2950"/>
      <c r="RXZ23" s="2950"/>
      <c r="RYA23" s="2950"/>
      <c r="RYB23" s="2950"/>
      <c r="RYC23" s="2950"/>
      <c r="RYD23" s="2950"/>
      <c r="RYE23" s="2950"/>
      <c r="RYF23" s="2950"/>
      <c r="RYG23" s="2950"/>
      <c r="RYH23" s="2950"/>
      <c r="RYI23" s="2950"/>
      <c r="RYJ23" s="2950"/>
      <c r="RYK23" s="2950"/>
      <c r="RYL23" s="2950"/>
      <c r="RYM23" s="2950"/>
      <c r="RYN23" s="2950"/>
      <c r="RYO23" s="2950"/>
      <c r="RYP23" s="2950"/>
      <c r="RYQ23" s="2950"/>
      <c r="RYR23" s="2950"/>
      <c r="RYS23" s="2950"/>
      <c r="RYT23" s="2950"/>
      <c r="RYU23" s="2950"/>
      <c r="RYV23" s="2950"/>
      <c r="RYW23" s="2950"/>
      <c r="RYX23" s="2950"/>
      <c r="RYY23" s="2950"/>
      <c r="RYZ23" s="2950"/>
      <c r="RZA23" s="2950"/>
      <c r="RZB23" s="2950"/>
      <c r="RZC23" s="2950"/>
      <c r="RZD23" s="2950"/>
      <c r="RZE23" s="2950"/>
      <c r="RZF23" s="2950"/>
      <c r="RZG23" s="2950"/>
      <c r="RZH23" s="2950"/>
      <c r="RZI23" s="2950"/>
      <c r="RZJ23" s="2950"/>
      <c r="RZK23" s="2950"/>
      <c r="RZL23" s="2950"/>
      <c r="RZM23" s="2950"/>
      <c r="RZN23" s="2950"/>
      <c r="RZO23" s="2950"/>
      <c r="RZP23" s="2950"/>
      <c r="RZQ23" s="2950"/>
      <c r="RZR23" s="2950"/>
      <c r="RZS23" s="2950"/>
      <c r="RZT23" s="2950"/>
      <c r="RZU23" s="2950"/>
      <c r="RZV23" s="2950"/>
      <c r="RZW23" s="2950"/>
      <c r="RZX23" s="2950"/>
      <c r="RZY23" s="2950"/>
      <c r="RZZ23" s="2950"/>
      <c r="SAA23" s="2950"/>
      <c r="SAB23" s="2950"/>
      <c r="SAC23" s="2950"/>
      <c r="SAD23" s="2950"/>
      <c r="SAE23" s="2950"/>
      <c r="SAF23" s="2950"/>
      <c r="SAG23" s="2950"/>
      <c r="SAH23" s="2950"/>
      <c r="SAI23" s="2950"/>
      <c r="SAJ23" s="2950"/>
      <c r="SAK23" s="2950"/>
      <c r="SAL23" s="2950"/>
      <c r="SAM23" s="2950"/>
      <c r="SAN23" s="2950"/>
      <c r="SAO23" s="2950"/>
      <c r="SAP23" s="2950"/>
      <c r="SAQ23" s="2950"/>
      <c r="SAR23" s="2950"/>
      <c r="SAS23" s="2950"/>
      <c r="SAT23" s="2950"/>
      <c r="SAU23" s="2950"/>
      <c r="SAV23" s="2950"/>
      <c r="SAW23" s="2950"/>
      <c r="SAX23" s="2950"/>
      <c r="SAY23" s="2950"/>
      <c r="SAZ23" s="2950"/>
      <c r="SBA23" s="2950"/>
      <c r="SBB23" s="2950"/>
      <c r="SBC23" s="2950"/>
      <c r="SBD23" s="2950"/>
      <c r="SBE23" s="2950"/>
      <c r="SBF23" s="2950"/>
      <c r="SBG23" s="2950"/>
      <c r="SBH23" s="2950"/>
      <c r="SBI23" s="2950"/>
      <c r="SBJ23" s="2950"/>
      <c r="SBK23" s="2950"/>
      <c r="SBL23" s="2950"/>
      <c r="SBM23" s="2950"/>
      <c r="SBN23" s="2950"/>
      <c r="SBO23" s="2950"/>
      <c r="SBP23" s="2950"/>
      <c r="SBQ23" s="2950"/>
      <c r="SBR23" s="2950"/>
      <c r="SBS23" s="2950"/>
      <c r="SBT23" s="2950"/>
      <c r="SBU23" s="2950"/>
      <c r="SBV23" s="2950"/>
      <c r="SBW23" s="2950"/>
      <c r="SBX23" s="2950"/>
      <c r="SBY23" s="2950"/>
      <c r="SBZ23" s="2950"/>
      <c r="SCA23" s="2950"/>
      <c r="SCB23" s="2950"/>
      <c r="SCC23" s="2950"/>
      <c r="SCD23" s="2950"/>
      <c r="SCE23" s="2950"/>
      <c r="SCF23" s="2950"/>
      <c r="SCG23" s="2950"/>
      <c r="SCH23" s="2950"/>
      <c r="SCI23" s="2950"/>
      <c r="SCJ23" s="2950"/>
      <c r="SCK23" s="2950"/>
      <c r="SCL23" s="2950"/>
      <c r="SCM23" s="2950"/>
      <c r="SCN23" s="2950"/>
      <c r="SCO23" s="2950"/>
      <c r="SCP23" s="2950"/>
      <c r="SCQ23" s="2950"/>
      <c r="SCR23" s="2950"/>
      <c r="SCS23" s="2950"/>
      <c r="SCT23" s="2950"/>
      <c r="SCU23" s="2950"/>
      <c r="SCV23" s="2950"/>
      <c r="SCW23" s="2950"/>
      <c r="SCX23" s="2950"/>
      <c r="SCY23" s="2950"/>
      <c r="SCZ23" s="2950"/>
      <c r="SDA23" s="2950"/>
      <c r="SDB23" s="2950"/>
      <c r="SDC23" s="2950"/>
      <c r="SDD23" s="2950"/>
      <c r="SDE23" s="2950"/>
      <c r="SDF23" s="2950"/>
      <c r="SDG23" s="2950"/>
      <c r="SDH23" s="2950"/>
      <c r="SDI23" s="2950"/>
      <c r="SDJ23" s="2950"/>
      <c r="SDK23" s="2950"/>
      <c r="SDL23" s="2950"/>
      <c r="SDM23" s="2950"/>
      <c r="SDN23" s="2950"/>
      <c r="SDO23" s="2950"/>
      <c r="SDP23" s="2950"/>
      <c r="SDQ23" s="2950"/>
      <c r="SDR23" s="2950"/>
      <c r="SDS23" s="2950"/>
      <c r="SDT23" s="2950"/>
      <c r="SDU23" s="2950"/>
      <c r="SDV23" s="2950"/>
      <c r="SDW23" s="2950"/>
      <c r="SDX23" s="2950"/>
      <c r="SDY23" s="2950"/>
      <c r="SDZ23" s="2950"/>
      <c r="SEA23" s="2950"/>
      <c r="SEB23" s="2950"/>
      <c r="SEC23" s="2950"/>
      <c r="SED23" s="2950"/>
      <c r="SEE23" s="2950"/>
      <c r="SEF23" s="2950"/>
      <c r="SEG23" s="2950"/>
      <c r="SEH23" s="2950"/>
      <c r="SEI23" s="2950"/>
      <c r="SEJ23" s="2950"/>
      <c r="SEK23" s="2950"/>
      <c r="SEL23" s="2950"/>
      <c r="SEM23" s="2950"/>
      <c r="SEN23" s="2950"/>
      <c r="SEO23" s="2950"/>
      <c r="SEP23" s="2950"/>
      <c r="SEQ23" s="2950"/>
      <c r="SER23" s="2950"/>
      <c r="SES23" s="2950"/>
      <c r="SET23" s="2950"/>
      <c r="SEU23" s="2950"/>
      <c r="SEV23" s="2950"/>
      <c r="SEW23" s="2950"/>
      <c r="SEX23" s="2950"/>
      <c r="SEY23" s="2950"/>
      <c r="SEZ23" s="2950"/>
      <c r="SFA23" s="2950"/>
      <c r="SFB23" s="2950"/>
      <c r="SFC23" s="2950"/>
      <c r="SFD23" s="2950"/>
      <c r="SFE23" s="2950"/>
      <c r="SFF23" s="2950"/>
      <c r="SFG23" s="2950"/>
      <c r="SFH23" s="2950"/>
      <c r="SFI23" s="2950"/>
      <c r="SFJ23" s="2950"/>
      <c r="SFK23" s="2950"/>
      <c r="SFL23" s="2950"/>
      <c r="SFM23" s="2950"/>
      <c r="SFN23" s="2950"/>
      <c r="SFO23" s="2950"/>
      <c r="SFP23" s="2950"/>
      <c r="SFQ23" s="2950"/>
      <c r="SFR23" s="2950"/>
      <c r="SFS23" s="2950"/>
      <c r="SFT23" s="2950"/>
      <c r="SFU23" s="2950"/>
      <c r="SFV23" s="2950"/>
      <c r="SFW23" s="2950"/>
      <c r="SFX23" s="2950"/>
      <c r="SFY23" s="2950"/>
      <c r="SFZ23" s="2950"/>
      <c r="SGA23" s="2950"/>
      <c r="SGB23" s="2950"/>
      <c r="SGC23" s="2950"/>
      <c r="SGD23" s="2950"/>
      <c r="SGE23" s="2950"/>
      <c r="SGF23" s="2950"/>
      <c r="SGG23" s="2950"/>
      <c r="SGH23" s="2950"/>
      <c r="SGI23" s="2950"/>
      <c r="SGJ23" s="2950"/>
      <c r="SGK23" s="2950"/>
      <c r="SGL23" s="2950"/>
      <c r="SGM23" s="2950"/>
      <c r="SGN23" s="2950"/>
      <c r="SGO23" s="2950"/>
      <c r="SGP23" s="2950"/>
      <c r="SGQ23" s="2950"/>
      <c r="SGR23" s="2950"/>
      <c r="SGS23" s="2950"/>
      <c r="SGT23" s="2950"/>
      <c r="SGU23" s="2950"/>
      <c r="SGV23" s="2950"/>
      <c r="SGW23" s="2950"/>
      <c r="SGX23" s="2950"/>
      <c r="SGY23" s="2950"/>
      <c r="SGZ23" s="2950"/>
      <c r="SHA23" s="2950"/>
      <c r="SHB23" s="2950"/>
      <c r="SHC23" s="2950"/>
      <c r="SHD23" s="2950"/>
      <c r="SHE23" s="2950"/>
      <c r="SHF23" s="2950"/>
      <c r="SHG23" s="2950"/>
      <c r="SHH23" s="2950"/>
      <c r="SHI23" s="2950"/>
      <c r="SHJ23" s="2950"/>
      <c r="SHK23" s="2950"/>
      <c r="SHL23" s="2950"/>
      <c r="SHM23" s="2950"/>
      <c r="SHN23" s="2950"/>
      <c r="SHO23" s="2950"/>
      <c r="SHP23" s="2950"/>
      <c r="SHQ23" s="2950"/>
      <c r="SHR23" s="2950"/>
      <c r="SHS23" s="2950"/>
      <c r="SHT23" s="2950"/>
      <c r="SHU23" s="2950"/>
      <c r="SHV23" s="2950"/>
      <c r="SHW23" s="2950"/>
      <c r="SHX23" s="2950"/>
      <c r="SHY23" s="2950"/>
      <c r="SHZ23" s="2950"/>
      <c r="SIA23" s="2950"/>
      <c r="SIB23" s="2950"/>
      <c r="SIC23" s="2950"/>
      <c r="SID23" s="2950"/>
      <c r="SIE23" s="2950"/>
      <c r="SIF23" s="2950"/>
      <c r="SIG23" s="2950"/>
      <c r="SIH23" s="2950"/>
      <c r="SII23" s="2950"/>
      <c r="SIJ23" s="2950"/>
      <c r="SIK23" s="2950"/>
      <c r="SIL23" s="2950"/>
      <c r="SIM23" s="2950"/>
      <c r="SIN23" s="2950"/>
      <c r="SIO23" s="2950"/>
      <c r="SIP23" s="2950"/>
      <c r="SIQ23" s="2950"/>
      <c r="SIR23" s="2950"/>
      <c r="SIS23" s="2950"/>
      <c r="SIT23" s="2950"/>
      <c r="SIU23" s="2950"/>
      <c r="SIV23" s="2950"/>
      <c r="SIW23" s="2950"/>
      <c r="SIX23" s="2950"/>
      <c r="SIY23" s="2950"/>
      <c r="SIZ23" s="2950"/>
      <c r="SJA23" s="2950"/>
      <c r="SJB23" s="2950"/>
      <c r="SJC23" s="2950"/>
      <c r="SJD23" s="2950"/>
      <c r="SJE23" s="2950"/>
      <c r="SJF23" s="2950"/>
      <c r="SJG23" s="2950"/>
      <c r="SJH23" s="2950"/>
      <c r="SJI23" s="2950"/>
      <c r="SJJ23" s="2950"/>
      <c r="SJK23" s="2950"/>
      <c r="SJL23" s="2950"/>
      <c r="SJM23" s="2950"/>
      <c r="SJN23" s="2950"/>
      <c r="SJO23" s="2950"/>
      <c r="SJP23" s="2950"/>
      <c r="SJQ23" s="2950"/>
      <c r="SJR23" s="2950"/>
      <c r="SJS23" s="2950"/>
      <c r="SJT23" s="2950"/>
      <c r="SJU23" s="2950"/>
      <c r="SJV23" s="2950"/>
      <c r="SJW23" s="2950"/>
      <c r="SJX23" s="2950"/>
      <c r="SJY23" s="2950"/>
      <c r="SJZ23" s="2950"/>
      <c r="SKA23" s="2950"/>
      <c r="SKB23" s="2950"/>
      <c r="SKC23" s="2950"/>
      <c r="SKD23" s="2950"/>
      <c r="SKE23" s="2950"/>
      <c r="SKF23" s="2950"/>
      <c r="SKG23" s="2950"/>
      <c r="SKH23" s="2950"/>
      <c r="SKI23" s="2950"/>
      <c r="SKJ23" s="2950"/>
      <c r="SKK23" s="2950"/>
      <c r="SKL23" s="2950"/>
      <c r="SKM23" s="2950"/>
      <c r="SKN23" s="2950"/>
      <c r="SKO23" s="2950"/>
      <c r="SKP23" s="2950"/>
      <c r="SKQ23" s="2950"/>
      <c r="SKR23" s="2950"/>
      <c r="SKS23" s="2950"/>
      <c r="SKT23" s="2950"/>
      <c r="SKU23" s="2950"/>
      <c r="SKV23" s="2950"/>
      <c r="SKW23" s="2950"/>
      <c r="SKX23" s="2950"/>
      <c r="SKY23" s="2950"/>
      <c r="SKZ23" s="2950"/>
      <c r="SLA23" s="2950"/>
      <c r="SLB23" s="2950"/>
      <c r="SLC23" s="2950"/>
      <c r="SLD23" s="2950"/>
      <c r="SLE23" s="2950"/>
      <c r="SLF23" s="2950"/>
      <c r="SLG23" s="2950"/>
      <c r="SLH23" s="2950"/>
      <c r="SLI23" s="2950"/>
      <c r="SLJ23" s="2950"/>
      <c r="SLK23" s="2950"/>
      <c r="SLL23" s="2950"/>
      <c r="SLM23" s="2950"/>
      <c r="SLN23" s="2950"/>
      <c r="SLO23" s="2950"/>
      <c r="SLP23" s="2950"/>
      <c r="SLQ23" s="2950"/>
      <c r="SLR23" s="2950"/>
      <c r="SLS23" s="2950"/>
      <c r="SLT23" s="2950"/>
      <c r="SLU23" s="2950"/>
      <c r="SLV23" s="2950"/>
      <c r="SLW23" s="2950"/>
      <c r="SLX23" s="2950"/>
      <c r="SLY23" s="2950"/>
      <c r="SLZ23" s="2950"/>
      <c r="SMA23" s="2950"/>
      <c r="SMB23" s="2950"/>
      <c r="SMC23" s="2950"/>
      <c r="SMD23" s="2950"/>
      <c r="SME23" s="2950"/>
      <c r="SMF23" s="2950"/>
      <c r="SMG23" s="2950"/>
      <c r="SMH23" s="2950"/>
      <c r="SMI23" s="2950"/>
      <c r="SMJ23" s="2950"/>
      <c r="SMK23" s="2950"/>
      <c r="SML23" s="2950"/>
      <c r="SMM23" s="2950"/>
      <c r="SMN23" s="2950"/>
      <c r="SMO23" s="2950"/>
      <c r="SMP23" s="2950"/>
      <c r="SMQ23" s="2950"/>
      <c r="SMR23" s="2950"/>
      <c r="SMS23" s="2950"/>
      <c r="SMT23" s="2950"/>
      <c r="SMU23" s="2950"/>
      <c r="SMV23" s="2950"/>
      <c r="SMW23" s="2950"/>
      <c r="SMX23" s="2950"/>
      <c r="SMY23" s="2950"/>
      <c r="SMZ23" s="2950"/>
      <c r="SNA23" s="2950"/>
      <c r="SNB23" s="2950"/>
      <c r="SNC23" s="2950"/>
      <c r="SND23" s="2950"/>
      <c r="SNE23" s="2950"/>
      <c r="SNF23" s="2950"/>
      <c r="SNG23" s="2950"/>
      <c r="SNH23" s="2950"/>
      <c r="SNI23" s="2950"/>
      <c r="SNJ23" s="2950"/>
      <c r="SNK23" s="2950"/>
      <c r="SNL23" s="2950"/>
      <c r="SNM23" s="2950"/>
      <c r="SNN23" s="2950"/>
      <c r="SNO23" s="2950"/>
      <c r="SNP23" s="2950"/>
      <c r="SNQ23" s="2950"/>
      <c r="SNR23" s="2950"/>
      <c r="SNS23" s="2950"/>
      <c r="SNT23" s="2950"/>
      <c r="SNU23" s="2950"/>
      <c r="SNV23" s="2950"/>
      <c r="SNW23" s="2950"/>
      <c r="SNX23" s="2950"/>
      <c r="SNY23" s="2950"/>
      <c r="SNZ23" s="2950"/>
      <c r="SOA23" s="2950"/>
      <c r="SOB23" s="2950"/>
      <c r="SOC23" s="2950"/>
      <c r="SOD23" s="2950"/>
      <c r="SOE23" s="2950"/>
      <c r="SOF23" s="2950"/>
      <c r="SOG23" s="2950"/>
      <c r="SOH23" s="2950"/>
      <c r="SOI23" s="2950"/>
      <c r="SOJ23" s="2950"/>
      <c r="SOK23" s="2950"/>
      <c r="SOL23" s="2950"/>
      <c r="SOM23" s="2950"/>
      <c r="SON23" s="2950"/>
      <c r="SOO23" s="2950"/>
      <c r="SOP23" s="2950"/>
      <c r="SOQ23" s="2950"/>
      <c r="SOR23" s="2950"/>
      <c r="SOS23" s="2950"/>
      <c r="SOT23" s="2950"/>
      <c r="SOU23" s="2950"/>
      <c r="SOV23" s="2950"/>
      <c r="SOW23" s="2950"/>
      <c r="SOX23" s="2950"/>
      <c r="SOY23" s="2950"/>
      <c r="SOZ23" s="2950"/>
      <c r="SPA23" s="2950"/>
      <c r="SPB23" s="2950"/>
      <c r="SPC23" s="2950"/>
      <c r="SPD23" s="2950"/>
      <c r="SPE23" s="2950"/>
      <c r="SPF23" s="2950"/>
      <c r="SPG23" s="2950"/>
      <c r="SPH23" s="2950"/>
      <c r="SPI23" s="2950"/>
      <c r="SPJ23" s="2950"/>
      <c r="SPK23" s="2950"/>
      <c r="SPL23" s="2950"/>
      <c r="SPM23" s="2950"/>
      <c r="SPN23" s="2950"/>
      <c r="SPO23" s="2950"/>
      <c r="SPP23" s="2950"/>
      <c r="SPQ23" s="2950"/>
      <c r="SPR23" s="2950"/>
      <c r="SPS23" s="2950"/>
      <c r="SPT23" s="2950"/>
      <c r="SPU23" s="2950"/>
      <c r="SPV23" s="2950"/>
      <c r="SPW23" s="2950"/>
      <c r="SPX23" s="2950"/>
      <c r="SPY23" s="2950"/>
      <c r="SPZ23" s="2950"/>
      <c r="SQA23" s="2950"/>
      <c r="SQB23" s="2950"/>
      <c r="SQC23" s="2950"/>
      <c r="SQD23" s="2950"/>
      <c r="SQE23" s="2950"/>
      <c r="SQF23" s="2950"/>
      <c r="SQG23" s="2950"/>
      <c r="SQH23" s="2950"/>
      <c r="SQI23" s="2950"/>
      <c r="SQJ23" s="2950"/>
      <c r="SQK23" s="2950"/>
      <c r="SQL23" s="2950"/>
      <c r="SQM23" s="2950"/>
      <c r="SQN23" s="2950"/>
      <c r="SQO23" s="2950"/>
      <c r="SQP23" s="2950"/>
      <c r="SQQ23" s="2950"/>
      <c r="SQR23" s="2950"/>
      <c r="SQS23" s="2950"/>
      <c r="SQT23" s="2950"/>
      <c r="SQU23" s="2950"/>
      <c r="SQV23" s="2950"/>
      <c r="SQW23" s="2950"/>
      <c r="SQX23" s="2950"/>
      <c r="SQY23" s="2950"/>
      <c r="SQZ23" s="2950"/>
      <c r="SRA23" s="2950"/>
      <c r="SRB23" s="2950"/>
      <c r="SRC23" s="2950"/>
      <c r="SRD23" s="2950"/>
      <c r="SRE23" s="2950"/>
      <c r="SRF23" s="2950"/>
      <c r="SRG23" s="2950"/>
      <c r="SRH23" s="2950"/>
      <c r="SRI23" s="2950"/>
      <c r="SRJ23" s="2950"/>
      <c r="SRK23" s="2950"/>
      <c r="SRL23" s="2950"/>
      <c r="SRM23" s="2950"/>
      <c r="SRN23" s="2950"/>
      <c r="SRO23" s="2950"/>
      <c r="SRP23" s="2950"/>
      <c r="SRQ23" s="2950"/>
      <c r="SRR23" s="2950"/>
      <c r="SRS23" s="2950"/>
      <c r="SRT23" s="2950"/>
      <c r="SRU23" s="2950"/>
      <c r="SRV23" s="2950"/>
      <c r="SRW23" s="2950"/>
      <c r="SRX23" s="2950"/>
      <c r="SRY23" s="2950"/>
      <c r="SRZ23" s="2950"/>
      <c r="SSA23" s="2950"/>
      <c r="SSB23" s="2950"/>
      <c r="SSC23" s="2950"/>
      <c r="SSD23" s="2950"/>
      <c r="SSE23" s="2950"/>
      <c r="SSF23" s="2950"/>
      <c r="SSG23" s="2950"/>
      <c r="SSH23" s="2950"/>
      <c r="SSI23" s="2950"/>
      <c r="SSJ23" s="2950"/>
      <c r="SSK23" s="2950"/>
      <c r="SSL23" s="2950"/>
      <c r="SSM23" s="2950"/>
      <c r="SSN23" s="2950"/>
      <c r="SSO23" s="2950"/>
      <c r="SSP23" s="2950"/>
      <c r="SSQ23" s="2950"/>
      <c r="SSR23" s="2950"/>
      <c r="SSS23" s="2950"/>
      <c r="SST23" s="2950"/>
      <c r="SSU23" s="2950"/>
      <c r="SSV23" s="2950"/>
      <c r="SSW23" s="2950"/>
      <c r="SSX23" s="2950"/>
      <c r="SSY23" s="2950"/>
      <c r="SSZ23" s="2950"/>
      <c r="STA23" s="2950"/>
      <c r="STB23" s="2950"/>
      <c r="STC23" s="2950"/>
      <c r="STD23" s="2950"/>
      <c r="STE23" s="2950"/>
      <c r="STF23" s="2950"/>
      <c r="STG23" s="2950"/>
      <c r="STH23" s="2950"/>
      <c r="STI23" s="2950"/>
      <c r="STJ23" s="2950"/>
      <c r="STK23" s="2950"/>
      <c r="STL23" s="2950"/>
      <c r="STM23" s="2950"/>
      <c r="STN23" s="2950"/>
      <c r="STO23" s="2950"/>
      <c r="STP23" s="2950"/>
      <c r="STQ23" s="2950"/>
      <c r="STR23" s="2950"/>
      <c r="STS23" s="2950"/>
      <c r="STT23" s="2950"/>
      <c r="STU23" s="2950"/>
      <c r="STV23" s="2950"/>
      <c r="STW23" s="2950"/>
      <c r="STX23" s="2950"/>
      <c r="STY23" s="2950"/>
      <c r="STZ23" s="2950"/>
      <c r="SUA23" s="2950"/>
      <c r="SUB23" s="2950"/>
      <c r="SUC23" s="2950"/>
      <c r="SUD23" s="2950"/>
      <c r="SUE23" s="2950"/>
      <c r="SUF23" s="2950"/>
      <c r="SUG23" s="2950"/>
      <c r="SUH23" s="2950"/>
      <c r="SUI23" s="2950"/>
      <c r="SUJ23" s="2950"/>
      <c r="SUK23" s="2950"/>
      <c r="SUL23" s="2950"/>
      <c r="SUM23" s="2950"/>
      <c r="SUN23" s="2950"/>
      <c r="SUO23" s="2950"/>
      <c r="SUP23" s="2950"/>
      <c r="SUQ23" s="2950"/>
      <c r="SUR23" s="2950"/>
      <c r="SUS23" s="2950"/>
      <c r="SUT23" s="2950"/>
      <c r="SUU23" s="2950"/>
      <c r="SUV23" s="2950"/>
      <c r="SUW23" s="2950"/>
      <c r="SUX23" s="2950"/>
      <c r="SUY23" s="2950"/>
      <c r="SUZ23" s="2950"/>
      <c r="SVA23" s="2950"/>
      <c r="SVB23" s="2950"/>
      <c r="SVC23" s="2950"/>
      <c r="SVD23" s="2950"/>
      <c r="SVE23" s="2950"/>
      <c r="SVF23" s="2950"/>
      <c r="SVG23" s="2950"/>
      <c r="SVH23" s="2950"/>
      <c r="SVI23" s="2950"/>
      <c r="SVJ23" s="2950"/>
      <c r="SVK23" s="2950"/>
      <c r="SVL23" s="2950"/>
      <c r="SVM23" s="2950"/>
      <c r="SVN23" s="2950"/>
      <c r="SVO23" s="2950"/>
      <c r="SVP23" s="2950"/>
      <c r="SVQ23" s="2950"/>
      <c r="SVR23" s="2950"/>
      <c r="SVS23" s="2950"/>
      <c r="SVT23" s="2950"/>
      <c r="SVU23" s="2950"/>
      <c r="SVV23" s="2950"/>
      <c r="SVW23" s="2950"/>
      <c r="SVX23" s="2950"/>
      <c r="SVY23" s="2950"/>
      <c r="SVZ23" s="2950"/>
      <c r="SWA23" s="2950"/>
      <c r="SWB23" s="2950"/>
      <c r="SWC23" s="2950"/>
      <c r="SWD23" s="2950"/>
      <c r="SWE23" s="2950"/>
      <c r="SWF23" s="2950"/>
      <c r="SWG23" s="2950"/>
      <c r="SWH23" s="2950"/>
      <c r="SWI23" s="2950"/>
      <c r="SWJ23" s="2950"/>
      <c r="SWK23" s="2950"/>
      <c r="SWL23" s="2950"/>
      <c r="SWM23" s="2950"/>
      <c r="SWN23" s="2950"/>
      <c r="SWO23" s="2950"/>
      <c r="SWP23" s="2950"/>
      <c r="SWQ23" s="2950"/>
      <c r="SWR23" s="2950"/>
      <c r="SWS23" s="2950"/>
      <c r="SWT23" s="2950"/>
      <c r="SWU23" s="2950"/>
      <c r="SWV23" s="2950"/>
      <c r="SWW23" s="2950"/>
      <c r="SWX23" s="2950"/>
      <c r="SWY23" s="2950"/>
      <c r="SWZ23" s="2950"/>
      <c r="SXA23" s="2950"/>
      <c r="SXB23" s="2950"/>
      <c r="SXC23" s="2950"/>
      <c r="SXD23" s="2950"/>
      <c r="SXE23" s="2950"/>
      <c r="SXF23" s="2950"/>
      <c r="SXG23" s="2950"/>
      <c r="SXH23" s="2950"/>
      <c r="SXI23" s="2950"/>
      <c r="SXJ23" s="2950"/>
      <c r="SXK23" s="2950"/>
      <c r="SXL23" s="2950"/>
      <c r="SXM23" s="2950"/>
      <c r="SXN23" s="2950"/>
      <c r="SXO23" s="2950"/>
      <c r="SXP23" s="2950"/>
      <c r="SXQ23" s="2950"/>
      <c r="SXR23" s="2950"/>
      <c r="SXS23" s="2950"/>
      <c r="SXT23" s="2950"/>
      <c r="SXU23" s="2950"/>
      <c r="SXV23" s="2950"/>
      <c r="SXW23" s="2950"/>
      <c r="SXX23" s="2950"/>
      <c r="SXY23" s="2950"/>
      <c r="SXZ23" s="2950"/>
      <c r="SYA23" s="2950"/>
      <c r="SYB23" s="2950"/>
      <c r="SYC23" s="2950"/>
      <c r="SYD23" s="2950"/>
      <c r="SYE23" s="2950"/>
      <c r="SYF23" s="2950"/>
      <c r="SYG23" s="2950"/>
      <c r="SYH23" s="2950"/>
      <c r="SYI23" s="2950"/>
      <c r="SYJ23" s="2950"/>
      <c r="SYK23" s="2950"/>
      <c r="SYL23" s="2950"/>
      <c r="SYM23" s="2950"/>
      <c r="SYN23" s="2950"/>
      <c r="SYO23" s="2950"/>
      <c r="SYP23" s="2950"/>
      <c r="SYQ23" s="2950"/>
      <c r="SYR23" s="2950"/>
      <c r="SYS23" s="2950"/>
      <c r="SYT23" s="2950"/>
      <c r="SYU23" s="2950"/>
      <c r="SYV23" s="2950"/>
      <c r="SYW23" s="2950"/>
      <c r="SYX23" s="2950"/>
      <c r="SYY23" s="2950"/>
      <c r="SYZ23" s="2950"/>
      <c r="SZA23" s="2950"/>
      <c r="SZB23" s="2950"/>
      <c r="SZC23" s="2950"/>
      <c r="SZD23" s="2950"/>
      <c r="SZE23" s="2950"/>
      <c r="SZF23" s="2950"/>
      <c r="SZG23" s="2950"/>
      <c r="SZH23" s="2950"/>
      <c r="SZI23" s="2950"/>
      <c r="SZJ23" s="2950"/>
      <c r="SZK23" s="2950"/>
      <c r="SZL23" s="2950"/>
      <c r="SZM23" s="2950"/>
      <c r="SZN23" s="2950"/>
      <c r="SZO23" s="2950"/>
      <c r="SZP23" s="2950"/>
      <c r="SZQ23" s="2950"/>
      <c r="SZR23" s="2950"/>
      <c r="SZS23" s="2950"/>
      <c r="SZT23" s="2950"/>
      <c r="SZU23" s="2950"/>
      <c r="SZV23" s="2950"/>
      <c r="SZW23" s="2950"/>
      <c r="SZX23" s="2950"/>
      <c r="SZY23" s="2950"/>
      <c r="SZZ23" s="2950"/>
      <c r="TAA23" s="2950"/>
      <c r="TAB23" s="2950"/>
      <c r="TAC23" s="2950"/>
      <c r="TAD23" s="2950"/>
      <c r="TAE23" s="2950"/>
      <c r="TAF23" s="2950"/>
      <c r="TAG23" s="2950"/>
      <c r="TAH23" s="2950"/>
      <c r="TAI23" s="2950"/>
      <c r="TAJ23" s="2950"/>
      <c r="TAK23" s="2950"/>
      <c r="TAL23" s="2950"/>
      <c r="TAM23" s="2950"/>
      <c r="TAN23" s="2950"/>
      <c r="TAO23" s="2950"/>
      <c r="TAP23" s="2950"/>
      <c r="TAQ23" s="2950"/>
      <c r="TAR23" s="2950"/>
      <c r="TAS23" s="2950"/>
      <c r="TAT23" s="2950"/>
      <c r="TAU23" s="2950"/>
      <c r="TAV23" s="2950"/>
      <c r="TAW23" s="2950"/>
      <c r="TAX23" s="2950"/>
      <c r="TAY23" s="2950"/>
      <c r="TAZ23" s="2950"/>
      <c r="TBA23" s="2950"/>
      <c r="TBB23" s="2950"/>
      <c r="TBC23" s="2950"/>
      <c r="TBD23" s="2950"/>
      <c r="TBE23" s="2950"/>
      <c r="TBF23" s="2950"/>
      <c r="TBG23" s="2950"/>
      <c r="TBH23" s="2950"/>
      <c r="TBI23" s="2950"/>
      <c r="TBJ23" s="2950"/>
      <c r="TBK23" s="2950"/>
      <c r="TBL23" s="2950"/>
      <c r="TBM23" s="2950"/>
      <c r="TBN23" s="2950"/>
      <c r="TBO23" s="2950"/>
      <c r="TBP23" s="2950"/>
      <c r="TBQ23" s="2950"/>
      <c r="TBR23" s="2950"/>
      <c r="TBS23" s="2950"/>
      <c r="TBT23" s="2950"/>
      <c r="TBU23" s="2950"/>
      <c r="TBV23" s="2950"/>
      <c r="TBW23" s="2950"/>
      <c r="TBX23" s="2950"/>
      <c r="TBY23" s="2950"/>
      <c r="TBZ23" s="2950"/>
      <c r="TCA23" s="2950"/>
      <c r="TCB23" s="2950"/>
      <c r="TCC23" s="2950"/>
      <c r="TCD23" s="2950"/>
      <c r="TCE23" s="2950"/>
      <c r="TCF23" s="2950"/>
      <c r="TCG23" s="2950"/>
      <c r="TCH23" s="2950"/>
      <c r="TCI23" s="2950"/>
      <c r="TCJ23" s="2950"/>
      <c r="TCK23" s="2950"/>
      <c r="TCL23" s="2950"/>
      <c r="TCM23" s="2950"/>
      <c r="TCN23" s="2950"/>
      <c r="TCO23" s="2950"/>
      <c r="TCP23" s="2950"/>
      <c r="TCQ23" s="2950"/>
      <c r="TCR23" s="2950"/>
      <c r="TCS23" s="2950"/>
      <c r="TCT23" s="2950"/>
      <c r="TCU23" s="2950"/>
      <c r="TCV23" s="2950"/>
      <c r="TCW23" s="2950"/>
      <c r="TCX23" s="2950"/>
      <c r="TCY23" s="2950"/>
      <c r="TCZ23" s="2950"/>
      <c r="TDA23" s="2950"/>
      <c r="TDB23" s="2950"/>
      <c r="TDC23" s="2950"/>
      <c r="TDD23" s="2950"/>
      <c r="TDE23" s="2950"/>
      <c r="TDF23" s="2950"/>
      <c r="TDG23" s="2950"/>
      <c r="TDH23" s="2950"/>
      <c r="TDI23" s="2950"/>
      <c r="TDJ23" s="2950"/>
      <c r="TDK23" s="2950"/>
      <c r="TDL23" s="2950"/>
      <c r="TDM23" s="2950"/>
      <c r="TDN23" s="2950"/>
      <c r="TDO23" s="2950"/>
      <c r="TDP23" s="2950"/>
      <c r="TDQ23" s="2950"/>
      <c r="TDR23" s="2950"/>
      <c r="TDS23" s="2950"/>
      <c r="TDT23" s="2950"/>
      <c r="TDU23" s="2950"/>
      <c r="TDV23" s="2950"/>
      <c r="TDW23" s="2950"/>
      <c r="TDX23" s="2950"/>
      <c r="TDY23" s="2950"/>
      <c r="TDZ23" s="2950"/>
      <c r="TEA23" s="2950"/>
      <c r="TEB23" s="2950"/>
      <c r="TEC23" s="2950"/>
      <c r="TED23" s="2950"/>
      <c r="TEE23" s="2950"/>
      <c r="TEF23" s="2950"/>
      <c r="TEG23" s="2950"/>
      <c r="TEH23" s="2950"/>
      <c r="TEI23" s="2950"/>
      <c r="TEJ23" s="2950"/>
      <c r="TEK23" s="2950"/>
      <c r="TEL23" s="2950"/>
      <c r="TEM23" s="2950"/>
      <c r="TEN23" s="2950"/>
      <c r="TEO23" s="2950"/>
      <c r="TEP23" s="2950"/>
      <c r="TEQ23" s="2950"/>
      <c r="TER23" s="2950"/>
      <c r="TES23" s="2950"/>
      <c r="TET23" s="2950"/>
      <c r="TEU23" s="2950"/>
      <c r="TEV23" s="2950"/>
      <c r="TEW23" s="2950"/>
      <c r="TEX23" s="2950"/>
      <c r="TEY23" s="2950"/>
      <c r="TEZ23" s="2950"/>
      <c r="TFA23" s="2950"/>
      <c r="TFB23" s="2950"/>
      <c r="TFC23" s="2950"/>
      <c r="TFD23" s="2950"/>
      <c r="TFE23" s="2950"/>
      <c r="TFF23" s="2950"/>
      <c r="TFG23" s="2950"/>
      <c r="TFH23" s="2950"/>
      <c r="TFI23" s="2950"/>
      <c r="TFJ23" s="2950"/>
      <c r="TFK23" s="2950"/>
      <c r="TFL23" s="2950"/>
      <c r="TFM23" s="2950"/>
      <c r="TFN23" s="2950"/>
      <c r="TFO23" s="2950"/>
      <c r="TFP23" s="2950"/>
      <c r="TFQ23" s="2950"/>
      <c r="TFR23" s="2950"/>
      <c r="TFS23" s="2950"/>
      <c r="TFT23" s="2950"/>
      <c r="TFU23" s="2950"/>
      <c r="TFV23" s="2950"/>
      <c r="TFW23" s="2950"/>
      <c r="TFX23" s="2950"/>
      <c r="TFY23" s="2950"/>
      <c r="TFZ23" s="2950"/>
      <c r="TGA23" s="2950"/>
      <c r="TGB23" s="2950"/>
      <c r="TGC23" s="2950"/>
      <c r="TGD23" s="2950"/>
      <c r="TGE23" s="2950"/>
      <c r="TGF23" s="2950"/>
      <c r="TGG23" s="2950"/>
      <c r="TGH23" s="2950"/>
      <c r="TGI23" s="2950"/>
      <c r="TGJ23" s="2950"/>
      <c r="TGK23" s="2950"/>
      <c r="TGL23" s="2950"/>
      <c r="TGM23" s="2950"/>
      <c r="TGN23" s="2950"/>
      <c r="TGO23" s="2950"/>
      <c r="TGP23" s="2950"/>
      <c r="TGQ23" s="2950"/>
      <c r="TGR23" s="2950"/>
      <c r="TGS23" s="2950"/>
      <c r="TGT23" s="2950"/>
      <c r="TGU23" s="2950"/>
      <c r="TGV23" s="2950"/>
      <c r="TGW23" s="2950"/>
      <c r="TGX23" s="2950"/>
      <c r="TGY23" s="2950"/>
      <c r="TGZ23" s="2950"/>
      <c r="THA23" s="2950"/>
      <c r="THB23" s="2950"/>
      <c r="THC23" s="2950"/>
      <c r="THD23" s="2950"/>
      <c r="THE23" s="2950"/>
      <c r="THF23" s="2950"/>
      <c r="THG23" s="2950"/>
      <c r="THH23" s="2950"/>
      <c r="THI23" s="2950"/>
      <c r="THJ23" s="2950"/>
      <c r="THK23" s="2950"/>
      <c r="THL23" s="2950"/>
      <c r="THM23" s="2950"/>
      <c r="THN23" s="2950"/>
      <c r="THO23" s="2950"/>
      <c r="THP23" s="2950"/>
      <c r="THQ23" s="2950"/>
      <c r="THR23" s="2950"/>
      <c r="THS23" s="2950"/>
      <c r="THT23" s="2950"/>
      <c r="THU23" s="2950"/>
      <c r="THV23" s="2950"/>
      <c r="THW23" s="2950"/>
      <c r="THX23" s="2950"/>
      <c r="THY23" s="2950"/>
      <c r="THZ23" s="2950"/>
      <c r="TIA23" s="2950"/>
      <c r="TIB23" s="2950"/>
      <c r="TIC23" s="2950"/>
      <c r="TID23" s="2950"/>
      <c r="TIE23" s="2950"/>
      <c r="TIF23" s="2950"/>
      <c r="TIG23" s="2950"/>
      <c r="TIH23" s="2950"/>
      <c r="TII23" s="2950"/>
      <c r="TIJ23" s="2950"/>
      <c r="TIK23" s="2950"/>
      <c r="TIL23" s="2950"/>
      <c r="TIM23" s="2950"/>
      <c r="TIN23" s="2950"/>
      <c r="TIO23" s="2950"/>
      <c r="TIP23" s="2950"/>
      <c r="TIQ23" s="2950"/>
      <c r="TIR23" s="2950"/>
      <c r="TIS23" s="2950"/>
      <c r="TIT23" s="2950"/>
      <c r="TIU23" s="2950"/>
      <c r="TIV23" s="2950"/>
      <c r="TIW23" s="2950"/>
      <c r="TIX23" s="2950"/>
      <c r="TIY23" s="2950"/>
      <c r="TIZ23" s="2950"/>
      <c r="TJA23" s="2950"/>
      <c r="TJB23" s="2950"/>
      <c r="TJC23" s="2950"/>
      <c r="TJD23" s="2950"/>
      <c r="TJE23" s="2950"/>
      <c r="TJF23" s="2950"/>
      <c r="TJG23" s="2950"/>
      <c r="TJH23" s="2950"/>
      <c r="TJI23" s="2950"/>
      <c r="TJJ23" s="2950"/>
      <c r="TJK23" s="2950"/>
      <c r="TJL23" s="2950"/>
      <c r="TJM23" s="2950"/>
      <c r="TJN23" s="2950"/>
      <c r="TJO23" s="2950"/>
      <c r="TJP23" s="2950"/>
      <c r="TJQ23" s="2950"/>
      <c r="TJR23" s="2950"/>
      <c r="TJS23" s="2950"/>
      <c r="TJT23" s="2950"/>
      <c r="TJU23" s="2950"/>
      <c r="TJV23" s="2950"/>
      <c r="TJW23" s="2950"/>
      <c r="TJX23" s="2950"/>
      <c r="TJY23" s="2950"/>
      <c r="TJZ23" s="2950"/>
      <c r="TKA23" s="2950"/>
      <c r="TKB23" s="2950"/>
      <c r="TKC23" s="2950"/>
      <c r="TKD23" s="2950"/>
      <c r="TKE23" s="2950"/>
      <c r="TKF23" s="2950"/>
      <c r="TKG23" s="2950"/>
      <c r="TKH23" s="2950"/>
      <c r="TKI23" s="2950"/>
      <c r="TKJ23" s="2950"/>
      <c r="TKK23" s="2950"/>
      <c r="TKL23" s="2950"/>
      <c r="TKM23" s="2950"/>
      <c r="TKN23" s="2950"/>
      <c r="TKO23" s="2950"/>
      <c r="TKP23" s="2950"/>
      <c r="TKQ23" s="2950"/>
      <c r="TKR23" s="2950"/>
      <c r="TKS23" s="2950"/>
      <c r="TKT23" s="2950"/>
      <c r="TKU23" s="2950"/>
      <c r="TKV23" s="2950"/>
      <c r="TKW23" s="2950"/>
      <c r="TKX23" s="2950"/>
      <c r="TKY23" s="2950"/>
      <c r="TKZ23" s="2950"/>
      <c r="TLA23" s="2950"/>
      <c r="TLB23" s="2950"/>
      <c r="TLC23" s="2950"/>
      <c r="TLD23" s="2950"/>
      <c r="TLE23" s="2950"/>
      <c r="TLF23" s="2950"/>
      <c r="TLG23" s="2950"/>
      <c r="TLH23" s="2950"/>
      <c r="TLI23" s="2950"/>
      <c r="TLJ23" s="2950"/>
      <c r="TLK23" s="2950"/>
      <c r="TLL23" s="2950"/>
      <c r="TLM23" s="2950"/>
      <c r="TLN23" s="2950"/>
      <c r="TLO23" s="2950"/>
      <c r="TLP23" s="2950"/>
      <c r="TLQ23" s="2950"/>
      <c r="TLR23" s="2950"/>
      <c r="TLS23" s="2950"/>
      <c r="TLT23" s="2950"/>
      <c r="TLU23" s="2950"/>
      <c r="TLV23" s="2950"/>
      <c r="TLW23" s="2950"/>
      <c r="TLX23" s="2950"/>
      <c r="TLY23" s="2950"/>
      <c r="TLZ23" s="2950"/>
      <c r="TMA23" s="2950"/>
      <c r="TMB23" s="2950"/>
      <c r="TMC23" s="2950"/>
      <c r="TMD23" s="2950"/>
      <c r="TME23" s="2950"/>
      <c r="TMF23" s="2950"/>
      <c r="TMG23" s="2950"/>
      <c r="TMH23" s="2950"/>
      <c r="TMI23" s="2950"/>
      <c r="TMJ23" s="2950"/>
      <c r="TMK23" s="2950"/>
      <c r="TML23" s="2950"/>
      <c r="TMM23" s="2950"/>
      <c r="TMN23" s="2950"/>
      <c r="TMO23" s="2950"/>
      <c r="TMP23" s="2950"/>
      <c r="TMQ23" s="2950"/>
      <c r="TMR23" s="2950"/>
      <c r="TMS23" s="2950"/>
      <c r="TMT23" s="2950"/>
      <c r="TMU23" s="2950"/>
      <c r="TMV23" s="2950"/>
      <c r="TMW23" s="2950"/>
      <c r="TMX23" s="2950"/>
      <c r="TMY23" s="2950"/>
      <c r="TMZ23" s="2950"/>
      <c r="TNA23" s="2950"/>
      <c r="TNB23" s="2950"/>
      <c r="TNC23" s="2950"/>
      <c r="TND23" s="2950"/>
      <c r="TNE23" s="2950"/>
      <c r="TNF23" s="2950"/>
      <c r="TNG23" s="2950"/>
      <c r="TNH23" s="2950"/>
      <c r="TNI23" s="2950"/>
      <c r="TNJ23" s="2950"/>
      <c r="TNK23" s="2950"/>
      <c r="TNL23" s="2950"/>
      <c r="TNM23" s="2950"/>
      <c r="TNN23" s="2950"/>
      <c r="TNO23" s="2950"/>
      <c r="TNP23" s="2950"/>
      <c r="TNQ23" s="2950"/>
      <c r="TNR23" s="2950"/>
      <c r="TNS23" s="2950"/>
      <c r="TNT23" s="2950"/>
      <c r="TNU23" s="2950"/>
      <c r="TNV23" s="2950"/>
      <c r="TNW23" s="2950"/>
      <c r="TNX23" s="2950"/>
      <c r="TNY23" s="2950"/>
      <c r="TNZ23" s="2950"/>
      <c r="TOA23" s="2950"/>
      <c r="TOB23" s="2950"/>
      <c r="TOC23" s="2950"/>
      <c r="TOD23" s="2950"/>
      <c r="TOE23" s="2950"/>
      <c r="TOF23" s="2950"/>
      <c r="TOG23" s="2950"/>
      <c r="TOH23" s="2950"/>
      <c r="TOI23" s="2950"/>
      <c r="TOJ23" s="2950"/>
      <c r="TOK23" s="2950"/>
      <c r="TOL23" s="2950"/>
      <c r="TOM23" s="2950"/>
      <c r="TON23" s="2950"/>
      <c r="TOO23" s="2950"/>
      <c r="TOP23" s="2950"/>
      <c r="TOQ23" s="2950"/>
      <c r="TOR23" s="2950"/>
      <c r="TOS23" s="2950"/>
      <c r="TOT23" s="2950"/>
      <c r="TOU23" s="2950"/>
      <c r="TOV23" s="2950"/>
      <c r="TOW23" s="2950"/>
      <c r="TOX23" s="2950"/>
      <c r="TOY23" s="2950"/>
      <c r="TOZ23" s="2950"/>
      <c r="TPA23" s="2950"/>
      <c r="TPB23" s="2950"/>
      <c r="TPC23" s="2950"/>
      <c r="TPD23" s="2950"/>
      <c r="TPE23" s="2950"/>
      <c r="TPF23" s="2950"/>
      <c r="TPG23" s="2950"/>
      <c r="TPH23" s="2950"/>
      <c r="TPI23" s="2950"/>
      <c r="TPJ23" s="2950"/>
      <c r="TPK23" s="2950"/>
      <c r="TPL23" s="2950"/>
      <c r="TPM23" s="2950"/>
      <c r="TPN23" s="2950"/>
      <c r="TPO23" s="2950"/>
      <c r="TPP23" s="2950"/>
      <c r="TPQ23" s="2950"/>
      <c r="TPR23" s="2950"/>
      <c r="TPS23" s="2950"/>
      <c r="TPT23" s="2950"/>
      <c r="TPU23" s="2950"/>
      <c r="TPV23" s="2950"/>
      <c r="TPW23" s="2950"/>
      <c r="TPX23" s="2950"/>
      <c r="TPY23" s="2950"/>
      <c r="TPZ23" s="2950"/>
      <c r="TQA23" s="2950"/>
      <c r="TQB23" s="2950"/>
      <c r="TQC23" s="2950"/>
      <c r="TQD23" s="2950"/>
      <c r="TQE23" s="2950"/>
      <c r="TQF23" s="2950"/>
      <c r="TQG23" s="2950"/>
      <c r="TQH23" s="2950"/>
      <c r="TQI23" s="2950"/>
      <c r="TQJ23" s="2950"/>
      <c r="TQK23" s="2950"/>
      <c r="TQL23" s="2950"/>
      <c r="TQM23" s="2950"/>
      <c r="TQN23" s="2950"/>
      <c r="TQO23" s="2950"/>
      <c r="TQP23" s="2950"/>
      <c r="TQQ23" s="2950"/>
      <c r="TQR23" s="2950"/>
      <c r="TQS23" s="2950"/>
      <c r="TQT23" s="2950"/>
      <c r="TQU23" s="2950"/>
      <c r="TQV23" s="2950"/>
      <c r="TQW23" s="2950"/>
      <c r="TQX23" s="2950"/>
      <c r="TQY23" s="2950"/>
      <c r="TQZ23" s="2950"/>
      <c r="TRA23" s="2950"/>
      <c r="TRB23" s="2950"/>
      <c r="TRC23" s="2950"/>
      <c r="TRD23" s="2950"/>
      <c r="TRE23" s="2950"/>
      <c r="TRF23" s="2950"/>
      <c r="TRG23" s="2950"/>
      <c r="TRH23" s="2950"/>
      <c r="TRI23" s="2950"/>
      <c r="TRJ23" s="2950"/>
      <c r="TRK23" s="2950"/>
      <c r="TRL23" s="2950"/>
      <c r="TRM23" s="2950"/>
      <c r="TRN23" s="2950"/>
      <c r="TRO23" s="2950"/>
      <c r="TRP23" s="2950"/>
      <c r="TRQ23" s="2950"/>
      <c r="TRR23" s="2950"/>
      <c r="TRS23" s="2950"/>
      <c r="TRT23" s="2950"/>
      <c r="TRU23" s="2950"/>
      <c r="TRV23" s="2950"/>
      <c r="TRW23" s="2950"/>
      <c r="TRX23" s="2950"/>
      <c r="TRY23" s="2950"/>
      <c r="TRZ23" s="2950"/>
      <c r="TSA23" s="2950"/>
      <c r="TSB23" s="2950"/>
      <c r="TSC23" s="2950"/>
      <c r="TSD23" s="2950"/>
      <c r="TSE23" s="2950"/>
      <c r="TSF23" s="2950"/>
      <c r="TSG23" s="2950"/>
      <c r="TSH23" s="2950"/>
      <c r="TSI23" s="2950"/>
      <c r="TSJ23" s="2950"/>
      <c r="TSK23" s="2950"/>
      <c r="TSL23" s="2950"/>
      <c r="TSM23" s="2950"/>
      <c r="TSN23" s="2950"/>
      <c r="TSO23" s="2950"/>
      <c r="TSP23" s="2950"/>
      <c r="TSQ23" s="2950"/>
      <c r="TSR23" s="2950"/>
      <c r="TSS23" s="2950"/>
      <c r="TST23" s="2950"/>
      <c r="TSU23" s="2950"/>
      <c r="TSV23" s="2950"/>
      <c r="TSW23" s="2950"/>
      <c r="TSX23" s="2950"/>
      <c r="TSY23" s="2950"/>
      <c r="TSZ23" s="2950"/>
      <c r="TTA23" s="2950"/>
      <c r="TTB23" s="2950"/>
      <c r="TTC23" s="2950"/>
      <c r="TTD23" s="2950"/>
      <c r="TTE23" s="2950"/>
      <c r="TTF23" s="2950"/>
      <c r="TTG23" s="2950"/>
      <c r="TTH23" s="2950"/>
      <c r="TTI23" s="2950"/>
      <c r="TTJ23" s="2950"/>
      <c r="TTK23" s="2950"/>
      <c r="TTL23" s="2950"/>
      <c r="TTM23" s="2950"/>
      <c r="TTN23" s="2950"/>
      <c r="TTO23" s="2950"/>
      <c r="TTP23" s="2950"/>
      <c r="TTQ23" s="2950"/>
      <c r="TTR23" s="2950"/>
      <c r="TTS23" s="2950"/>
      <c r="TTT23" s="2950"/>
      <c r="TTU23" s="2950"/>
      <c r="TTV23" s="2950"/>
      <c r="TTW23" s="2950"/>
      <c r="TTX23" s="2950"/>
      <c r="TTY23" s="2950"/>
      <c r="TTZ23" s="2950"/>
      <c r="TUA23" s="2950"/>
      <c r="TUB23" s="2950"/>
      <c r="TUC23" s="2950"/>
      <c r="TUD23" s="2950"/>
      <c r="TUE23" s="2950"/>
      <c r="TUF23" s="2950"/>
      <c r="TUG23" s="2950"/>
      <c r="TUH23" s="2950"/>
      <c r="TUI23" s="2950"/>
      <c r="TUJ23" s="2950"/>
      <c r="TUK23" s="2950"/>
      <c r="TUL23" s="2950"/>
      <c r="TUM23" s="2950"/>
      <c r="TUN23" s="2950"/>
      <c r="TUO23" s="2950"/>
      <c r="TUP23" s="2950"/>
      <c r="TUQ23" s="2950"/>
      <c r="TUR23" s="2950"/>
      <c r="TUS23" s="2950"/>
      <c r="TUT23" s="2950"/>
      <c r="TUU23" s="2950"/>
      <c r="TUV23" s="2950"/>
      <c r="TUW23" s="2950"/>
      <c r="TUX23" s="2950"/>
      <c r="TUY23" s="2950"/>
      <c r="TUZ23" s="2950"/>
      <c r="TVA23" s="2950"/>
      <c r="TVB23" s="2950"/>
      <c r="TVC23" s="2950"/>
      <c r="TVD23" s="2950"/>
      <c r="TVE23" s="2950"/>
      <c r="TVF23" s="2950"/>
      <c r="TVG23" s="2950"/>
      <c r="TVH23" s="2950"/>
      <c r="TVI23" s="2950"/>
      <c r="TVJ23" s="2950"/>
      <c r="TVK23" s="2950"/>
      <c r="TVL23" s="2950"/>
      <c r="TVM23" s="2950"/>
      <c r="TVN23" s="2950"/>
      <c r="TVO23" s="2950"/>
      <c r="TVP23" s="2950"/>
      <c r="TVQ23" s="2950"/>
      <c r="TVR23" s="2950"/>
      <c r="TVS23" s="2950"/>
      <c r="TVT23" s="2950"/>
      <c r="TVU23" s="2950"/>
      <c r="TVV23" s="2950"/>
      <c r="TVW23" s="2950"/>
      <c r="TVX23" s="2950"/>
      <c r="TVY23" s="2950"/>
      <c r="TVZ23" s="2950"/>
      <c r="TWA23" s="2950"/>
      <c r="TWB23" s="2950"/>
      <c r="TWC23" s="2950"/>
      <c r="TWD23" s="2950"/>
      <c r="TWE23" s="2950"/>
      <c r="TWF23" s="2950"/>
      <c r="TWG23" s="2950"/>
      <c r="TWH23" s="2950"/>
      <c r="TWI23" s="2950"/>
      <c r="TWJ23" s="2950"/>
      <c r="TWK23" s="2950"/>
      <c r="TWL23" s="2950"/>
      <c r="TWM23" s="2950"/>
      <c r="TWN23" s="2950"/>
      <c r="TWO23" s="2950"/>
      <c r="TWP23" s="2950"/>
      <c r="TWQ23" s="2950"/>
      <c r="TWR23" s="2950"/>
      <c r="TWS23" s="2950"/>
      <c r="TWT23" s="2950"/>
      <c r="TWU23" s="2950"/>
      <c r="TWV23" s="2950"/>
      <c r="TWW23" s="2950"/>
      <c r="TWX23" s="2950"/>
      <c r="TWY23" s="2950"/>
      <c r="TWZ23" s="2950"/>
      <c r="TXA23" s="2950"/>
      <c r="TXB23" s="2950"/>
      <c r="TXC23" s="2950"/>
      <c r="TXD23" s="2950"/>
      <c r="TXE23" s="2950"/>
      <c r="TXF23" s="2950"/>
      <c r="TXG23" s="2950"/>
      <c r="TXH23" s="2950"/>
      <c r="TXI23" s="2950"/>
      <c r="TXJ23" s="2950"/>
      <c r="TXK23" s="2950"/>
      <c r="TXL23" s="2950"/>
      <c r="TXM23" s="2950"/>
      <c r="TXN23" s="2950"/>
      <c r="TXO23" s="2950"/>
      <c r="TXP23" s="2950"/>
      <c r="TXQ23" s="2950"/>
      <c r="TXR23" s="2950"/>
      <c r="TXS23" s="2950"/>
      <c r="TXT23" s="2950"/>
      <c r="TXU23" s="2950"/>
      <c r="TXV23" s="2950"/>
      <c r="TXW23" s="2950"/>
      <c r="TXX23" s="2950"/>
      <c r="TXY23" s="2950"/>
      <c r="TXZ23" s="2950"/>
      <c r="TYA23" s="2950"/>
      <c r="TYB23" s="2950"/>
      <c r="TYC23" s="2950"/>
      <c r="TYD23" s="2950"/>
      <c r="TYE23" s="2950"/>
      <c r="TYF23" s="2950"/>
      <c r="TYG23" s="2950"/>
      <c r="TYH23" s="2950"/>
      <c r="TYI23" s="2950"/>
      <c r="TYJ23" s="2950"/>
      <c r="TYK23" s="2950"/>
      <c r="TYL23" s="2950"/>
      <c r="TYM23" s="2950"/>
      <c r="TYN23" s="2950"/>
      <c r="TYO23" s="2950"/>
      <c r="TYP23" s="2950"/>
      <c r="TYQ23" s="2950"/>
      <c r="TYR23" s="2950"/>
      <c r="TYS23" s="2950"/>
      <c r="TYT23" s="2950"/>
      <c r="TYU23" s="2950"/>
      <c r="TYV23" s="2950"/>
      <c r="TYW23" s="2950"/>
      <c r="TYX23" s="2950"/>
      <c r="TYY23" s="2950"/>
      <c r="TYZ23" s="2950"/>
      <c r="TZA23" s="2950"/>
      <c r="TZB23" s="2950"/>
      <c r="TZC23" s="2950"/>
      <c r="TZD23" s="2950"/>
      <c r="TZE23" s="2950"/>
      <c r="TZF23" s="2950"/>
      <c r="TZG23" s="2950"/>
      <c r="TZH23" s="2950"/>
      <c r="TZI23" s="2950"/>
      <c r="TZJ23" s="2950"/>
      <c r="TZK23" s="2950"/>
      <c r="TZL23" s="2950"/>
      <c r="TZM23" s="2950"/>
      <c r="TZN23" s="2950"/>
      <c r="TZO23" s="2950"/>
      <c r="TZP23" s="2950"/>
      <c r="TZQ23" s="2950"/>
      <c r="TZR23" s="2950"/>
      <c r="TZS23" s="2950"/>
      <c r="TZT23" s="2950"/>
      <c r="TZU23" s="2950"/>
      <c r="TZV23" s="2950"/>
      <c r="TZW23" s="2950"/>
      <c r="TZX23" s="2950"/>
      <c r="TZY23" s="2950"/>
      <c r="TZZ23" s="2950"/>
      <c r="UAA23" s="2950"/>
      <c r="UAB23" s="2950"/>
      <c r="UAC23" s="2950"/>
      <c r="UAD23" s="2950"/>
      <c r="UAE23" s="2950"/>
      <c r="UAF23" s="2950"/>
      <c r="UAG23" s="2950"/>
      <c r="UAH23" s="2950"/>
      <c r="UAI23" s="2950"/>
      <c r="UAJ23" s="2950"/>
      <c r="UAK23" s="2950"/>
      <c r="UAL23" s="2950"/>
      <c r="UAM23" s="2950"/>
      <c r="UAN23" s="2950"/>
      <c r="UAO23" s="2950"/>
      <c r="UAP23" s="2950"/>
      <c r="UAQ23" s="2950"/>
      <c r="UAR23" s="2950"/>
      <c r="UAS23" s="2950"/>
      <c r="UAT23" s="2950"/>
      <c r="UAU23" s="2950"/>
      <c r="UAV23" s="2950"/>
      <c r="UAW23" s="2950"/>
      <c r="UAX23" s="2950"/>
      <c r="UAY23" s="2950"/>
      <c r="UAZ23" s="2950"/>
      <c r="UBA23" s="2950"/>
      <c r="UBB23" s="2950"/>
      <c r="UBC23" s="2950"/>
      <c r="UBD23" s="2950"/>
      <c r="UBE23" s="2950"/>
      <c r="UBF23" s="2950"/>
      <c r="UBG23" s="2950"/>
      <c r="UBH23" s="2950"/>
      <c r="UBI23" s="2950"/>
      <c r="UBJ23" s="2950"/>
      <c r="UBK23" s="2950"/>
      <c r="UBL23" s="2950"/>
      <c r="UBM23" s="2950"/>
      <c r="UBN23" s="2950"/>
      <c r="UBO23" s="2950"/>
      <c r="UBP23" s="2950"/>
      <c r="UBQ23" s="2950"/>
      <c r="UBR23" s="2950"/>
      <c r="UBS23" s="2950"/>
      <c r="UBT23" s="2950"/>
      <c r="UBU23" s="2950"/>
      <c r="UBV23" s="2950"/>
      <c r="UBW23" s="2950"/>
      <c r="UBX23" s="2950"/>
      <c r="UBY23" s="2950"/>
      <c r="UBZ23" s="2950"/>
      <c r="UCA23" s="2950"/>
      <c r="UCB23" s="2950"/>
      <c r="UCC23" s="2950"/>
      <c r="UCD23" s="2950"/>
      <c r="UCE23" s="2950"/>
      <c r="UCF23" s="2950"/>
      <c r="UCG23" s="2950"/>
      <c r="UCH23" s="2950"/>
      <c r="UCI23" s="2950"/>
      <c r="UCJ23" s="2950"/>
      <c r="UCK23" s="2950"/>
      <c r="UCL23" s="2950"/>
      <c r="UCM23" s="2950"/>
      <c r="UCN23" s="2950"/>
      <c r="UCO23" s="2950"/>
      <c r="UCP23" s="2950"/>
      <c r="UCQ23" s="2950"/>
      <c r="UCR23" s="2950"/>
      <c r="UCS23" s="2950"/>
      <c r="UCT23" s="2950"/>
      <c r="UCU23" s="2950"/>
      <c r="UCV23" s="2950"/>
      <c r="UCW23" s="2950"/>
      <c r="UCX23" s="2950"/>
      <c r="UCY23" s="2950"/>
      <c r="UCZ23" s="2950"/>
      <c r="UDA23" s="2950"/>
      <c r="UDB23" s="2950"/>
      <c r="UDC23" s="2950"/>
      <c r="UDD23" s="2950"/>
      <c r="UDE23" s="2950"/>
      <c r="UDF23" s="2950"/>
      <c r="UDG23" s="2950"/>
      <c r="UDH23" s="2950"/>
      <c r="UDI23" s="2950"/>
      <c r="UDJ23" s="2950"/>
      <c r="UDK23" s="2950"/>
      <c r="UDL23" s="2950"/>
      <c r="UDM23" s="2950"/>
      <c r="UDN23" s="2950"/>
      <c r="UDO23" s="2950"/>
      <c r="UDP23" s="2950"/>
      <c r="UDQ23" s="2950"/>
      <c r="UDR23" s="2950"/>
      <c r="UDS23" s="2950"/>
      <c r="UDT23" s="2950"/>
      <c r="UDU23" s="2950"/>
      <c r="UDV23" s="2950"/>
      <c r="UDW23" s="2950"/>
      <c r="UDX23" s="2950"/>
      <c r="UDY23" s="2950"/>
      <c r="UDZ23" s="2950"/>
      <c r="UEA23" s="2950"/>
      <c r="UEB23" s="2950"/>
      <c r="UEC23" s="2950"/>
      <c r="UED23" s="2950"/>
      <c r="UEE23" s="2950"/>
      <c r="UEF23" s="2950"/>
      <c r="UEG23" s="2950"/>
      <c r="UEH23" s="2950"/>
      <c r="UEI23" s="2950"/>
      <c r="UEJ23" s="2950"/>
      <c r="UEK23" s="2950"/>
      <c r="UEL23" s="2950"/>
      <c r="UEM23" s="2950"/>
      <c r="UEN23" s="2950"/>
      <c r="UEO23" s="2950"/>
      <c r="UEP23" s="2950"/>
      <c r="UEQ23" s="2950"/>
      <c r="UER23" s="2950"/>
      <c r="UES23" s="2950"/>
      <c r="UET23" s="2950"/>
      <c r="UEU23" s="2950"/>
      <c r="UEV23" s="2950"/>
      <c r="UEW23" s="2950"/>
      <c r="UEX23" s="2950"/>
      <c r="UEY23" s="2950"/>
      <c r="UEZ23" s="2950"/>
      <c r="UFA23" s="2950"/>
      <c r="UFB23" s="2950"/>
      <c r="UFC23" s="2950"/>
      <c r="UFD23" s="2950"/>
      <c r="UFE23" s="2950"/>
      <c r="UFF23" s="2950"/>
      <c r="UFG23" s="2950"/>
      <c r="UFH23" s="2950"/>
      <c r="UFI23" s="2950"/>
      <c r="UFJ23" s="2950"/>
      <c r="UFK23" s="2950"/>
      <c r="UFL23" s="2950"/>
      <c r="UFM23" s="2950"/>
      <c r="UFN23" s="2950"/>
      <c r="UFO23" s="2950"/>
      <c r="UFP23" s="2950"/>
      <c r="UFQ23" s="2950"/>
      <c r="UFR23" s="2950"/>
      <c r="UFS23" s="2950"/>
      <c r="UFT23" s="2950"/>
      <c r="UFU23" s="2950"/>
      <c r="UFV23" s="2950"/>
      <c r="UFW23" s="2950"/>
      <c r="UFX23" s="2950"/>
      <c r="UFY23" s="2950"/>
      <c r="UFZ23" s="2950"/>
      <c r="UGA23" s="2950"/>
      <c r="UGB23" s="2950"/>
      <c r="UGC23" s="2950"/>
      <c r="UGD23" s="2950"/>
      <c r="UGE23" s="2950"/>
      <c r="UGF23" s="2950"/>
      <c r="UGG23" s="2950"/>
      <c r="UGH23" s="2950"/>
      <c r="UGI23" s="2950"/>
      <c r="UGJ23" s="2950"/>
      <c r="UGK23" s="2950"/>
      <c r="UGL23" s="2950"/>
      <c r="UGM23" s="2950"/>
      <c r="UGN23" s="2950"/>
      <c r="UGO23" s="2950"/>
      <c r="UGP23" s="2950"/>
      <c r="UGQ23" s="2950"/>
      <c r="UGR23" s="2950"/>
      <c r="UGS23" s="2950"/>
      <c r="UGT23" s="2950"/>
      <c r="UGU23" s="2950"/>
      <c r="UGV23" s="2950"/>
      <c r="UGW23" s="2950"/>
      <c r="UGX23" s="2950"/>
      <c r="UGY23" s="2950"/>
      <c r="UGZ23" s="2950"/>
      <c r="UHA23" s="2950"/>
      <c r="UHB23" s="2950"/>
      <c r="UHC23" s="2950"/>
      <c r="UHD23" s="2950"/>
      <c r="UHE23" s="2950"/>
      <c r="UHF23" s="2950"/>
      <c r="UHG23" s="2950"/>
      <c r="UHH23" s="2950"/>
      <c r="UHI23" s="2950"/>
      <c r="UHJ23" s="2950"/>
      <c r="UHK23" s="2950"/>
      <c r="UHL23" s="2950"/>
      <c r="UHM23" s="2950"/>
      <c r="UHN23" s="2950"/>
      <c r="UHO23" s="2950"/>
      <c r="UHP23" s="2950"/>
      <c r="UHQ23" s="2950"/>
      <c r="UHR23" s="2950"/>
      <c r="UHS23" s="2950"/>
      <c r="UHT23" s="2950"/>
      <c r="UHU23" s="2950"/>
      <c r="UHV23" s="2950"/>
      <c r="UHW23" s="2950"/>
      <c r="UHX23" s="2950"/>
      <c r="UHY23" s="2950"/>
      <c r="UHZ23" s="2950"/>
      <c r="UIA23" s="2950"/>
      <c r="UIB23" s="2950"/>
      <c r="UIC23" s="2950"/>
      <c r="UID23" s="2950"/>
      <c r="UIE23" s="2950"/>
      <c r="UIF23" s="2950"/>
      <c r="UIG23" s="2950"/>
      <c r="UIH23" s="2950"/>
      <c r="UII23" s="2950"/>
      <c r="UIJ23" s="2950"/>
      <c r="UIK23" s="2950"/>
      <c r="UIL23" s="2950"/>
      <c r="UIM23" s="2950"/>
      <c r="UIN23" s="2950"/>
      <c r="UIO23" s="2950"/>
      <c r="UIP23" s="2950"/>
      <c r="UIQ23" s="2950"/>
      <c r="UIR23" s="2950"/>
      <c r="UIS23" s="2950"/>
      <c r="UIT23" s="2950"/>
      <c r="UIU23" s="2950"/>
      <c r="UIV23" s="2950"/>
      <c r="UIW23" s="2950"/>
      <c r="UIX23" s="2950"/>
      <c r="UIY23" s="2950"/>
      <c r="UIZ23" s="2950"/>
      <c r="UJA23" s="2950"/>
      <c r="UJB23" s="2950"/>
      <c r="UJC23" s="2950"/>
      <c r="UJD23" s="2950"/>
      <c r="UJE23" s="2950"/>
      <c r="UJF23" s="2950"/>
      <c r="UJG23" s="2950"/>
      <c r="UJH23" s="2950"/>
      <c r="UJI23" s="2950"/>
      <c r="UJJ23" s="2950"/>
      <c r="UJK23" s="2950"/>
      <c r="UJL23" s="2950"/>
      <c r="UJM23" s="2950"/>
      <c r="UJN23" s="2950"/>
      <c r="UJO23" s="2950"/>
      <c r="UJP23" s="2950"/>
      <c r="UJQ23" s="2950"/>
      <c r="UJR23" s="2950"/>
      <c r="UJS23" s="2950"/>
      <c r="UJT23" s="2950"/>
      <c r="UJU23" s="2950"/>
      <c r="UJV23" s="2950"/>
      <c r="UJW23" s="2950"/>
      <c r="UJX23" s="2950"/>
      <c r="UJY23" s="2950"/>
      <c r="UJZ23" s="2950"/>
      <c r="UKA23" s="2950"/>
      <c r="UKB23" s="2950"/>
      <c r="UKC23" s="2950"/>
      <c r="UKD23" s="2950"/>
      <c r="UKE23" s="2950"/>
      <c r="UKF23" s="2950"/>
      <c r="UKG23" s="2950"/>
      <c r="UKH23" s="2950"/>
      <c r="UKI23" s="2950"/>
      <c r="UKJ23" s="2950"/>
      <c r="UKK23" s="2950"/>
      <c r="UKL23" s="2950"/>
      <c r="UKM23" s="2950"/>
      <c r="UKN23" s="2950"/>
      <c r="UKO23" s="2950"/>
      <c r="UKP23" s="2950"/>
      <c r="UKQ23" s="2950"/>
      <c r="UKR23" s="2950"/>
      <c r="UKS23" s="2950"/>
      <c r="UKT23" s="2950"/>
      <c r="UKU23" s="2950"/>
      <c r="UKV23" s="2950"/>
      <c r="UKW23" s="2950"/>
      <c r="UKX23" s="2950"/>
      <c r="UKY23" s="2950"/>
      <c r="UKZ23" s="2950"/>
      <c r="ULA23" s="2950"/>
      <c r="ULB23" s="2950"/>
      <c r="ULC23" s="2950"/>
      <c r="ULD23" s="2950"/>
      <c r="ULE23" s="2950"/>
      <c r="ULF23" s="2950"/>
      <c r="ULG23" s="2950"/>
      <c r="ULH23" s="2950"/>
      <c r="ULI23" s="2950"/>
      <c r="ULJ23" s="2950"/>
      <c r="ULK23" s="2950"/>
      <c r="ULL23" s="2950"/>
      <c r="ULM23" s="2950"/>
      <c r="ULN23" s="2950"/>
      <c r="ULO23" s="2950"/>
      <c r="ULP23" s="2950"/>
      <c r="ULQ23" s="2950"/>
      <c r="ULR23" s="2950"/>
      <c r="ULS23" s="2950"/>
      <c r="ULT23" s="2950"/>
      <c r="ULU23" s="2950"/>
      <c r="ULV23" s="2950"/>
      <c r="ULW23" s="2950"/>
      <c r="ULX23" s="2950"/>
      <c r="ULY23" s="2950"/>
      <c r="ULZ23" s="2950"/>
      <c r="UMA23" s="2950"/>
      <c r="UMB23" s="2950"/>
      <c r="UMC23" s="2950"/>
      <c r="UMD23" s="2950"/>
      <c r="UME23" s="2950"/>
      <c r="UMF23" s="2950"/>
      <c r="UMG23" s="2950"/>
      <c r="UMH23" s="2950"/>
      <c r="UMI23" s="2950"/>
      <c r="UMJ23" s="2950"/>
      <c r="UMK23" s="2950"/>
      <c r="UML23" s="2950"/>
      <c r="UMM23" s="2950"/>
      <c r="UMN23" s="2950"/>
      <c r="UMO23" s="2950"/>
      <c r="UMP23" s="2950"/>
      <c r="UMQ23" s="2950"/>
      <c r="UMR23" s="2950"/>
      <c r="UMS23" s="2950"/>
      <c r="UMT23" s="2950"/>
      <c r="UMU23" s="2950"/>
      <c r="UMV23" s="2950"/>
      <c r="UMW23" s="2950"/>
      <c r="UMX23" s="2950"/>
      <c r="UMY23" s="2950"/>
      <c r="UMZ23" s="2950"/>
      <c r="UNA23" s="2950"/>
      <c r="UNB23" s="2950"/>
      <c r="UNC23" s="2950"/>
      <c r="UND23" s="2950"/>
      <c r="UNE23" s="2950"/>
      <c r="UNF23" s="2950"/>
      <c r="UNG23" s="2950"/>
      <c r="UNH23" s="2950"/>
      <c r="UNI23" s="2950"/>
      <c r="UNJ23" s="2950"/>
      <c r="UNK23" s="2950"/>
      <c r="UNL23" s="2950"/>
      <c r="UNM23" s="2950"/>
      <c r="UNN23" s="2950"/>
      <c r="UNO23" s="2950"/>
      <c r="UNP23" s="2950"/>
      <c r="UNQ23" s="2950"/>
      <c r="UNR23" s="2950"/>
      <c r="UNS23" s="2950"/>
      <c r="UNT23" s="2950"/>
      <c r="UNU23" s="2950"/>
      <c r="UNV23" s="2950"/>
      <c r="UNW23" s="2950"/>
      <c r="UNX23" s="2950"/>
      <c r="UNY23" s="2950"/>
      <c r="UNZ23" s="2950"/>
      <c r="UOA23" s="2950"/>
      <c r="UOB23" s="2950"/>
      <c r="UOC23" s="2950"/>
      <c r="UOD23" s="2950"/>
      <c r="UOE23" s="2950"/>
      <c r="UOF23" s="2950"/>
      <c r="UOG23" s="2950"/>
      <c r="UOH23" s="2950"/>
      <c r="UOI23" s="2950"/>
      <c r="UOJ23" s="2950"/>
      <c r="UOK23" s="2950"/>
      <c r="UOL23" s="2950"/>
      <c r="UOM23" s="2950"/>
      <c r="UON23" s="2950"/>
      <c r="UOO23" s="2950"/>
      <c r="UOP23" s="2950"/>
      <c r="UOQ23" s="2950"/>
      <c r="UOR23" s="2950"/>
      <c r="UOS23" s="2950"/>
      <c r="UOT23" s="2950"/>
      <c r="UOU23" s="2950"/>
      <c r="UOV23" s="2950"/>
      <c r="UOW23" s="2950"/>
      <c r="UOX23" s="2950"/>
      <c r="UOY23" s="2950"/>
      <c r="UOZ23" s="2950"/>
      <c r="UPA23" s="2950"/>
      <c r="UPB23" s="2950"/>
      <c r="UPC23" s="2950"/>
      <c r="UPD23" s="2950"/>
      <c r="UPE23" s="2950"/>
      <c r="UPF23" s="2950"/>
      <c r="UPG23" s="2950"/>
      <c r="UPH23" s="2950"/>
      <c r="UPI23" s="2950"/>
      <c r="UPJ23" s="2950"/>
      <c r="UPK23" s="2950"/>
      <c r="UPL23" s="2950"/>
      <c r="UPM23" s="2950"/>
      <c r="UPN23" s="2950"/>
      <c r="UPO23" s="2950"/>
      <c r="UPP23" s="2950"/>
      <c r="UPQ23" s="2950"/>
      <c r="UPR23" s="2950"/>
      <c r="UPS23" s="2950"/>
      <c r="UPT23" s="2950"/>
      <c r="UPU23" s="2950"/>
      <c r="UPV23" s="2950"/>
      <c r="UPW23" s="2950"/>
      <c r="UPX23" s="2950"/>
      <c r="UPY23" s="2950"/>
      <c r="UPZ23" s="2950"/>
      <c r="UQA23" s="2950"/>
      <c r="UQB23" s="2950"/>
      <c r="UQC23" s="2950"/>
      <c r="UQD23" s="2950"/>
      <c r="UQE23" s="2950"/>
      <c r="UQF23" s="2950"/>
      <c r="UQG23" s="2950"/>
      <c r="UQH23" s="2950"/>
      <c r="UQI23" s="2950"/>
      <c r="UQJ23" s="2950"/>
      <c r="UQK23" s="2950"/>
      <c r="UQL23" s="2950"/>
      <c r="UQM23" s="2950"/>
      <c r="UQN23" s="2950"/>
      <c r="UQO23" s="2950"/>
      <c r="UQP23" s="2950"/>
      <c r="UQQ23" s="2950"/>
      <c r="UQR23" s="2950"/>
      <c r="UQS23" s="2950"/>
      <c r="UQT23" s="2950"/>
      <c r="UQU23" s="2950"/>
      <c r="UQV23" s="2950"/>
      <c r="UQW23" s="2950"/>
      <c r="UQX23" s="2950"/>
      <c r="UQY23" s="2950"/>
      <c r="UQZ23" s="2950"/>
      <c r="URA23" s="2950"/>
      <c r="URB23" s="2950"/>
      <c r="URC23" s="2950"/>
      <c r="URD23" s="2950"/>
      <c r="URE23" s="2950"/>
      <c r="URF23" s="2950"/>
      <c r="URG23" s="2950"/>
      <c r="URH23" s="2950"/>
      <c r="URI23" s="2950"/>
      <c r="URJ23" s="2950"/>
      <c r="URK23" s="2950"/>
      <c r="URL23" s="2950"/>
      <c r="URM23" s="2950"/>
      <c r="URN23" s="2950"/>
      <c r="URO23" s="2950"/>
      <c r="URP23" s="2950"/>
      <c r="URQ23" s="2950"/>
      <c r="URR23" s="2950"/>
      <c r="URS23" s="2950"/>
      <c r="URT23" s="2950"/>
      <c r="URU23" s="2950"/>
      <c r="URV23" s="2950"/>
      <c r="URW23" s="2950"/>
      <c r="URX23" s="2950"/>
      <c r="URY23" s="2950"/>
      <c r="URZ23" s="2950"/>
      <c r="USA23" s="2950"/>
      <c r="USB23" s="2950"/>
      <c r="USC23" s="2950"/>
      <c r="USD23" s="2950"/>
      <c r="USE23" s="2950"/>
      <c r="USF23" s="2950"/>
      <c r="USG23" s="2950"/>
      <c r="USH23" s="2950"/>
      <c r="USI23" s="2950"/>
      <c r="USJ23" s="2950"/>
      <c r="USK23" s="2950"/>
      <c r="USL23" s="2950"/>
      <c r="USM23" s="2950"/>
      <c r="USN23" s="2950"/>
      <c r="USO23" s="2950"/>
      <c r="USP23" s="2950"/>
      <c r="USQ23" s="2950"/>
      <c r="USR23" s="2950"/>
      <c r="USS23" s="2950"/>
      <c r="UST23" s="2950"/>
      <c r="USU23" s="2950"/>
      <c r="USV23" s="2950"/>
      <c r="USW23" s="2950"/>
      <c r="USX23" s="2950"/>
      <c r="USY23" s="2950"/>
      <c r="USZ23" s="2950"/>
      <c r="UTA23" s="2950"/>
      <c r="UTB23" s="2950"/>
      <c r="UTC23" s="2950"/>
      <c r="UTD23" s="2950"/>
      <c r="UTE23" s="2950"/>
      <c r="UTF23" s="2950"/>
      <c r="UTG23" s="2950"/>
      <c r="UTH23" s="2950"/>
      <c r="UTI23" s="2950"/>
      <c r="UTJ23" s="2950"/>
      <c r="UTK23" s="2950"/>
      <c r="UTL23" s="2950"/>
      <c r="UTM23" s="2950"/>
      <c r="UTN23" s="2950"/>
      <c r="UTO23" s="2950"/>
      <c r="UTP23" s="2950"/>
      <c r="UTQ23" s="2950"/>
      <c r="UTR23" s="2950"/>
      <c r="UTS23" s="2950"/>
      <c r="UTT23" s="2950"/>
      <c r="UTU23" s="2950"/>
      <c r="UTV23" s="2950"/>
      <c r="UTW23" s="2950"/>
      <c r="UTX23" s="2950"/>
      <c r="UTY23" s="2950"/>
      <c r="UTZ23" s="2950"/>
      <c r="UUA23" s="2950"/>
      <c r="UUB23" s="2950"/>
      <c r="UUC23" s="2950"/>
      <c r="UUD23" s="2950"/>
      <c r="UUE23" s="2950"/>
      <c r="UUF23" s="2950"/>
      <c r="UUG23" s="2950"/>
      <c r="UUH23" s="2950"/>
      <c r="UUI23" s="2950"/>
      <c r="UUJ23" s="2950"/>
      <c r="UUK23" s="2950"/>
      <c r="UUL23" s="2950"/>
      <c r="UUM23" s="2950"/>
      <c r="UUN23" s="2950"/>
      <c r="UUO23" s="2950"/>
      <c r="UUP23" s="2950"/>
      <c r="UUQ23" s="2950"/>
      <c r="UUR23" s="2950"/>
      <c r="UUS23" s="2950"/>
      <c r="UUT23" s="2950"/>
      <c r="UUU23" s="2950"/>
      <c r="UUV23" s="2950"/>
      <c r="UUW23" s="2950"/>
      <c r="UUX23" s="2950"/>
      <c r="UUY23" s="2950"/>
      <c r="UUZ23" s="2950"/>
      <c r="UVA23" s="2950"/>
      <c r="UVB23" s="2950"/>
      <c r="UVC23" s="2950"/>
      <c r="UVD23" s="2950"/>
      <c r="UVE23" s="2950"/>
      <c r="UVF23" s="2950"/>
      <c r="UVG23" s="2950"/>
      <c r="UVH23" s="2950"/>
      <c r="UVI23" s="2950"/>
      <c r="UVJ23" s="2950"/>
      <c r="UVK23" s="2950"/>
      <c r="UVL23" s="2950"/>
      <c r="UVM23" s="2950"/>
      <c r="UVN23" s="2950"/>
      <c r="UVO23" s="2950"/>
      <c r="UVP23" s="2950"/>
      <c r="UVQ23" s="2950"/>
      <c r="UVR23" s="2950"/>
      <c r="UVS23" s="2950"/>
      <c r="UVT23" s="2950"/>
      <c r="UVU23" s="2950"/>
      <c r="UVV23" s="2950"/>
      <c r="UVW23" s="2950"/>
      <c r="UVX23" s="2950"/>
      <c r="UVY23" s="2950"/>
      <c r="UVZ23" s="2950"/>
      <c r="UWA23" s="2950"/>
      <c r="UWB23" s="2950"/>
      <c r="UWC23" s="2950"/>
      <c r="UWD23" s="2950"/>
      <c r="UWE23" s="2950"/>
      <c r="UWF23" s="2950"/>
      <c r="UWG23" s="2950"/>
      <c r="UWH23" s="2950"/>
      <c r="UWI23" s="2950"/>
      <c r="UWJ23" s="2950"/>
      <c r="UWK23" s="2950"/>
      <c r="UWL23" s="2950"/>
      <c r="UWM23" s="2950"/>
      <c r="UWN23" s="2950"/>
      <c r="UWO23" s="2950"/>
      <c r="UWP23" s="2950"/>
      <c r="UWQ23" s="2950"/>
      <c r="UWR23" s="2950"/>
      <c r="UWS23" s="2950"/>
      <c r="UWT23" s="2950"/>
      <c r="UWU23" s="2950"/>
      <c r="UWV23" s="2950"/>
      <c r="UWW23" s="2950"/>
      <c r="UWX23" s="2950"/>
      <c r="UWY23" s="2950"/>
      <c r="UWZ23" s="2950"/>
      <c r="UXA23" s="2950"/>
      <c r="UXB23" s="2950"/>
      <c r="UXC23" s="2950"/>
      <c r="UXD23" s="2950"/>
      <c r="UXE23" s="2950"/>
      <c r="UXF23" s="2950"/>
      <c r="UXG23" s="2950"/>
      <c r="UXH23" s="2950"/>
      <c r="UXI23" s="2950"/>
      <c r="UXJ23" s="2950"/>
      <c r="UXK23" s="2950"/>
      <c r="UXL23" s="2950"/>
      <c r="UXM23" s="2950"/>
      <c r="UXN23" s="2950"/>
      <c r="UXO23" s="2950"/>
      <c r="UXP23" s="2950"/>
      <c r="UXQ23" s="2950"/>
      <c r="UXR23" s="2950"/>
      <c r="UXS23" s="2950"/>
      <c r="UXT23" s="2950"/>
      <c r="UXU23" s="2950"/>
      <c r="UXV23" s="2950"/>
      <c r="UXW23" s="2950"/>
      <c r="UXX23" s="2950"/>
      <c r="UXY23" s="2950"/>
      <c r="UXZ23" s="2950"/>
      <c r="UYA23" s="2950"/>
      <c r="UYB23" s="2950"/>
      <c r="UYC23" s="2950"/>
      <c r="UYD23" s="2950"/>
      <c r="UYE23" s="2950"/>
      <c r="UYF23" s="2950"/>
      <c r="UYG23" s="2950"/>
      <c r="UYH23" s="2950"/>
      <c r="UYI23" s="2950"/>
      <c r="UYJ23" s="2950"/>
      <c r="UYK23" s="2950"/>
      <c r="UYL23" s="2950"/>
      <c r="UYM23" s="2950"/>
      <c r="UYN23" s="2950"/>
      <c r="UYO23" s="2950"/>
      <c r="UYP23" s="2950"/>
      <c r="UYQ23" s="2950"/>
      <c r="UYR23" s="2950"/>
      <c r="UYS23" s="2950"/>
      <c r="UYT23" s="2950"/>
      <c r="UYU23" s="2950"/>
      <c r="UYV23" s="2950"/>
      <c r="UYW23" s="2950"/>
      <c r="UYX23" s="2950"/>
      <c r="UYY23" s="2950"/>
      <c r="UYZ23" s="2950"/>
      <c r="UZA23" s="2950"/>
      <c r="UZB23" s="2950"/>
      <c r="UZC23" s="2950"/>
      <c r="UZD23" s="2950"/>
      <c r="UZE23" s="2950"/>
      <c r="UZF23" s="2950"/>
      <c r="UZG23" s="2950"/>
      <c r="UZH23" s="2950"/>
      <c r="UZI23" s="2950"/>
      <c r="UZJ23" s="2950"/>
      <c r="UZK23" s="2950"/>
      <c r="UZL23" s="2950"/>
      <c r="UZM23" s="2950"/>
      <c r="UZN23" s="2950"/>
      <c r="UZO23" s="2950"/>
      <c r="UZP23" s="2950"/>
      <c r="UZQ23" s="2950"/>
      <c r="UZR23" s="2950"/>
      <c r="UZS23" s="2950"/>
      <c r="UZT23" s="2950"/>
      <c r="UZU23" s="2950"/>
      <c r="UZV23" s="2950"/>
      <c r="UZW23" s="2950"/>
      <c r="UZX23" s="2950"/>
      <c r="UZY23" s="2950"/>
      <c r="UZZ23" s="2950"/>
      <c r="VAA23" s="2950"/>
      <c r="VAB23" s="2950"/>
      <c r="VAC23" s="2950"/>
      <c r="VAD23" s="2950"/>
      <c r="VAE23" s="2950"/>
      <c r="VAF23" s="2950"/>
      <c r="VAG23" s="2950"/>
      <c r="VAH23" s="2950"/>
      <c r="VAI23" s="2950"/>
      <c r="VAJ23" s="2950"/>
      <c r="VAK23" s="2950"/>
      <c r="VAL23" s="2950"/>
      <c r="VAM23" s="2950"/>
      <c r="VAN23" s="2950"/>
      <c r="VAO23" s="2950"/>
      <c r="VAP23" s="2950"/>
      <c r="VAQ23" s="2950"/>
      <c r="VAR23" s="2950"/>
      <c r="VAS23" s="2950"/>
      <c r="VAT23" s="2950"/>
      <c r="VAU23" s="2950"/>
      <c r="VAV23" s="2950"/>
      <c r="VAW23" s="2950"/>
      <c r="VAX23" s="2950"/>
      <c r="VAY23" s="2950"/>
      <c r="VAZ23" s="2950"/>
      <c r="VBA23" s="2950"/>
      <c r="VBB23" s="2950"/>
      <c r="VBC23" s="2950"/>
      <c r="VBD23" s="2950"/>
      <c r="VBE23" s="2950"/>
      <c r="VBF23" s="2950"/>
      <c r="VBG23" s="2950"/>
      <c r="VBH23" s="2950"/>
      <c r="VBI23" s="2950"/>
      <c r="VBJ23" s="2950"/>
      <c r="VBK23" s="2950"/>
      <c r="VBL23" s="2950"/>
      <c r="VBM23" s="2950"/>
      <c r="VBN23" s="2950"/>
      <c r="VBO23" s="2950"/>
      <c r="VBP23" s="2950"/>
      <c r="VBQ23" s="2950"/>
      <c r="VBR23" s="2950"/>
      <c r="VBS23" s="2950"/>
      <c r="VBT23" s="2950"/>
      <c r="VBU23" s="2950"/>
      <c r="VBV23" s="2950"/>
      <c r="VBW23" s="2950"/>
      <c r="VBX23" s="2950"/>
      <c r="VBY23" s="2950"/>
      <c r="VBZ23" s="2950"/>
      <c r="VCA23" s="2950"/>
      <c r="VCB23" s="2950"/>
      <c r="VCC23" s="2950"/>
      <c r="VCD23" s="2950"/>
      <c r="VCE23" s="2950"/>
      <c r="VCF23" s="2950"/>
      <c r="VCG23" s="2950"/>
      <c r="VCH23" s="2950"/>
      <c r="VCI23" s="2950"/>
      <c r="VCJ23" s="2950"/>
      <c r="VCK23" s="2950"/>
      <c r="VCL23" s="2950"/>
      <c r="VCM23" s="2950"/>
      <c r="VCN23" s="2950"/>
      <c r="VCO23" s="2950"/>
      <c r="VCP23" s="2950"/>
      <c r="VCQ23" s="2950"/>
      <c r="VCR23" s="2950"/>
      <c r="VCS23" s="2950"/>
      <c r="VCT23" s="2950"/>
      <c r="VCU23" s="2950"/>
      <c r="VCV23" s="2950"/>
      <c r="VCW23" s="2950"/>
      <c r="VCX23" s="2950"/>
      <c r="VCY23" s="2950"/>
      <c r="VCZ23" s="2950"/>
      <c r="VDA23" s="2950"/>
      <c r="VDB23" s="2950"/>
      <c r="VDC23" s="2950"/>
      <c r="VDD23" s="2950"/>
      <c r="VDE23" s="2950"/>
      <c r="VDF23" s="2950"/>
      <c r="VDG23" s="2950"/>
      <c r="VDH23" s="2950"/>
      <c r="VDI23" s="2950"/>
      <c r="VDJ23" s="2950"/>
      <c r="VDK23" s="2950"/>
      <c r="VDL23" s="2950"/>
      <c r="VDM23" s="2950"/>
      <c r="VDN23" s="2950"/>
      <c r="VDO23" s="2950"/>
      <c r="VDP23" s="2950"/>
      <c r="VDQ23" s="2950"/>
      <c r="VDR23" s="2950"/>
      <c r="VDS23" s="2950"/>
      <c r="VDT23" s="2950"/>
      <c r="VDU23" s="2950"/>
      <c r="VDV23" s="2950"/>
      <c r="VDW23" s="2950"/>
      <c r="VDX23" s="2950"/>
      <c r="VDY23" s="2950"/>
      <c r="VDZ23" s="2950"/>
      <c r="VEA23" s="2950"/>
      <c r="VEB23" s="2950"/>
      <c r="VEC23" s="2950"/>
      <c r="VED23" s="2950"/>
      <c r="VEE23" s="2950"/>
      <c r="VEF23" s="2950"/>
      <c r="VEG23" s="2950"/>
      <c r="VEH23" s="2950"/>
      <c r="VEI23" s="2950"/>
      <c r="VEJ23" s="2950"/>
      <c r="VEK23" s="2950"/>
      <c r="VEL23" s="2950"/>
      <c r="VEM23" s="2950"/>
      <c r="VEN23" s="2950"/>
      <c r="VEO23" s="2950"/>
      <c r="VEP23" s="2950"/>
      <c r="VEQ23" s="2950"/>
      <c r="VER23" s="2950"/>
      <c r="VES23" s="2950"/>
      <c r="VET23" s="2950"/>
      <c r="VEU23" s="2950"/>
      <c r="VEV23" s="2950"/>
      <c r="VEW23" s="2950"/>
      <c r="VEX23" s="2950"/>
      <c r="VEY23" s="2950"/>
      <c r="VEZ23" s="2950"/>
      <c r="VFA23" s="2950"/>
      <c r="VFB23" s="2950"/>
      <c r="VFC23" s="2950"/>
      <c r="VFD23" s="2950"/>
      <c r="VFE23" s="2950"/>
      <c r="VFF23" s="2950"/>
      <c r="VFG23" s="2950"/>
      <c r="VFH23" s="2950"/>
      <c r="VFI23" s="2950"/>
      <c r="VFJ23" s="2950"/>
      <c r="VFK23" s="2950"/>
      <c r="VFL23" s="2950"/>
      <c r="VFM23" s="2950"/>
      <c r="VFN23" s="2950"/>
      <c r="VFO23" s="2950"/>
      <c r="VFP23" s="2950"/>
      <c r="VFQ23" s="2950"/>
      <c r="VFR23" s="2950"/>
      <c r="VFS23" s="2950"/>
      <c r="VFT23" s="2950"/>
      <c r="VFU23" s="2950"/>
      <c r="VFV23" s="2950"/>
      <c r="VFW23" s="2950"/>
      <c r="VFX23" s="2950"/>
      <c r="VFY23" s="2950"/>
      <c r="VFZ23" s="2950"/>
      <c r="VGA23" s="2950"/>
      <c r="VGB23" s="2950"/>
      <c r="VGC23" s="2950"/>
      <c r="VGD23" s="2950"/>
      <c r="VGE23" s="2950"/>
      <c r="VGF23" s="2950"/>
      <c r="VGG23" s="2950"/>
      <c r="VGH23" s="2950"/>
      <c r="VGI23" s="2950"/>
      <c r="VGJ23" s="2950"/>
      <c r="VGK23" s="2950"/>
      <c r="VGL23" s="2950"/>
      <c r="VGM23" s="2950"/>
      <c r="VGN23" s="2950"/>
      <c r="VGO23" s="2950"/>
      <c r="VGP23" s="2950"/>
      <c r="VGQ23" s="2950"/>
      <c r="VGR23" s="2950"/>
      <c r="VGS23" s="2950"/>
      <c r="VGT23" s="2950"/>
      <c r="VGU23" s="2950"/>
      <c r="VGV23" s="2950"/>
      <c r="VGW23" s="2950"/>
      <c r="VGX23" s="2950"/>
      <c r="VGY23" s="2950"/>
      <c r="VGZ23" s="2950"/>
      <c r="VHA23" s="2950"/>
      <c r="VHB23" s="2950"/>
      <c r="VHC23" s="2950"/>
      <c r="VHD23" s="2950"/>
      <c r="VHE23" s="2950"/>
      <c r="VHF23" s="2950"/>
      <c r="VHG23" s="2950"/>
      <c r="VHH23" s="2950"/>
      <c r="VHI23" s="2950"/>
      <c r="VHJ23" s="2950"/>
      <c r="VHK23" s="2950"/>
      <c r="VHL23" s="2950"/>
      <c r="VHM23" s="2950"/>
      <c r="VHN23" s="2950"/>
      <c r="VHO23" s="2950"/>
      <c r="VHP23" s="2950"/>
      <c r="VHQ23" s="2950"/>
      <c r="VHR23" s="2950"/>
      <c r="VHS23" s="2950"/>
      <c r="VHT23" s="2950"/>
      <c r="VHU23" s="2950"/>
      <c r="VHV23" s="2950"/>
      <c r="VHW23" s="2950"/>
      <c r="VHX23" s="2950"/>
      <c r="VHY23" s="2950"/>
      <c r="VHZ23" s="2950"/>
      <c r="VIA23" s="2950"/>
      <c r="VIB23" s="2950"/>
      <c r="VIC23" s="2950"/>
      <c r="VID23" s="2950"/>
      <c r="VIE23" s="2950"/>
      <c r="VIF23" s="2950"/>
      <c r="VIG23" s="2950"/>
      <c r="VIH23" s="2950"/>
      <c r="VII23" s="2950"/>
      <c r="VIJ23" s="2950"/>
      <c r="VIK23" s="2950"/>
      <c r="VIL23" s="2950"/>
      <c r="VIM23" s="2950"/>
      <c r="VIN23" s="2950"/>
      <c r="VIO23" s="2950"/>
      <c r="VIP23" s="2950"/>
      <c r="VIQ23" s="2950"/>
      <c r="VIR23" s="2950"/>
      <c r="VIS23" s="2950"/>
      <c r="VIT23" s="2950"/>
      <c r="VIU23" s="2950"/>
      <c r="VIV23" s="2950"/>
      <c r="VIW23" s="2950"/>
      <c r="VIX23" s="2950"/>
      <c r="VIY23" s="2950"/>
      <c r="VIZ23" s="2950"/>
      <c r="VJA23" s="2950"/>
      <c r="VJB23" s="2950"/>
      <c r="VJC23" s="2950"/>
      <c r="VJD23" s="2950"/>
      <c r="VJE23" s="2950"/>
      <c r="VJF23" s="2950"/>
      <c r="VJG23" s="2950"/>
      <c r="VJH23" s="2950"/>
      <c r="VJI23" s="2950"/>
      <c r="VJJ23" s="2950"/>
      <c r="VJK23" s="2950"/>
      <c r="VJL23" s="2950"/>
      <c r="VJM23" s="2950"/>
      <c r="VJN23" s="2950"/>
      <c r="VJO23" s="2950"/>
      <c r="VJP23" s="2950"/>
      <c r="VJQ23" s="2950"/>
      <c r="VJR23" s="2950"/>
      <c r="VJS23" s="2950"/>
      <c r="VJT23" s="2950"/>
      <c r="VJU23" s="2950"/>
      <c r="VJV23" s="2950"/>
      <c r="VJW23" s="2950"/>
      <c r="VJX23" s="2950"/>
      <c r="VJY23" s="2950"/>
      <c r="VJZ23" s="2950"/>
      <c r="VKA23" s="2950"/>
      <c r="VKB23" s="2950"/>
      <c r="VKC23" s="2950"/>
      <c r="VKD23" s="2950"/>
      <c r="VKE23" s="2950"/>
      <c r="VKF23" s="2950"/>
      <c r="VKG23" s="2950"/>
      <c r="VKH23" s="2950"/>
      <c r="VKI23" s="2950"/>
      <c r="VKJ23" s="2950"/>
      <c r="VKK23" s="2950"/>
      <c r="VKL23" s="2950"/>
      <c r="VKM23" s="2950"/>
      <c r="VKN23" s="2950"/>
      <c r="VKO23" s="2950"/>
      <c r="VKP23" s="2950"/>
      <c r="VKQ23" s="2950"/>
      <c r="VKR23" s="2950"/>
      <c r="VKS23" s="2950"/>
      <c r="VKT23" s="2950"/>
      <c r="VKU23" s="2950"/>
      <c r="VKV23" s="2950"/>
      <c r="VKW23" s="2950"/>
      <c r="VKX23" s="2950"/>
      <c r="VKY23" s="2950"/>
      <c r="VKZ23" s="2950"/>
      <c r="VLA23" s="2950"/>
      <c r="VLB23" s="2950"/>
      <c r="VLC23" s="2950"/>
      <c r="VLD23" s="2950"/>
      <c r="VLE23" s="2950"/>
      <c r="VLF23" s="2950"/>
      <c r="VLG23" s="2950"/>
      <c r="VLH23" s="2950"/>
      <c r="VLI23" s="2950"/>
      <c r="VLJ23" s="2950"/>
      <c r="VLK23" s="2950"/>
      <c r="VLL23" s="2950"/>
      <c r="VLM23" s="2950"/>
      <c r="VLN23" s="2950"/>
      <c r="VLO23" s="2950"/>
      <c r="VLP23" s="2950"/>
      <c r="VLQ23" s="2950"/>
      <c r="VLR23" s="2950"/>
      <c r="VLS23" s="2950"/>
      <c r="VLT23" s="2950"/>
      <c r="VLU23" s="2950"/>
      <c r="VLV23" s="2950"/>
      <c r="VLW23" s="2950"/>
      <c r="VLX23" s="2950"/>
      <c r="VLY23" s="2950"/>
      <c r="VLZ23" s="2950"/>
      <c r="VMA23" s="2950"/>
      <c r="VMB23" s="2950"/>
      <c r="VMC23" s="2950"/>
      <c r="VMD23" s="2950"/>
      <c r="VME23" s="2950"/>
      <c r="VMF23" s="2950"/>
      <c r="VMG23" s="2950"/>
      <c r="VMH23" s="2950"/>
      <c r="VMI23" s="2950"/>
      <c r="VMJ23" s="2950"/>
      <c r="VMK23" s="2950"/>
      <c r="VML23" s="2950"/>
      <c r="VMM23" s="2950"/>
      <c r="VMN23" s="2950"/>
      <c r="VMO23" s="2950"/>
      <c r="VMP23" s="2950"/>
      <c r="VMQ23" s="2950"/>
      <c r="VMR23" s="2950"/>
      <c r="VMS23" s="2950"/>
      <c r="VMT23" s="2950"/>
      <c r="VMU23" s="2950"/>
      <c r="VMV23" s="2950"/>
      <c r="VMW23" s="2950"/>
      <c r="VMX23" s="2950"/>
      <c r="VMY23" s="2950"/>
      <c r="VMZ23" s="2950"/>
      <c r="VNA23" s="2950"/>
      <c r="VNB23" s="2950"/>
      <c r="VNC23" s="2950"/>
      <c r="VND23" s="2950"/>
      <c r="VNE23" s="2950"/>
      <c r="VNF23" s="2950"/>
      <c r="VNG23" s="2950"/>
      <c r="VNH23" s="2950"/>
      <c r="VNI23" s="2950"/>
      <c r="VNJ23" s="2950"/>
      <c r="VNK23" s="2950"/>
      <c r="VNL23" s="2950"/>
      <c r="VNM23" s="2950"/>
      <c r="VNN23" s="2950"/>
      <c r="VNO23" s="2950"/>
      <c r="VNP23" s="2950"/>
      <c r="VNQ23" s="2950"/>
      <c r="VNR23" s="2950"/>
      <c r="VNS23" s="2950"/>
      <c r="VNT23" s="2950"/>
      <c r="VNU23" s="2950"/>
      <c r="VNV23" s="2950"/>
      <c r="VNW23" s="2950"/>
      <c r="VNX23" s="2950"/>
      <c r="VNY23" s="2950"/>
      <c r="VNZ23" s="2950"/>
      <c r="VOA23" s="2950"/>
      <c r="VOB23" s="2950"/>
      <c r="VOC23" s="2950"/>
      <c r="VOD23" s="2950"/>
      <c r="VOE23" s="2950"/>
      <c r="VOF23" s="2950"/>
      <c r="VOG23" s="2950"/>
      <c r="VOH23" s="2950"/>
      <c r="VOI23" s="2950"/>
      <c r="VOJ23" s="2950"/>
      <c r="VOK23" s="2950"/>
      <c r="VOL23" s="2950"/>
      <c r="VOM23" s="2950"/>
      <c r="VON23" s="2950"/>
      <c r="VOO23" s="2950"/>
      <c r="VOP23" s="2950"/>
      <c r="VOQ23" s="2950"/>
      <c r="VOR23" s="2950"/>
      <c r="VOS23" s="2950"/>
      <c r="VOT23" s="2950"/>
      <c r="VOU23" s="2950"/>
      <c r="VOV23" s="2950"/>
      <c r="VOW23" s="2950"/>
      <c r="VOX23" s="2950"/>
      <c r="VOY23" s="2950"/>
      <c r="VOZ23" s="2950"/>
      <c r="VPA23" s="2950"/>
      <c r="VPB23" s="2950"/>
      <c r="VPC23" s="2950"/>
      <c r="VPD23" s="2950"/>
      <c r="VPE23" s="2950"/>
      <c r="VPF23" s="2950"/>
      <c r="VPG23" s="2950"/>
      <c r="VPH23" s="2950"/>
      <c r="VPI23" s="2950"/>
      <c r="VPJ23" s="2950"/>
      <c r="VPK23" s="2950"/>
      <c r="VPL23" s="2950"/>
      <c r="VPM23" s="2950"/>
      <c r="VPN23" s="2950"/>
      <c r="VPO23" s="2950"/>
      <c r="VPP23" s="2950"/>
      <c r="VPQ23" s="2950"/>
      <c r="VPR23" s="2950"/>
      <c r="VPS23" s="2950"/>
      <c r="VPT23" s="2950"/>
      <c r="VPU23" s="2950"/>
      <c r="VPV23" s="2950"/>
      <c r="VPW23" s="2950"/>
      <c r="VPX23" s="2950"/>
      <c r="VPY23" s="2950"/>
      <c r="VPZ23" s="2950"/>
      <c r="VQA23" s="2950"/>
      <c r="VQB23" s="2950"/>
      <c r="VQC23" s="2950"/>
      <c r="VQD23" s="2950"/>
      <c r="VQE23" s="2950"/>
      <c r="VQF23" s="2950"/>
      <c r="VQG23" s="2950"/>
      <c r="VQH23" s="2950"/>
      <c r="VQI23" s="2950"/>
      <c r="VQJ23" s="2950"/>
      <c r="VQK23" s="2950"/>
      <c r="VQL23" s="2950"/>
      <c r="VQM23" s="2950"/>
      <c r="VQN23" s="2950"/>
      <c r="VQO23" s="2950"/>
      <c r="VQP23" s="2950"/>
      <c r="VQQ23" s="2950"/>
      <c r="VQR23" s="2950"/>
      <c r="VQS23" s="2950"/>
      <c r="VQT23" s="2950"/>
      <c r="VQU23" s="2950"/>
      <c r="VQV23" s="2950"/>
      <c r="VQW23" s="2950"/>
      <c r="VQX23" s="2950"/>
      <c r="VQY23" s="2950"/>
      <c r="VQZ23" s="2950"/>
      <c r="VRA23" s="2950"/>
      <c r="VRB23" s="2950"/>
      <c r="VRC23" s="2950"/>
      <c r="VRD23" s="2950"/>
      <c r="VRE23" s="2950"/>
      <c r="VRF23" s="2950"/>
      <c r="VRG23" s="2950"/>
      <c r="VRH23" s="2950"/>
      <c r="VRI23" s="2950"/>
      <c r="VRJ23" s="2950"/>
      <c r="VRK23" s="2950"/>
      <c r="VRL23" s="2950"/>
      <c r="VRM23" s="2950"/>
      <c r="VRN23" s="2950"/>
      <c r="VRO23" s="2950"/>
      <c r="VRP23" s="2950"/>
      <c r="VRQ23" s="2950"/>
      <c r="VRR23" s="2950"/>
      <c r="VRS23" s="2950"/>
      <c r="VRT23" s="2950"/>
      <c r="VRU23" s="2950"/>
      <c r="VRV23" s="2950"/>
      <c r="VRW23" s="2950"/>
      <c r="VRX23" s="2950"/>
      <c r="VRY23" s="2950"/>
      <c r="VRZ23" s="2950"/>
      <c r="VSA23" s="2950"/>
      <c r="VSB23" s="2950"/>
      <c r="VSC23" s="2950"/>
      <c r="VSD23" s="2950"/>
      <c r="VSE23" s="2950"/>
      <c r="VSF23" s="2950"/>
      <c r="VSG23" s="2950"/>
      <c r="VSH23" s="2950"/>
      <c r="VSI23" s="2950"/>
      <c r="VSJ23" s="2950"/>
      <c r="VSK23" s="2950"/>
      <c r="VSL23" s="2950"/>
      <c r="VSM23" s="2950"/>
      <c r="VSN23" s="2950"/>
      <c r="VSO23" s="2950"/>
      <c r="VSP23" s="2950"/>
      <c r="VSQ23" s="2950"/>
      <c r="VSR23" s="2950"/>
      <c r="VSS23" s="2950"/>
      <c r="VST23" s="2950"/>
      <c r="VSU23" s="2950"/>
      <c r="VSV23" s="2950"/>
      <c r="VSW23" s="2950"/>
      <c r="VSX23" s="2950"/>
      <c r="VSY23" s="2950"/>
      <c r="VSZ23" s="2950"/>
      <c r="VTA23" s="2950"/>
      <c r="VTB23" s="2950"/>
      <c r="VTC23" s="2950"/>
      <c r="VTD23" s="2950"/>
      <c r="VTE23" s="2950"/>
      <c r="VTF23" s="2950"/>
      <c r="VTG23" s="2950"/>
      <c r="VTH23" s="2950"/>
      <c r="VTI23" s="2950"/>
      <c r="VTJ23" s="2950"/>
      <c r="VTK23" s="2950"/>
      <c r="VTL23" s="2950"/>
      <c r="VTM23" s="2950"/>
      <c r="VTN23" s="2950"/>
      <c r="VTO23" s="2950"/>
      <c r="VTP23" s="2950"/>
      <c r="VTQ23" s="2950"/>
      <c r="VTR23" s="2950"/>
      <c r="VTS23" s="2950"/>
      <c r="VTT23" s="2950"/>
      <c r="VTU23" s="2950"/>
      <c r="VTV23" s="2950"/>
      <c r="VTW23" s="2950"/>
      <c r="VTX23" s="2950"/>
      <c r="VTY23" s="2950"/>
      <c r="VTZ23" s="2950"/>
      <c r="VUA23" s="2950"/>
      <c r="VUB23" s="2950"/>
      <c r="VUC23" s="2950"/>
      <c r="VUD23" s="2950"/>
      <c r="VUE23" s="2950"/>
      <c r="VUF23" s="2950"/>
      <c r="VUG23" s="2950"/>
      <c r="VUH23" s="2950"/>
      <c r="VUI23" s="2950"/>
      <c r="VUJ23" s="2950"/>
      <c r="VUK23" s="2950"/>
      <c r="VUL23" s="2950"/>
      <c r="VUM23" s="2950"/>
      <c r="VUN23" s="2950"/>
      <c r="VUO23" s="2950"/>
      <c r="VUP23" s="2950"/>
      <c r="VUQ23" s="2950"/>
      <c r="VUR23" s="2950"/>
      <c r="VUS23" s="2950"/>
      <c r="VUT23" s="2950"/>
      <c r="VUU23" s="2950"/>
      <c r="VUV23" s="2950"/>
      <c r="VUW23" s="2950"/>
      <c r="VUX23" s="2950"/>
      <c r="VUY23" s="2950"/>
      <c r="VUZ23" s="2950"/>
      <c r="VVA23" s="2950"/>
      <c r="VVB23" s="2950"/>
      <c r="VVC23" s="2950"/>
      <c r="VVD23" s="2950"/>
      <c r="VVE23" s="2950"/>
      <c r="VVF23" s="2950"/>
      <c r="VVG23" s="2950"/>
      <c r="VVH23" s="2950"/>
      <c r="VVI23" s="2950"/>
      <c r="VVJ23" s="2950"/>
      <c r="VVK23" s="2950"/>
      <c r="VVL23" s="2950"/>
      <c r="VVM23" s="2950"/>
      <c r="VVN23" s="2950"/>
      <c r="VVO23" s="2950"/>
      <c r="VVP23" s="2950"/>
      <c r="VVQ23" s="2950"/>
      <c r="VVR23" s="2950"/>
      <c r="VVS23" s="2950"/>
      <c r="VVT23" s="2950"/>
      <c r="VVU23" s="2950"/>
      <c r="VVV23" s="2950"/>
      <c r="VVW23" s="2950"/>
      <c r="VVX23" s="2950"/>
      <c r="VVY23" s="2950"/>
      <c r="VVZ23" s="2950"/>
      <c r="VWA23" s="2950"/>
      <c r="VWB23" s="2950"/>
      <c r="VWC23" s="2950"/>
      <c r="VWD23" s="2950"/>
      <c r="VWE23" s="2950"/>
      <c r="VWF23" s="2950"/>
      <c r="VWG23" s="2950"/>
      <c r="VWH23" s="2950"/>
      <c r="VWI23" s="2950"/>
      <c r="VWJ23" s="2950"/>
      <c r="VWK23" s="2950"/>
      <c r="VWL23" s="2950"/>
      <c r="VWM23" s="2950"/>
      <c r="VWN23" s="2950"/>
      <c r="VWO23" s="2950"/>
      <c r="VWP23" s="2950"/>
      <c r="VWQ23" s="2950"/>
      <c r="VWR23" s="2950"/>
      <c r="VWS23" s="2950"/>
      <c r="VWT23" s="2950"/>
      <c r="VWU23" s="2950"/>
      <c r="VWV23" s="2950"/>
      <c r="VWW23" s="2950"/>
      <c r="VWX23" s="2950"/>
      <c r="VWY23" s="2950"/>
      <c r="VWZ23" s="2950"/>
      <c r="VXA23" s="2950"/>
      <c r="VXB23" s="2950"/>
      <c r="VXC23" s="2950"/>
      <c r="VXD23" s="2950"/>
      <c r="VXE23" s="2950"/>
      <c r="VXF23" s="2950"/>
      <c r="VXG23" s="2950"/>
      <c r="VXH23" s="2950"/>
      <c r="VXI23" s="2950"/>
      <c r="VXJ23" s="2950"/>
      <c r="VXK23" s="2950"/>
      <c r="VXL23" s="2950"/>
      <c r="VXM23" s="2950"/>
      <c r="VXN23" s="2950"/>
      <c r="VXO23" s="2950"/>
      <c r="VXP23" s="2950"/>
      <c r="VXQ23" s="2950"/>
      <c r="VXR23" s="2950"/>
      <c r="VXS23" s="2950"/>
      <c r="VXT23" s="2950"/>
      <c r="VXU23" s="2950"/>
      <c r="VXV23" s="2950"/>
      <c r="VXW23" s="2950"/>
      <c r="VXX23" s="2950"/>
      <c r="VXY23" s="2950"/>
      <c r="VXZ23" s="2950"/>
      <c r="VYA23" s="2950"/>
      <c r="VYB23" s="2950"/>
      <c r="VYC23" s="2950"/>
      <c r="VYD23" s="2950"/>
      <c r="VYE23" s="2950"/>
      <c r="VYF23" s="2950"/>
      <c r="VYG23" s="2950"/>
      <c r="VYH23" s="2950"/>
      <c r="VYI23" s="2950"/>
      <c r="VYJ23" s="2950"/>
      <c r="VYK23" s="2950"/>
      <c r="VYL23" s="2950"/>
      <c r="VYM23" s="2950"/>
      <c r="VYN23" s="2950"/>
      <c r="VYO23" s="2950"/>
      <c r="VYP23" s="2950"/>
      <c r="VYQ23" s="2950"/>
      <c r="VYR23" s="2950"/>
      <c r="VYS23" s="2950"/>
      <c r="VYT23" s="2950"/>
      <c r="VYU23" s="2950"/>
      <c r="VYV23" s="2950"/>
      <c r="VYW23" s="2950"/>
      <c r="VYX23" s="2950"/>
      <c r="VYY23" s="2950"/>
      <c r="VYZ23" s="2950"/>
      <c r="VZA23" s="2950"/>
      <c r="VZB23" s="2950"/>
      <c r="VZC23" s="2950"/>
      <c r="VZD23" s="2950"/>
      <c r="VZE23" s="2950"/>
      <c r="VZF23" s="2950"/>
      <c r="VZG23" s="2950"/>
      <c r="VZH23" s="2950"/>
      <c r="VZI23" s="2950"/>
      <c r="VZJ23" s="2950"/>
      <c r="VZK23" s="2950"/>
      <c r="VZL23" s="2950"/>
      <c r="VZM23" s="2950"/>
      <c r="VZN23" s="2950"/>
      <c r="VZO23" s="2950"/>
      <c r="VZP23" s="2950"/>
      <c r="VZQ23" s="2950"/>
      <c r="VZR23" s="2950"/>
      <c r="VZS23" s="2950"/>
      <c r="VZT23" s="2950"/>
      <c r="VZU23" s="2950"/>
      <c r="VZV23" s="2950"/>
      <c r="VZW23" s="2950"/>
      <c r="VZX23" s="2950"/>
      <c r="VZY23" s="2950"/>
      <c r="VZZ23" s="2950"/>
      <c r="WAA23" s="2950"/>
      <c r="WAB23" s="2950"/>
      <c r="WAC23" s="2950"/>
      <c r="WAD23" s="2950"/>
      <c r="WAE23" s="2950"/>
      <c r="WAF23" s="2950"/>
      <c r="WAG23" s="2950"/>
      <c r="WAH23" s="2950"/>
      <c r="WAI23" s="2950"/>
      <c r="WAJ23" s="2950"/>
      <c r="WAK23" s="2950"/>
      <c r="WAL23" s="2950"/>
      <c r="WAM23" s="2950"/>
      <c r="WAN23" s="2950"/>
      <c r="WAO23" s="2950"/>
      <c r="WAP23" s="2950"/>
      <c r="WAQ23" s="2950"/>
      <c r="WAR23" s="2950"/>
      <c r="WAS23" s="2950"/>
      <c r="WAT23" s="2950"/>
      <c r="WAU23" s="2950"/>
      <c r="WAV23" s="2950"/>
      <c r="WAW23" s="2950"/>
      <c r="WAX23" s="2950"/>
      <c r="WAY23" s="2950"/>
      <c r="WAZ23" s="2950"/>
      <c r="WBA23" s="2950"/>
      <c r="WBB23" s="2950"/>
      <c r="WBC23" s="2950"/>
      <c r="WBD23" s="2950"/>
      <c r="WBE23" s="2950"/>
      <c r="WBF23" s="2950"/>
      <c r="WBG23" s="2950"/>
      <c r="WBH23" s="2950"/>
      <c r="WBI23" s="2950"/>
      <c r="WBJ23" s="2950"/>
      <c r="WBK23" s="2950"/>
      <c r="WBL23" s="2950"/>
      <c r="WBM23" s="2950"/>
      <c r="WBN23" s="2950"/>
      <c r="WBO23" s="2950"/>
      <c r="WBP23" s="2950"/>
      <c r="WBQ23" s="2950"/>
      <c r="WBR23" s="2950"/>
      <c r="WBS23" s="2950"/>
      <c r="WBT23" s="2950"/>
      <c r="WBU23" s="2950"/>
      <c r="WBV23" s="2950"/>
      <c r="WBW23" s="2950"/>
      <c r="WBX23" s="2950"/>
      <c r="WBY23" s="2950"/>
      <c r="WBZ23" s="2950"/>
      <c r="WCA23" s="2950"/>
      <c r="WCB23" s="2950"/>
      <c r="WCC23" s="2950"/>
      <c r="WCD23" s="2950"/>
      <c r="WCE23" s="2950"/>
      <c r="WCF23" s="2950"/>
      <c r="WCG23" s="2950"/>
      <c r="WCH23" s="2950"/>
      <c r="WCI23" s="2950"/>
      <c r="WCJ23" s="2950"/>
      <c r="WCK23" s="2950"/>
      <c r="WCL23" s="2950"/>
      <c r="WCM23" s="2950"/>
      <c r="WCN23" s="2950"/>
      <c r="WCO23" s="2950"/>
      <c r="WCP23" s="2950"/>
      <c r="WCQ23" s="2950"/>
      <c r="WCR23" s="2950"/>
      <c r="WCS23" s="2950"/>
      <c r="WCT23" s="2950"/>
      <c r="WCU23" s="2950"/>
      <c r="WCV23" s="2950"/>
      <c r="WCW23" s="2950"/>
      <c r="WCX23" s="2950"/>
      <c r="WCY23" s="2950"/>
      <c r="WCZ23" s="2950"/>
      <c r="WDA23" s="2950"/>
      <c r="WDB23" s="2950"/>
      <c r="WDC23" s="2950"/>
      <c r="WDD23" s="2950"/>
      <c r="WDE23" s="2950"/>
      <c r="WDF23" s="2950"/>
      <c r="WDG23" s="2950"/>
      <c r="WDH23" s="2950"/>
      <c r="WDI23" s="2950"/>
      <c r="WDJ23" s="2950"/>
      <c r="WDK23" s="2950"/>
      <c r="WDL23" s="2950"/>
      <c r="WDM23" s="2950"/>
      <c r="WDN23" s="2950"/>
      <c r="WDO23" s="2950"/>
      <c r="WDP23" s="2950"/>
      <c r="WDQ23" s="2950"/>
      <c r="WDR23" s="2950"/>
      <c r="WDS23" s="2950"/>
      <c r="WDT23" s="2950"/>
      <c r="WDU23" s="2950"/>
      <c r="WDV23" s="2950"/>
      <c r="WDW23" s="2950"/>
      <c r="WDX23" s="2950"/>
      <c r="WDY23" s="2950"/>
      <c r="WDZ23" s="2950"/>
      <c r="WEA23" s="2950"/>
      <c r="WEB23" s="2950"/>
      <c r="WEC23" s="2950"/>
      <c r="WED23" s="2950"/>
      <c r="WEE23" s="2950"/>
      <c r="WEF23" s="2950"/>
      <c r="WEG23" s="2950"/>
      <c r="WEH23" s="2950"/>
      <c r="WEI23" s="2950"/>
      <c r="WEJ23" s="2950"/>
      <c r="WEK23" s="2950"/>
      <c r="WEL23" s="2950"/>
      <c r="WEM23" s="2950"/>
      <c r="WEN23" s="2950"/>
      <c r="WEO23" s="2950"/>
      <c r="WEP23" s="2950"/>
      <c r="WEQ23" s="2950"/>
      <c r="WER23" s="2950"/>
      <c r="WES23" s="2950"/>
      <c r="WET23" s="2950"/>
      <c r="WEU23" s="2950"/>
      <c r="WEV23" s="2950"/>
      <c r="WEW23" s="2950"/>
      <c r="WEX23" s="2950"/>
      <c r="WEY23" s="2950"/>
      <c r="WEZ23" s="2950"/>
      <c r="WFA23" s="2950"/>
      <c r="WFB23" s="2950"/>
      <c r="WFC23" s="2950"/>
      <c r="WFD23" s="2950"/>
      <c r="WFE23" s="2950"/>
      <c r="WFF23" s="2950"/>
      <c r="WFG23" s="2950"/>
      <c r="WFH23" s="2950"/>
      <c r="WFI23" s="2950"/>
      <c r="WFJ23" s="2950"/>
      <c r="WFK23" s="2950"/>
      <c r="WFL23" s="2950"/>
      <c r="WFM23" s="2950"/>
      <c r="WFN23" s="2950"/>
      <c r="WFO23" s="2950"/>
      <c r="WFP23" s="2950"/>
      <c r="WFQ23" s="2950"/>
      <c r="WFR23" s="2950"/>
      <c r="WFS23" s="2950"/>
      <c r="WFT23" s="2950"/>
      <c r="WFU23" s="2950"/>
      <c r="WFV23" s="2950"/>
      <c r="WFW23" s="2950"/>
      <c r="WFX23" s="2950"/>
      <c r="WFY23" s="2950"/>
      <c r="WFZ23" s="2950"/>
      <c r="WGA23" s="2950"/>
      <c r="WGB23" s="2950"/>
      <c r="WGC23" s="2950"/>
      <c r="WGD23" s="2950"/>
      <c r="WGE23" s="2950"/>
      <c r="WGF23" s="2950"/>
      <c r="WGG23" s="2950"/>
      <c r="WGH23" s="2950"/>
      <c r="WGI23" s="2950"/>
      <c r="WGJ23" s="2950"/>
      <c r="WGK23" s="2950"/>
      <c r="WGL23" s="2950"/>
      <c r="WGM23" s="2950"/>
      <c r="WGN23" s="2950"/>
      <c r="WGO23" s="2950"/>
      <c r="WGP23" s="2950"/>
      <c r="WGQ23" s="2950"/>
      <c r="WGR23" s="2950"/>
      <c r="WGS23" s="2950"/>
      <c r="WGT23" s="2950"/>
      <c r="WGU23" s="2950"/>
      <c r="WGV23" s="2950"/>
      <c r="WGW23" s="2950"/>
      <c r="WGX23" s="2950"/>
      <c r="WGY23" s="2950"/>
      <c r="WGZ23" s="2950"/>
      <c r="WHA23" s="2950"/>
      <c r="WHB23" s="2950"/>
      <c r="WHC23" s="2950"/>
      <c r="WHD23" s="2950"/>
      <c r="WHE23" s="2950"/>
      <c r="WHF23" s="2950"/>
      <c r="WHG23" s="2950"/>
      <c r="WHH23" s="2950"/>
      <c r="WHI23" s="2950"/>
      <c r="WHJ23" s="2950"/>
      <c r="WHK23" s="2950"/>
      <c r="WHL23" s="2950"/>
      <c r="WHM23" s="2950"/>
      <c r="WHN23" s="2950"/>
      <c r="WHO23" s="2950"/>
      <c r="WHP23" s="2950"/>
      <c r="WHQ23" s="2950"/>
      <c r="WHR23" s="2950"/>
      <c r="WHS23" s="2950"/>
      <c r="WHT23" s="2950"/>
      <c r="WHU23" s="2950"/>
      <c r="WHV23" s="2950"/>
      <c r="WHW23" s="2950"/>
      <c r="WHX23" s="2950"/>
      <c r="WHY23" s="2950"/>
      <c r="WHZ23" s="2950"/>
      <c r="WIA23" s="2950"/>
      <c r="WIB23" s="2950"/>
      <c r="WIC23" s="2950"/>
      <c r="WID23" s="2950"/>
      <c r="WIE23" s="2950"/>
      <c r="WIF23" s="2950"/>
      <c r="WIG23" s="2950"/>
      <c r="WIH23" s="2950"/>
      <c r="WII23" s="2950"/>
      <c r="WIJ23" s="2950"/>
      <c r="WIK23" s="2950"/>
      <c r="WIL23" s="2950"/>
      <c r="WIM23" s="2950"/>
      <c r="WIN23" s="2950"/>
      <c r="WIO23" s="2950"/>
      <c r="WIP23" s="2950"/>
      <c r="WIQ23" s="2950"/>
      <c r="WIR23" s="2950"/>
      <c r="WIS23" s="2950"/>
      <c r="WIT23" s="2950"/>
      <c r="WIU23" s="2950"/>
      <c r="WIV23" s="2950"/>
      <c r="WIW23" s="2950"/>
      <c r="WIX23" s="2950"/>
      <c r="WIY23" s="2950"/>
      <c r="WIZ23" s="2950"/>
      <c r="WJA23" s="2950"/>
      <c r="WJB23" s="2950"/>
      <c r="WJC23" s="2950"/>
      <c r="WJD23" s="2950"/>
      <c r="WJE23" s="2950"/>
      <c r="WJF23" s="2950"/>
      <c r="WJG23" s="2950"/>
      <c r="WJH23" s="2950"/>
      <c r="WJI23" s="2950"/>
      <c r="WJJ23" s="2950"/>
      <c r="WJK23" s="2950"/>
      <c r="WJL23" s="2950"/>
      <c r="WJM23" s="2950"/>
      <c r="WJN23" s="2950"/>
      <c r="WJO23" s="2950"/>
      <c r="WJP23" s="2950"/>
      <c r="WJQ23" s="2950"/>
      <c r="WJR23" s="2950"/>
      <c r="WJS23" s="2950"/>
      <c r="WJT23" s="2950"/>
      <c r="WJU23" s="2950"/>
      <c r="WJV23" s="2950"/>
      <c r="WJW23" s="2950"/>
      <c r="WJX23" s="2950"/>
      <c r="WJY23" s="2950"/>
      <c r="WJZ23" s="2950"/>
      <c r="WKA23" s="2950"/>
      <c r="WKB23" s="2950"/>
      <c r="WKC23" s="2950"/>
      <c r="WKD23" s="2950"/>
      <c r="WKE23" s="2950"/>
      <c r="WKF23" s="2950"/>
      <c r="WKG23" s="2950"/>
      <c r="WKH23" s="2950"/>
      <c r="WKI23" s="2950"/>
      <c r="WKJ23" s="2950"/>
      <c r="WKK23" s="2950"/>
      <c r="WKL23" s="2950"/>
      <c r="WKM23" s="2950"/>
      <c r="WKN23" s="2950"/>
      <c r="WKO23" s="2950"/>
      <c r="WKP23" s="2950"/>
      <c r="WKQ23" s="2950"/>
      <c r="WKR23" s="2950"/>
      <c r="WKS23" s="2950"/>
      <c r="WKT23" s="2950"/>
      <c r="WKU23" s="2950"/>
      <c r="WKV23" s="2950"/>
      <c r="WKW23" s="2950"/>
      <c r="WKX23" s="2950"/>
      <c r="WKY23" s="2950"/>
      <c r="WKZ23" s="2950"/>
      <c r="WLA23" s="2950"/>
      <c r="WLB23" s="2950"/>
      <c r="WLC23" s="2950"/>
      <c r="WLD23" s="2950"/>
      <c r="WLE23" s="2950"/>
      <c r="WLF23" s="2950"/>
      <c r="WLG23" s="2950"/>
      <c r="WLH23" s="2950"/>
      <c r="WLI23" s="2950"/>
      <c r="WLJ23" s="2950"/>
      <c r="WLK23" s="2950"/>
      <c r="WLL23" s="2950"/>
      <c r="WLM23" s="2950"/>
      <c r="WLN23" s="2950"/>
      <c r="WLO23" s="2950"/>
      <c r="WLP23" s="2950"/>
      <c r="WLQ23" s="2950"/>
      <c r="WLR23" s="2950"/>
      <c r="WLS23" s="2950"/>
      <c r="WLT23" s="2950"/>
      <c r="WLU23" s="2950"/>
      <c r="WLV23" s="2950"/>
      <c r="WLW23" s="2950"/>
      <c r="WLX23" s="2950"/>
      <c r="WLY23" s="2950"/>
      <c r="WLZ23" s="2950"/>
      <c r="WMA23" s="2950"/>
      <c r="WMB23" s="2950"/>
      <c r="WMC23" s="2950"/>
      <c r="WMD23" s="2950"/>
      <c r="WME23" s="2950"/>
      <c r="WMF23" s="2950"/>
      <c r="WMG23" s="2950"/>
      <c r="WMH23" s="2950"/>
      <c r="WMI23" s="2950"/>
      <c r="WMJ23" s="2950"/>
      <c r="WMK23" s="2950"/>
      <c r="WML23" s="2950"/>
      <c r="WMM23" s="2950"/>
      <c r="WMN23" s="2950"/>
      <c r="WMO23" s="2950"/>
      <c r="WMP23" s="2950"/>
      <c r="WMQ23" s="2950"/>
      <c r="WMR23" s="2950"/>
      <c r="WMS23" s="2950"/>
      <c r="WMT23" s="2950"/>
      <c r="WMU23" s="2950"/>
      <c r="WMV23" s="2950"/>
      <c r="WMW23" s="2950"/>
      <c r="WMX23" s="2950"/>
      <c r="WMY23" s="2950"/>
      <c r="WMZ23" s="2950"/>
      <c r="WNA23" s="2950"/>
      <c r="WNB23" s="2950"/>
      <c r="WNC23" s="2950"/>
      <c r="WND23" s="2950"/>
      <c r="WNE23" s="2950"/>
      <c r="WNF23" s="2950"/>
      <c r="WNG23" s="2950"/>
      <c r="WNH23" s="2950"/>
      <c r="WNI23" s="2950"/>
      <c r="WNJ23" s="2950"/>
      <c r="WNK23" s="2950"/>
      <c r="WNL23" s="2950"/>
      <c r="WNM23" s="2950"/>
      <c r="WNN23" s="2950"/>
      <c r="WNO23" s="2950"/>
      <c r="WNP23" s="2950"/>
      <c r="WNQ23" s="2950"/>
      <c r="WNR23" s="2950"/>
      <c r="WNS23" s="2950"/>
      <c r="WNT23" s="2950"/>
      <c r="WNU23" s="2950"/>
      <c r="WNV23" s="2950"/>
      <c r="WNW23" s="2950"/>
      <c r="WNX23" s="2950"/>
      <c r="WNY23" s="2950"/>
      <c r="WNZ23" s="2950"/>
      <c r="WOA23" s="2950"/>
      <c r="WOB23" s="2950"/>
      <c r="WOC23" s="2950"/>
      <c r="WOD23" s="2950"/>
      <c r="WOE23" s="2950"/>
      <c r="WOF23" s="2950"/>
      <c r="WOG23" s="2950"/>
      <c r="WOH23" s="2950"/>
      <c r="WOI23" s="2950"/>
      <c r="WOJ23" s="2950"/>
      <c r="WOK23" s="2950"/>
      <c r="WOL23" s="2950"/>
      <c r="WOM23" s="2950"/>
      <c r="WON23" s="2950"/>
      <c r="WOO23" s="2950"/>
      <c r="WOP23" s="2950"/>
      <c r="WOQ23" s="2950"/>
      <c r="WOR23" s="2950"/>
      <c r="WOS23" s="2950"/>
      <c r="WOT23" s="2950"/>
      <c r="WOU23" s="2950"/>
      <c r="WOV23" s="2950"/>
      <c r="WOW23" s="2950"/>
      <c r="WOX23" s="2950"/>
      <c r="WOY23" s="2950"/>
      <c r="WOZ23" s="2950"/>
      <c r="WPA23" s="2950"/>
      <c r="WPB23" s="2950"/>
      <c r="WPC23" s="2950"/>
      <c r="WPD23" s="2950"/>
      <c r="WPE23" s="2950"/>
      <c r="WPF23" s="2950"/>
      <c r="WPG23" s="2950"/>
      <c r="WPH23" s="2950"/>
      <c r="WPI23" s="2950"/>
      <c r="WPJ23" s="2950"/>
      <c r="WPK23" s="2950"/>
      <c r="WPL23" s="2950"/>
      <c r="WPM23" s="2950"/>
      <c r="WPN23" s="2950"/>
      <c r="WPO23" s="2950"/>
      <c r="WPP23" s="2950"/>
      <c r="WPQ23" s="2950"/>
      <c r="WPR23" s="2950"/>
      <c r="WPS23" s="2950"/>
      <c r="WPT23" s="2950"/>
      <c r="WPU23" s="2950"/>
      <c r="WPV23" s="2950"/>
      <c r="WPW23" s="2950"/>
      <c r="WPX23" s="2950"/>
      <c r="WPY23" s="2950"/>
      <c r="WPZ23" s="2950"/>
      <c r="WQA23" s="2950"/>
      <c r="WQB23" s="2950"/>
      <c r="WQC23" s="2950"/>
      <c r="WQD23" s="2950"/>
      <c r="WQE23" s="2950"/>
      <c r="WQF23" s="2950"/>
      <c r="WQG23" s="2950"/>
      <c r="WQH23" s="2950"/>
      <c r="WQI23" s="2950"/>
      <c r="WQJ23" s="2950"/>
      <c r="WQK23" s="2950"/>
      <c r="WQL23" s="2950"/>
      <c r="WQM23" s="2950"/>
      <c r="WQN23" s="2950"/>
      <c r="WQO23" s="2950"/>
      <c r="WQP23" s="2950"/>
      <c r="WQQ23" s="2950"/>
      <c r="WQR23" s="2950"/>
      <c r="WQS23" s="2950"/>
      <c r="WQT23" s="2950"/>
      <c r="WQU23" s="2950"/>
      <c r="WQV23" s="2950"/>
      <c r="WQW23" s="2950"/>
      <c r="WQX23" s="2950"/>
      <c r="WQY23" s="2950"/>
      <c r="WQZ23" s="2950"/>
      <c r="WRA23" s="2950"/>
      <c r="WRB23" s="2950"/>
      <c r="WRC23" s="2950"/>
      <c r="WRD23" s="2950"/>
      <c r="WRE23" s="2950"/>
      <c r="WRF23" s="2950"/>
      <c r="WRG23" s="2950"/>
      <c r="WRH23" s="2950"/>
      <c r="WRI23" s="2950"/>
      <c r="WRJ23" s="2950"/>
      <c r="WRK23" s="2950"/>
      <c r="WRL23" s="2950"/>
      <c r="WRM23" s="2950"/>
      <c r="WRN23" s="2950"/>
      <c r="WRO23" s="2950"/>
      <c r="WRP23" s="2950"/>
      <c r="WRQ23" s="2950"/>
      <c r="WRR23" s="2950"/>
      <c r="WRS23" s="2950"/>
      <c r="WRT23" s="2950"/>
      <c r="WRU23" s="2950"/>
      <c r="WRV23" s="2950"/>
      <c r="WRW23" s="2950"/>
      <c r="WRX23" s="2950"/>
      <c r="WRY23" s="2950"/>
      <c r="WRZ23" s="2950"/>
      <c r="WSA23" s="2950"/>
      <c r="WSB23" s="2950"/>
      <c r="WSC23" s="2950"/>
      <c r="WSD23" s="2950"/>
      <c r="WSE23" s="2950"/>
      <c r="WSF23" s="2950"/>
      <c r="WSG23" s="2950"/>
      <c r="WSH23" s="2950"/>
      <c r="WSI23" s="2950"/>
      <c r="WSJ23" s="2950"/>
      <c r="WSK23" s="2950"/>
      <c r="WSL23" s="2950"/>
      <c r="WSM23" s="2950"/>
      <c r="WSN23" s="2950"/>
      <c r="WSO23" s="2950"/>
      <c r="WSP23" s="2950"/>
      <c r="WSQ23" s="2950"/>
      <c r="WSR23" s="2950"/>
      <c r="WSS23" s="2950"/>
      <c r="WST23" s="2950"/>
      <c r="WSU23" s="2950"/>
      <c r="WSV23" s="2950"/>
      <c r="WSW23" s="2950"/>
      <c r="WSX23" s="2950"/>
      <c r="WSY23" s="2950"/>
      <c r="WSZ23" s="2950"/>
      <c r="WTA23" s="2950"/>
      <c r="WTB23" s="2950"/>
      <c r="WTC23" s="2950"/>
      <c r="WTD23" s="2950"/>
      <c r="WTE23" s="2950"/>
      <c r="WTF23" s="2950"/>
      <c r="WTG23" s="2950"/>
      <c r="WTH23" s="2950"/>
      <c r="WTI23" s="2950"/>
      <c r="WTJ23" s="2950"/>
      <c r="WTK23" s="2950"/>
      <c r="WTL23" s="2950"/>
      <c r="WTM23" s="2950"/>
      <c r="WTN23" s="2950"/>
      <c r="WTO23" s="2950"/>
      <c r="WTP23" s="2950"/>
      <c r="WTQ23" s="2950"/>
      <c r="WTR23" s="2950"/>
      <c r="WTS23" s="2950"/>
      <c r="WTT23" s="2950"/>
      <c r="WTU23" s="2950"/>
      <c r="WTV23" s="2950"/>
      <c r="WTW23" s="2950"/>
      <c r="WTX23" s="2950"/>
      <c r="WTY23" s="2950"/>
      <c r="WTZ23" s="2950"/>
      <c r="WUA23" s="2950"/>
      <c r="WUB23" s="2950"/>
      <c r="WUC23" s="2950"/>
      <c r="WUD23" s="2950"/>
      <c r="WUE23" s="2950"/>
      <c r="WUF23" s="2950"/>
      <c r="WUG23" s="2950"/>
      <c r="WUH23" s="2950"/>
      <c r="WUI23" s="2950"/>
      <c r="WUJ23" s="2950"/>
      <c r="WUK23" s="2950"/>
      <c r="WUL23" s="2950"/>
      <c r="WUM23" s="2950"/>
      <c r="WUN23" s="2950"/>
      <c r="WUO23" s="2950"/>
      <c r="WUP23" s="2950"/>
      <c r="WUQ23" s="2950"/>
      <c r="WUR23" s="2950"/>
      <c r="WUS23" s="2950"/>
      <c r="WUT23" s="2950"/>
      <c r="WUU23" s="2950"/>
      <c r="WUV23" s="2950"/>
      <c r="WUW23" s="2950"/>
      <c r="WUX23" s="2950"/>
      <c r="WUY23" s="2950"/>
      <c r="WUZ23" s="2950"/>
      <c r="WVA23" s="2950"/>
      <c r="WVB23" s="2950"/>
      <c r="WVC23" s="2950"/>
      <c r="WVD23" s="2950"/>
      <c r="WVE23" s="2950"/>
      <c r="WVF23" s="2950"/>
      <c r="WVG23" s="2950"/>
      <c r="WVH23" s="2950"/>
      <c r="WVI23" s="2950"/>
      <c r="WVJ23" s="2950"/>
      <c r="WVK23" s="2950"/>
      <c r="WVL23" s="2950"/>
      <c r="WVM23" s="2950"/>
      <c r="WVN23" s="2950"/>
      <c r="WVO23" s="2950"/>
      <c r="WVP23" s="2950"/>
      <c r="WVQ23" s="2950"/>
      <c r="WVR23" s="2950"/>
      <c r="WVS23" s="2950"/>
      <c r="WVT23" s="2950"/>
      <c r="WVU23" s="2950"/>
      <c r="WVV23" s="2950"/>
      <c r="WVW23" s="2950"/>
      <c r="WVX23" s="2950"/>
      <c r="WVY23" s="2950"/>
      <c r="WVZ23" s="2950"/>
      <c r="WWA23" s="2950"/>
      <c r="WWB23" s="2950"/>
      <c r="WWC23" s="2950"/>
      <c r="WWD23" s="2950"/>
      <c r="WWE23" s="2950"/>
      <c r="WWF23" s="2950"/>
      <c r="WWG23" s="2950"/>
      <c r="WWH23" s="2950"/>
      <c r="WWI23" s="2950"/>
      <c r="WWJ23" s="2950"/>
      <c r="WWK23" s="2950"/>
      <c r="WWL23" s="2950"/>
      <c r="WWM23" s="2950"/>
      <c r="WWN23" s="2950"/>
      <c r="WWO23" s="2950"/>
      <c r="WWP23" s="2950"/>
      <c r="WWQ23" s="2950"/>
      <c r="WWR23" s="2950"/>
      <c r="WWS23" s="2950"/>
      <c r="WWT23" s="2950"/>
      <c r="WWU23" s="2950"/>
      <c r="WWV23" s="2950"/>
      <c r="WWW23" s="2950"/>
      <c r="WWX23" s="2950"/>
      <c r="WWY23" s="2950"/>
      <c r="WWZ23" s="2950"/>
      <c r="WXA23" s="2950"/>
      <c r="WXB23" s="2950"/>
      <c r="WXC23" s="2950"/>
      <c r="WXD23" s="2950"/>
      <c r="WXE23" s="2950"/>
      <c r="WXF23" s="2950"/>
      <c r="WXG23" s="2950"/>
      <c r="WXH23" s="2950"/>
      <c r="WXI23" s="2950"/>
      <c r="WXJ23" s="2950"/>
      <c r="WXK23" s="2950"/>
      <c r="WXL23" s="2950"/>
      <c r="WXM23" s="2950"/>
      <c r="WXN23" s="2950"/>
      <c r="WXO23" s="2950"/>
      <c r="WXP23" s="2950"/>
      <c r="WXQ23" s="2950"/>
      <c r="WXR23" s="2950"/>
      <c r="WXS23" s="2950"/>
      <c r="WXT23" s="2950"/>
      <c r="WXU23" s="2950"/>
      <c r="WXV23" s="2950"/>
      <c r="WXW23" s="2950"/>
      <c r="WXX23" s="2950"/>
      <c r="WXY23" s="2950"/>
      <c r="WXZ23" s="2950"/>
      <c r="WYA23" s="2950"/>
      <c r="WYB23" s="2950"/>
      <c r="WYC23" s="2950"/>
      <c r="WYD23" s="2950"/>
      <c r="WYE23" s="2950"/>
      <c r="WYF23" s="2950"/>
      <c r="WYG23" s="2950"/>
      <c r="WYH23" s="2950"/>
      <c r="WYI23" s="2950"/>
      <c r="WYJ23" s="2950"/>
      <c r="WYK23" s="2950"/>
      <c r="WYL23" s="2950"/>
      <c r="WYM23" s="2950"/>
      <c r="WYN23" s="2950"/>
      <c r="WYO23" s="2950"/>
      <c r="WYP23" s="2950"/>
      <c r="WYQ23" s="2950"/>
      <c r="WYR23" s="2950"/>
      <c r="WYS23" s="2950"/>
      <c r="WYT23" s="2950"/>
      <c r="WYU23" s="2950"/>
      <c r="WYV23" s="2950"/>
      <c r="WYW23" s="2950"/>
      <c r="WYX23" s="2950"/>
      <c r="WYY23" s="2950"/>
      <c r="WYZ23" s="2950"/>
      <c r="WZA23" s="2950"/>
      <c r="WZB23" s="2950"/>
      <c r="WZC23" s="2950"/>
      <c r="WZD23" s="2950"/>
      <c r="WZE23" s="2950"/>
      <c r="WZF23" s="2950"/>
      <c r="WZG23" s="2950"/>
      <c r="WZH23" s="2950"/>
      <c r="WZI23" s="2950"/>
      <c r="WZJ23" s="2950"/>
      <c r="WZK23" s="2950"/>
      <c r="WZL23" s="2950"/>
      <c r="WZM23" s="2950"/>
      <c r="WZN23" s="2950"/>
      <c r="WZO23" s="2950"/>
      <c r="WZP23" s="2950"/>
      <c r="WZQ23" s="2950"/>
      <c r="WZR23" s="2950"/>
      <c r="WZS23" s="2950"/>
      <c r="WZT23" s="2950"/>
      <c r="WZU23" s="2950"/>
      <c r="WZV23" s="2950"/>
      <c r="WZW23" s="2950"/>
      <c r="WZX23" s="2950"/>
      <c r="WZY23" s="2950"/>
      <c r="WZZ23" s="2950"/>
      <c r="XAA23" s="2950"/>
      <c r="XAB23" s="2950"/>
      <c r="XAC23" s="2950"/>
      <c r="XAD23" s="2950"/>
      <c r="XAE23" s="2950"/>
      <c r="XAF23" s="2950"/>
      <c r="XAG23" s="2950"/>
      <c r="XAH23" s="2950"/>
      <c r="XAI23" s="2950"/>
      <c r="XAJ23" s="2950"/>
      <c r="XAK23" s="2950"/>
      <c r="XAL23" s="2950"/>
      <c r="XAM23" s="2950"/>
      <c r="XAN23" s="2950"/>
      <c r="XAO23" s="2950"/>
      <c r="XAP23" s="2950"/>
      <c r="XAQ23" s="2950"/>
      <c r="XAR23" s="2950"/>
      <c r="XAS23" s="2950"/>
      <c r="XAT23" s="2950"/>
      <c r="XAU23" s="2950"/>
      <c r="XAV23" s="2950"/>
      <c r="XAW23" s="2950"/>
      <c r="XAX23" s="2950"/>
      <c r="XAY23" s="2950"/>
      <c r="XAZ23" s="2950"/>
      <c r="XBA23" s="2950"/>
      <c r="XBB23" s="2950"/>
      <c r="XBC23" s="2950"/>
      <c r="XBD23" s="2950"/>
      <c r="XBE23" s="2950"/>
      <c r="XBF23" s="2950"/>
      <c r="XBG23" s="2950"/>
      <c r="XBH23" s="2950"/>
      <c r="XBI23" s="2950"/>
      <c r="XBJ23" s="2950"/>
      <c r="XBK23" s="2950"/>
      <c r="XBL23" s="2950"/>
      <c r="XBM23" s="2950"/>
      <c r="XBN23" s="2950"/>
      <c r="XBO23" s="2950"/>
      <c r="XBP23" s="2950"/>
      <c r="XBQ23" s="2950"/>
      <c r="XBR23" s="2950"/>
      <c r="XBS23" s="2950"/>
      <c r="XBT23" s="2950"/>
      <c r="XBU23" s="2950"/>
      <c r="XBV23" s="2950"/>
      <c r="XBW23" s="2950"/>
      <c r="XBX23" s="2950"/>
      <c r="XBY23" s="2950"/>
      <c r="XBZ23" s="2950"/>
      <c r="XCA23" s="2950"/>
      <c r="XCB23" s="2950"/>
      <c r="XCC23" s="2950"/>
      <c r="XCD23" s="2950"/>
      <c r="XCE23" s="2950"/>
      <c r="XCF23" s="2950"/>
      <c r="XCG23" s="2950"/>
      <c r="XCH23" s="2950"/>
      <c r="XCI23" s="2950"/>
      <c r="XCJ23" s="2950"/>
      <c r="XCK23" s="2950"/>
      <c r="XCL23" s="2950"/>
      <c r="XCM23" s="2950"/>
      <c r="XCN23" s="2950"/>
      <c r="XCO23" s="2950"/>
      <c r="XCP23" s="2950"/>
      <c r="XCQ23" s="2950"/>
      <c r="XCR23" s="2950"/>
      <c r="XCS23" s="2950"/>
      <c r="XCT23" s="2950"/>
      <c r="XCU23" s="2950"/>
      <c r="XCV23" s="2950"/>
      <c r="XCW23" s="2950"/>
      <c r="XCX23" s="2950"/>
      <c r="XCY23" s="2950"/>
      <c r="XCZ23" s="2950"/>
      <c r="XDA23" s="2950"/>
      <c r="XDB23" s="2950"/>
      <c r="XDC23" s="2950"/>
      <c r="XDD23" s="2950"/>
      <c r="XDE23" s="2950"/>
      <c r="XDF23" s="2950"/>
      <c r="XDG23" s="2950"/>
      <c r="XDH23" s="2950"/>
      <c r="XDI23" s="2950"/>
      <c r="XDJ23" s="2950"/>
      <c r="XDK23" s="2950"/>
      <c r="XDL23" s="2950"/>
      <c r="XDM23" s="2950"/>
      <c r="XDN23" s="2950"/>
      <c r="XDO23" s="2950"/>
      <c r="XDP23" s="2950"/>
      <c r="XDQ23" s="2950"/>
      <c r="XDR23" s="2950"/>
      <c r="XDS23" s="2950"/>
      <c r="XDT23" s="2950"/>
      <c r="XDU23" s="2950"/>
      <c r="XDV23" s="2950"/>
      <c r="XDW23" s="2950"/>
      <c r="XDX23" s="2950"/>
      <c r="XDY23" s="2950"/>
      <c r="XDZ23" s="2950"/>
      <c r="XEA23" s="2950"/>
      <c r="XEB23" s="2950"/>
      <c r="XEC23" s="2950"/>
      <c r="XED23" s="2950"/>
      <c r="XEE23" s="2950"/>
      <c r="XEF23" s="2950"/>
      <c r="XEG23" s="2950"/>
      <c r="XEH23" s="2950"/>
      <c r="XEI23" s="2950"/>
      <c r="XEJ23" s="2950"/>
      <c r="XEK23" s="2950"/>
      <c r="XEL23" s="2950"/>
      <c r="XEM23" s="2950"/>
      <c r="XEN23" s="2950"/>
      <c r="XEO23" s="2950"/>
      <c r="XEP23" s="2950"/>
      <c r="XEQ23" s="2950"/>
      <c r="XER23" s="2950"/>
      <c r="XES23" s="2950"/>
      <c r="XET23" s="2950"/>
      <c r="XEU23" s="2950"/>
    </row>
    <row r="24" spans="1:16375" ht="15" customHeight="1">
      <c r="B24" s="3421"/>
      <c r="C24" s="2959" t="s">
        <v>3273</v>
      </c>
      <c r="D24" s="2959" t="s">
        <v>3247</v>
      </c>
      <c r="E24" s="2959" t="s">
        <v>3274</v>
      </c>
      <c r="F24" s="2969">
        <v>42745</v>
      </c>
      <c r="G24" s="2969">
        <v>46396</v>
      </c>
      <c r="H24" s="2961">
        <v>3631.02</v>
      </c>
      <c r="I24" s="2971">
        <f t="shared" si="3"/>
        <v>1198236.6000000001</v>
      </c>
      <c r="J24" s="2960">
        <f t="shared" si="4"/>
        <v>14378839.200000001</v>
      </c>
      <c r="L24" s="2958">
        <f t="shared" si="2"/>
        <v>11</v>
      </c>
      <c r="M24" s="2950" t="s">
        <v>3290</v>
      </c>
      <c r="N24" s="2978">
        <f>10%/3</f>
        <v>3.3333333333333333E-2</v>
      </c>
      <c r="O24" s="2978">
        <f>ROUND(N24*H24/$N$28,5)</f>
        <v>8.9499999999999996E-3</v>
      </c>
      <c r="Q24" s="2978"/>
    </row>
    <row r="25" spans="1:16375" ht="15">
      <c r="B25" s="3421"/>
      <c r="C25" s="2959" t="s">
        <v>3275</v>
      </c>
      <c r="D25" s="2972" t="s">
        <v>3276</v>
      </c>
      <c r="E25" s="2959" t="s">
        <v>3277</v>
      </c>
      <c r="F25" s="2969">
        <v>42614</v>
      </c>
      <c r="G25" s="2969">
        <v>45199</v>
      </c>
      <c r="H25" s="2961">
        <v>3747.44</v>
      </c>
      <c r="I25" s="2971">
        <v>366667.57</v>
      </c>
      <c r="J25" s="2960">
        <f t="shared" si="4"/>
        <v>4400010.84</v>
      </c>
      <c r="L25" s="2958">
        <f t="shared" si="2"/>
        <v>3.3</v>
      </c>
      <c r="N25" s="2978"/>
      <c r="O25" s="2978"/>
      <c r="Q25" s="2978"/>
    </row>
    <row r="26" spans="1:16375" ht="30">
      <c r="B26" s="3421"/>
      <c r="C26" s="2959" t="s">
        <v>3278</v>
      </c>
      <c r="D26" s="2959" t="s">
        <v>3279</v>
      </c>
      <c r="E26" s="2959" t="s">
        <v>3280</v>
      </c>
      <c r="F26" s="2969">
        <v>43617</v>
      </c>
      <c r="G26" s="2969">
        <v>47269</v>
      </c>
      <c r="H26" s="2961">
        <v>2009</v>
      </c>
      <c r="I26" s="2971">
        <v>177213.89</v>
      </c>
      <c r="J26" s="2960">
        <f t="shared" si="4"/>
        <v>2126566.6800000002</v>
      </c>
      <c r="L26" s="2958">
        <f t="shared" si="2"/>
        <v>2.9</v>
      </c>
      <c r="M26" s="2950" t="s">
        <v>3291</v>
      </c>
      <c r="N26" s="2978">
        <f>6%/3</f>
        <v>0.02</v>
      </c>
      <c r="O26" s="2978">
        <f>ROUND(N26*H26/$N$28,5)</f>
        <v>2.97E-3</v>
      </c>
      <c r="Q26" s="2978">
        <v>712451.67</v>
      </c>
    </row>
    <row r="27" spans="1:16375" ht="15">
      <c r="B27" s="3422"/>
      <c r="C27" s="2959" t="s">
        <v>3281</v>
      </c>
      <c r="D27" s="2959" t="s">
        <v>3247</v>
      </c>
      <c r="E27" s="2959" t="s">
        <v>3282</v>
      </c>
      <c r="F27" s="2969">
        <v>44562</v>
      </c>
      <c r="G27" s="2969">
        <v>46752</v>
      </c>
      <c r="H27" s="2961">
        <v>2396.67</v>
      </c>
      <c r="I27" s="2973">
        <f>230*H27</f>
        <v>551234.1</v>
      </c>
      <c r="J27" s="2973">
        <f t="shared" si="4"/>
        <v>6614809.1999999993</v>
      </c>
      <c r="L27" s="2958">
        <f t="shared" si="2"/>
        <v>7.7</v>
      </c>
      <c r="M27" s="2950" t="s">
        <v>3290</v>
      </c>
      <c r="N27" s="2978">
        <f>10%/3</f>
        <v>3.3333333333333333E-2</v>
      </c>
      <c r="O27" s="2978">
        <f>ROUND(N27*H27/$N$28,5)</f>
        <v>5.9100000000000003E-3</v>
      </c>
      <c r="Q27" s="2978">
        <v>0</v>
      </c>
    </row>
    <row r="28" spans="1:16375" s="2977" customFormat="1">
      <c r="A28" s="2974"/>
      <c r="B28" s="3405" t="s">
        <v>37</v>
      </c>
      <c r="C28" s="3405"/>
      <c r="D28" s="3405"/>
      <c r="E28" s="3405"/>
      <c r="F28" s="2975" t="s">
        <v>3283</v>
      </c>
      <c r="G28" s="2975" t="s">
        <v>3283</v>
      </c>
      <c r="H28" s="2976">
        <f>SUM(H22:H25)+H27</f>
        <v>13517.44</v>
      </c>
      <c r="I28" s="2976">
        <f>SUM(I22:I25)+I27</f>
        <v>3351100.57</v>
      </c>
      <c r="J28" s="2976">
        <f>SUM(J22:J25)+J27</f>
        <v>40213206.840000004</v>
      </c>
      <c r="N28" s="2984">
        <f>H28</f>
        <v>13517.44</v>
      </c>
      <c r="O28" s="2983">
        <f>SUM(O22:O27)</f>
        <v>2.7060000000000001E-2</v>
      </c>
    </row>
    <row r="30" spans="1:16375">
      <c r="I30" s="2979">
        <f>I28/'数据-汇总表'!E3/30</f>
        <v>1606.7800968546221</v>
      </c>
      <c r="J30" s="2978">
        <f>ROUND(J28/'数据-汇总表'!E3/365,1)</f>
        <v>1584.8</v>
      </c>
    </row>
    <row r="32" spans="1:16375">
      <c r="H32" s="2978">
        <f>'面积指标 (2)'!D2</f>
        <v>2741.34</v>
      </c>
    </row>
    <row r="33" spans="8:8">
      <c r="H33" s="2978">
        <f>H27+H26+H22</f>
        <v>4613</v>
      </c>
    </row>
  </sheetData>
  <mergeCells count="14">
    <mergeCell ref="B28:E28"/>
    <mergeCell ref="B2:J2"/>
    <mergeCell ref="F3:G3"/>
    <mergeCell ref="B4:B9"/>
    <mergeCell ref="C4:C9"/>
    <mergeCell ref="E4:E5"/>
    <mergeCell ref="F4:F5"/>
    <mergeCell ref="G4:G5"/>
    <mergeCell ref="J4:J5"/>
    <mergeCell ref="E14:E15"/>
    <mergeCell ref="B18:G18"/>
    <mergeCell ref="B20:J20"/>
    <mergeCell ref="F21:G21"/>
    <mergeCell ref="B22:B27"/>
  </mergeCells>
  <phoneticPr fontId="140" type="noConversion"/>
  <pageMargins left="0.75" right="0.75" top="1" bottom="1" header="0.51180555555555596" footer="0.51180555555555596"/>
  <pageSetup paperSize="9" scale="66" fitToHeight="0" orientation="landscape"/>
  <headerFooter alignWithMargins="0"/>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16" customWidth="1"/>
    <col min="12" max="12" width="16.375" style="256" customWidth="1"/>
    <col min="13" max="13" width="13" style="256" customWidth="1"/>
    <col min="14" max="14" width="13.75" style="1436" customWidth="1"/>
    <col min="15" max="15" width="5.125" style="1436" customWidth="1"/>
    <col min="16" max="16" width="25.75" style="1436" customWidth="1"/>
    <col min="17" max="17" width="13.75" style="1436" customWidth="1"/>
    <col min="18" max="18" width="20.5" style="1436" customWidth="1"/>
    <col min="19" max="19" width="13.25" style="1436" customWidth="1"/>
    <col min="20" max="37" width="9" style="1436"/>
    <col min="38" max="16384" width="9" style="256"/>
  </cols>
  <sheetData>
    <row r="1" spans="1:37" s="291" customFormat="1" ht="21">
      <c r="A1" s="1427" t="s">
        <v>1493</v>
      </c>
      <c r="B1" s="671"/>
      <c r="C1" s="1431"/>
      <c r="D1" s="1415"/>
      <c r="E1" s="1416" t="s">
        <v>1292</v>
      </c>
      <c r="F1" s="1123">
        <f ca="1">J53</f>
        <v>0</v>
      </c>
      <c r="G1" s="1430">
        <f>MATCH(C1,'数据-取费表'!A6:A16,0)+5</f>
        <v>7</v>
      </c>
      <c r="H1" s="2641"/>
      <c r="I1" s="2642"/>
      <c r="J1" s="2642"/>
      <c r="K1" s="2643"/>
      <c r="L1" s="2642"/>
      <c r="M1" s="2642"/>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37" t="s">
        <v>1494</v>
      </c>
      <c r="B2" s="1438" t="e">
        <f ca="1">ROUND(D2/10000,0)</f>
        <v>#DIV/0!</v>
      </c>
      <c r="C2" s="1433" t="s">
        <v>1495</v>
      </c>
      <c r="D2" s="1519" t="e">
        <f ca="1">C40+J29+L46</f>
        <v>#DIV/0!</v>
      </c>
      <c r="E2" s="1439" t="s">
        <v>1496</v>
      </c>
      <c r="F2" s="1440"/>
      <c r="G2" s="2654"/>
      <c r="H2" s="2644"/>
      <c r="I2" s="2644"/>
      <c r="J2" s="2644"/>
      <c r="K2" s="2645"/>
      <c r="L2" s="2644"/>
      <c r="M2" s="2644"/>
    </row>
    <row r="3" spans="1:37" ht="18" customHeight="1" thickBot="1">
      <c r="A3" s="1441" t="s">
        <v>1497</v>
      </c>
      <c r="B3" s="1442">
        <f ca="1">IF(ISERROR(D2/F43),0,ROUND(D2/F43,0))</f>
        <v>0</v>
      </c>
      <c r="C3" s="1433" t="s">
        <v>1498</v>
      </c>
      <c r="D3" s="1433"/>
      <c r="E3" s="1439"/>
      <c r="F3" s="1440"/>
      <c r="G3" s="2654"/>
      <c r="H3" s="657" t="s">
        <v>1492</v>
      </c>
      <c r="I3" s="1434"/>
      <c r="J3" s="1434"/>
      <c r="K3" s="1435"/>
      <c r="L3" s="1434"/>
      <c r="M3" s="1434"/>
    </row>
    <row r="4" spans="1:37" ht="18" customHeight="1">
      <c r="A4" s="293" t="s">
        <v>1499</v>
      </c>
      <c r="B4" s="294" t="s">
        <v>1500</v>
      </c>
      <c r="C4" s="294" t="s">
        <v>1501</v>
      </c>
      <c r="D4" s="294" t="s">
        <v>1502</v>
      </c>
      <c r="E4" s="295" t="s">
        <v>1503</v>
      </c>
      <c r="F4" s="296"/>
      <c r="G4" s="1436"/>
      <c r="H4" s="293" t="s">
        <v>1499</v>
      </c>
      <c r="I4" s="294" t="s">
        <v>1500</v>
      </c>
      <c r="J4" s="294" t="s">
        <v>1501</v>
      </c>
      <c r="K4" s="294" t="s">
        <v>1502</v>
      </c>
      <c r="L4" s="295" t="s">
        <v>1503</v>
      </c>
      <c r="M4" s="296"/>
    </row>
    <row r="5" spans="1:37" ht="18" customHeight="1">
      <c r="A5" s="297">
        <v>1</v>
      </c>
      <c r="B5" s="298" t="s">
        <v>1504</v>
      </c>
      <c r="C5" s="1132">
        <f ca="1">C6+C10+C12</f>
        <v>0</v>
      </c>
      <c r="D5" s="1417" t="s">
        <v>1505</v>
      </c>
      <c r="E5" s="1133"/>
      <c r="F5" s="1134"/>
      <c r="G5" s="1436"/>
      <c r="H5" s="297">
        <v>1</v>
      </c>
      <c r="I5" s="298" t="s">
        <v>1504</v>
      </c>
      <c r="J5" s="1132">
        <f ca="1">J6+J10+J12</f>
        <v>0</v>
      </c>
      <c r="K5" s="1417" t="s">
        <v>1505</v>
      </c>
      <c r="L5" s="1133"/>
      <c r="M5" s="1134"/>
    </row>
    <row r="6" spans="1:37" ht="18" customHeight="1">
      <c r="A6" s="1131" t="s">
        <v>1003</v>
      </c>
      <c r="B6" s="3402" t="s">
        <v>1308</v>
      </c>
      <c r="C6" s="1136">
        <f ca="1">ROUND(F6*F8*F7*(1-F9),0)</f>
        <v>0</v>
      </c>
      <c r="D6" s="152" t="s">
        <v>2774</v>
      </c>
      <c r="E6" s="300" t="s">
        <v>1310</v>
      </c>
      <c r="F6" s="301">
        <f ca="1">INDIRECT("'数据-取费表'!u"&amp;$G$1)</f>
        <v>0</v>
      </c>
      <c r="G6" s="1436"/>
      <c r="H6" s="1131" t="s">
        <v>1003</v>
      </c>
      <c r="I6" s="3402" t="s">
        <v>1308</v>
      </c>
      <c r="J6" s="299">
        <f ca="1">ROUND(M6*M8*M7*(1-M9),0)</f>
        <v>0</v>
      </c>
      <c r="K6" s="1428" t="s">
        <v>2775</v>
      </c>
      <c r="L6" s="300" t="s">
        <v>1310</v>
      </c>
      <c r="M6" s="301">
        <f ca="1">INDIRECT("'数据-取费表'!z"&amp;$G$1)</f>
        <v>0</v>
      </c>
    </row>
    <row r="7" spans="1:37" ht="18" customHeight="1">
      <c r="A7" s="1135"/>
      <c r="B7" s="3403"/>
      <c r="C7" s="1137"/>
      <c r="D7" s="305"/>
      <c r="E7" s="1138" t="s">
        <v>1311</v>
      </c>
      <c r="F7" s="301">
        <f ca="1">IF(INDIRECT("'数据-取费表'!ah"&amp;$G$1)="",INDIRECT("'数据-取费表'!k"&amp;$G$1),INDIRECT("'数据-取费表'!ah"&amp;$G$1))</f>
        <v>0</v>
      </c>
      <c r="G7" s="1436"/>
      <c r="H7" s="302"/>
      <c r="I7" s="3403"/>
      <c r="J7" s="304"/>
      <c r="K7" s="305"/>
      <c r="L7" s="300" t="s">
        <v>1311</v>
      </c>
      <c r="M7" s="301">
        <f ca="1">F7</f>
        <v>0</v>
      </c>
    </row>
    <row r="8" spans="1:37" ht="18" customHeight="1">
      <c r="A8" s="302"/>
      <c r="B8" s="3403"/>
      <c r="C8" s="304"/>
      <c r="D8" s="305"/>
      <c r="E8" s="300" t="s">
        <v>1312</v>
      </c>
      <c r="F8" s="301">
        <f ca="1">INDIRECT("'数据-取费表'!ai"&amp;$G$1)</f>
        <v>0</v>
      </c>
      <c r="G8" s="1436"/>
      <c r="H8" s="302"/>
      <c r="I8" s="3403"/>
      <c r="J8" s="304"/>
      <c r="K8" s="305"/>
      <c r="L8" s="300" t="s">
        <v>1312</v>
      </c>
      <c r="M8" s="301">
        <f ca="1">INDIRECT("'数据-取费表'!ai"&amp;$G$1)</f>
        <v>0</v>
      </c>
    </row>
    <row r="9" spans="1:37" ht="18" customHeight="1">
      <c r="A9" s="302"/>
      <c r="B9" s="3404"/>
      <c r="C9" s="304"/>
      <c r="D9" s="305"/>
      <c r="E9" s="300" t="s">
        <v>1313</v>
      </c>
      <c r="F9" s="310">
        <f ca="1">INDIRECT("'数据-取费表'!w"&amp;$G$1)</f>
        <v>0</v>
      </c>
      <c r="G9" s="1436"/>
      <c r="H9" s="302"/>
      <c r="I9" s="3404"/>
      <c r="J9" s="304"/>
      <c r="K9" s="305"/>
      <c r="L9" s="311" t="s">
        <v>1313</v>
      </c>
      <c r="M9" s="312">
        <f ca="1">INDIRECT("'数据-取费表'!ab"&amp;$G$1)</f>
        <v>0</v>
      </c>
    </row>
    <row r="10" spans="1:37" ht="18" customHeight="1">
      <c r="A10" s="1131" t="s">
        <v>1007</v>
      </c>
      <c r="B10" s="1418" t="s">
        <v>1314</v>
      </c>
      <c r="C10" s="314">
        <f ca="1">ROUND(IF(F10="押一",C6/12*F11,IF(F10="押二",C6/12*2*F11,IF(F10="押三",C6/12*3*F11,C11*F11))),0)</f>
        <v>0</v>
      </c>
      <c r="D10" s="155" t="s">
        <v>2784</v>
      </c>
      <c r="E10" s="311" t="s">
        <v>1315</v>
      </c>
      <c r="F10" s="1178"/>
      <c r="G10" s="1436"/>
      <c r="H10" s="1131" t="s">
        <v>1007</v>
      </c>
      <c r="I10" s="1418" t="s">
        <v>1314</v>
      </c>
      <c r="J10" s="299">
        <f ca="1">ROUND(IF(M10="押一",J6/12*M11,IF(M10="押二",J6/12*2*M11,IF(M10="押三",J6/12*3*M11,J11*M11))),0)</f>
        <v>0</v>
      </c>
      <c r="K10" s="1429" t="s">
        <v>2786</v>
      </c>
      <c r="L10" s="311" t="s">
        <v>1315</v>
      </c>
      <c r="M10" s="1178"/>
    </row>
    <row r="11" spans="1:37" ht="18" customHeight="1">
      <c r="A11" s="306"/>
      <c r="B11" s="1419" t="s">
        <v>1506</v>
      </c>
      <c r="C11" s="1028"/>
      <c r="D11" s="305"/>
      <c r="E11" s="311" t="s">
        <v>1316</v>
      </c>
      <c r="F11" s="312">
        <f ca="1">'数据-取费表'!B39</f>
        <v>0.03</v>
      </c>
      <c r="G11" s="1436"/>
      <c r="H11" s="1139"/>
      <c r="I11" s="1419" t="s">
        <v>1507</v>
      </c>
      <c r="J11" s="1028"/>
      <c r="K11" s="654"/>
      <c r="L11" s="311" t="s">
        <v>1316</v>
      </c>
      <c r="M11" s="911">
        <f ca="1">'数据-取费表'!B39</f>
        <v>0.03</v>
      </c>
    </row>
    <row r="12" spans="1:37" ht="18" customHeight="1" thickBot="1">
      <c r="A12" s="1145" t="s">
        <v>1043</v>
      </c>
      <c r="B12" s="1421" t="s">
        <v>1317</v>
      </c>
      <c r="C12" s="1146"/>
      <c r="D12" s="1147"/>
      <c r="E12" s="1152"/>
      <c r="F12" s="1148"/>
      <c r="G12" s="1436"/>
      <c r="H12" s="1145" t="s">
        <v>1043</v>
      </c>
      <c r="I12" s="1421" t="s">
        <v>1317</v>
      </c>
      <c r="J12" s="1146"/>
      <c r="K12" s="1160"/>
      <c r="L12" s="1152"/>
      <c r="M12" s="1161"/>
    </row>
    <row r="13" spans="1:37" ht="18" customHeight="1" thickTop="1">
      <c r="A13" s="1141">
        <v>2</v>
      </c>
      <c r="B13" s="1142" t="s">
        <v>1318</v>
      </c>
      <c r="C13" s="308">
        <f ca="1">ROUND(C29*F13,0)</f>
        <v>0</v>
      </c>
      <c r="D13" s="1143" t="s">
        <v>1319</v>
      </c>
      <c r="E13" s="1143" t="s">
        <v>1320</v>
      </c>
      <c r="F13" s="1144">
        <f ca="1">INDIRECT("'数据-取费表'!y"&amp;$G$1)</f>
        <v>0</v>
      </c>
      <c r="G13" s="1436"/>
      <c r="H13" s="1141">
        <v>2</v>
      </c>
      <c r="I13" s="1142" t="s">
        <v>1318</v>
      </c>
      <c r="J13" s="1130">
        <f ca="1">ROUND(J14*J15,0)</f>
        <v>0</v>
      </c>
      <c r="K13" s="1149" t="s">
        <v>1319</v>
      </c>
      <c r="L13" s="1443"/>
      <c r="M13" s="1444"/>
    </row>
    <row r="14" spans="1:37" ht="18" customHeight="1">
      <c r="A14" s="1051" t="s">
        <v>1002</v>
      </c>
      <c r="B14" s="300" t="s">
        <v>1321</v>
      </c>
      <c r="C14" s="316">
        <f ca="1">ROUND(INDIRECT("'数据-取费表'!l"&amp;$G$1)*F43+'数据-取费表'!L14*INDIRECT("'数据-取费表'!S"&amp;$G$1),0)</f>
        <v>0</v>
      </c>
      <c r="D14" s="1401" t="s">
        <v>1322</v>
      </c>
      <c r="E14" s="1399"/>
      <c r="F14" s="317"/>
      <c r="G14" s="1436"/>
      <c r="H14" s="1051" t="s">
        <v>1003</v>
      </c>
      <c r="I14" s="300" t="s">
        <v>1323</v>
      </c>
      <c r="J14" s="24">
        <f ca="1">C29</f>
        <v>0</v>
      </c>
      <c r="K14" s="15"/>
      <c r="L14" s="861"/>
      <c r="M14" s="862"/>
    </row>
    <row r="15" spans="1:37" s="1448" customFormat="1" ht="18" customHeight="1" thickBot="1">
      <c r="A15" s="1051" t="s">
        <v>1004</v>
      </c>
      <c r="B15" s="300" t="s">
        <v>1324</v>
      </c>
      <c r="C15" s="24">
        <f ca="1">ROUND(C14*F15,0)</f>
        <v>0</v>
      </c>
      <c r="D15" s="318" t="s">
        <v>1325</v>
      </c>
      <c r="E15" s="318" t="s">
        <v>1326</v>
      </c>
      <c r="F15" s="319">
        <f>'数据-取费表'!B33</f>
        <v>0.03</v>
      </c>
      <c r="G15" s="1447"/>
      <c r="H15" s="1151" t="s">
        <v>1007</v>
      </c>
      <c r="I15" s="1152" t="s">
        <v>1320</v>
      </c>
      <c r="J15" s="1161">
        <f ca="1">INDIRECT("'数据-取费表'!ad"&amp;$G$1)</f>
        <v>0</v>
      </c>
      <c r="K15" s="1162"/>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1051" t="s">
        <v>1294</v>
      </c>
      <c r="B16" s="300" t="s">
        <v>1327</v>
      </c>
      <c r="C16" s="24">
        <f ca="1">ROUND(INDIRECT("'数据-取费表'!l"&amp;$G$1)*F43*F16,0)</f>
        <v>0</v>
      </c>
      <c r="D16" s="300" t="s">
        <v>1325</v>
      </c>
      <c r="E16" s="300" t="s">
        <v>1326</v>
      </c>
      <c r="F16" s="320">
        <f ca="1">IF(INDIRECT("'数据-取费表'!c"&amp;$G$1)="住宅",'数据-取费表'!B34,0)</f>
        <v>0</v>
      </c>
      <c r="G16" s="1436"/>
      <c r="H16" s="1141" t="s">
        <v>998</v>
      </c>
      <c r="I16" s="1142" t="s">
        <v>1328</v>
      </c>
      <c r="J16" s="308">
        <f ca="1">ROUND(J17+J22+J23+J24,0)</f>
        <v>0</v>
      </c>
      <c r="K16" s="1149" t="s">
        <v>1329</v>
      </c>
      <c r="L16" s="1150"/>
      <c r="M16" s="1134"/>
    </row>
    <row r="17" spans="1:37" s="1448" customFormat="1" ht="18" customHeight="1">
      <c r="A17" s="1051" t="s">
        <v>1295</v>
      </c>
      <c r="B17" s="300" t="s">
        <v>1330</v>
      </c>
      <c r="C17" s="24">
        <f ca="1">ROUND(F17*(F43+INDIRECT("'数据-取费表'!S"&amp;$G$1)),0)</f>
        <v>0</v>
      </c>
      <c r="D17" s="300" t="s">
        <v>1331</v>
      </c>
      <c r="E17" s="300" t="s">
        <v>1332</v>
      </c>
      <c r="F17" s="26">
        <f>'数据-取费表'!B35</f>
        <v>200</v>
      </c>
      <c r="G17" s="1447"/>
      <c r="H17" s="1051" t="s">
        <v>1003</v>
      </c>
      <c r="I17" s="300" t="s">
        <v>1333</v>
      </c>
      <c r="J17" s="2308">
        <f ca="1">ROUND(IF(AND(项目基本情况!B11="自然人",项目基本情况!B10="北京市"),J6*M17/(1+'数据-取费表'!C42),J18+J19+J20),0)</f>
        <v>0</v>
      </c>
      <c r="K17" s="1401" t="s">
        <v>1334</v>
      </c>
      <c r="L17" s="1400" t="s">
        <v>1335</v>
      </c>
      <c r="M17" s="2307"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448" customFormat="1" ht="18" customHeight="1">
      <c r="A18" s="1051" t="s">
        <v>1296</v>
      </c>
      <c r="B18" s="300" t="s">
        <v>1336</v>
      </c>
      <c r="C18" s="24">
        <f ca="1">ROUND(C14*F18,0)</f>
        <v>0</v>
      </c>
      <c r="D18" s="300" t="s">
        <v>1325</v>
      </c>
      <c r="E18" s="300" t="s">
        <v>1326</v>
      </c>
      <c r="F18" s="320">
        <f>'数据-取费表'!B36</f>
        <v>1.4999999999999999E-2</v>
      </c>
      <c r="G18" s="1447"/>
      <c r="H18" s="1051" t="s">
        <v>1002</v>
      </c>
      <c r="I18" s="300" t="s">
        <v>1337</v>
      </c>
      <c r="J18" s="24">
        <f ca="1">ROUND(J6*M18/(1+'数据-取费表'!C42),0)</f>
        <v>0</v>
      </c>
      <c r="K18" s="1400" t="s">
        <v>1338</v>
      </c>
      <c r="L18" s="300" t="s">
        <v>1326</v>
      </c>
      <c r="M18" s="320">
        <f>'数据-取费表'!B41</f>
        <v>5.5000000000000007E-2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051" t="s">
        <v>1003</v>
      </c>
      <c r="B19" s="300" t="s">
        <v>1339</v>
      </c>
      <c r="C19" s="24">
        <f ca="1">SUM(C14:C18)</f>
        <v>0</v>
      </c>
      <c r="D19" s="128" t="s">
        <v>1340</v>
      </c>
      <c r="E19" s="1413"/>
      <c r="F19" s="26"/>
      <c r="G19" s="1436"/>
      <c r="H19" s="1051" t="s">
        <v>1004</v>
      </c>
      <c r="I19" s="300" t="s">
        <v>1341</v>
      </c>
      <c r="J19" s="24">
        <f ca="1">IF(K19="按租金收入计税",ROUND(J6*M19/(1+'数据-取费表'!C42),0),ROUND(C29*M19*0.7,0))</f>
        <v>0</v>
      </c>
      <c r="K19" s="1422" t="s">
        <v>1342</v>
      </c>
      <c r="L19" s="300" t="s">
        <v>1326</v>
      </c>
      <c r="M19" s="320">
        <f>IF(K19="按租金收入计税",'数据-取费表'!B51,'数据-取费表'!B50)</f>
        <v>1.2E-2</v>
      </c>
    </row>
    <row r="20" spans="1:37" s="1448" customFormat="1" ht="18" customHeight="1">
      <c r="A20" s="1051" t="s">
        <v>1007</v>
      </c>
      <c r="B20" s="300" t="s">
        <v>1343</v>
      </c>
      <c r="C20" s="24">
        <f ca="1">ROUND(C19*F20,0)</f>
        <v>0</v>
      </c>
      <c r="D20" s="321" t="s">
        <v>1344</v>
      </c>
      <c r="E20" s="300" t="s">
        <v>1326</v>
      </c>
      <c r="F20" s="320">
        <f>'数据-取费表'!B37</f>
        <v>0.03</v>
      </c>
      <c r="G20" s="1447"/>
      <c r="H20" s="1051" t="s">
        <v>1294</v>
      </c>
      <c r="I20" s="152" t="s">
        <v>1345</v>
      </c>
      <c r="J20" s="25">
        <f ca="1">ROUND(M20*M21,0)</f>
        <v>0</v>
      </c>
      <c r="K20" s="322" t="s">
        <v>1346</v>
      </c>
      <c r="L20" s="300" t="s">
        <v>1347</v>
      </c>
      <c r="M20" s="323">
        <f>'数据-取费表'!B52</f>
        <v>0</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448" customFormat="1" ht="18" customHeight="1">
      <c r="A21" s="1051" t="s">
        <v>1043</v>
      </c>
      <c r="B21" s="300" t="s">
        <v>1348</v>
      </c>
      <c r="C21" s="24" t="s">
        <v>1</v>
      </c>
      <c r="D21" s="321" t="s">
        <v>1349</v>
      </c>
      <c r="E21" s="300" t="s">
        <v>1350</v>
      </c>
      <c r="F21" s="320">
        <f>'数据-取费表'!B38</f>
        <v>0.03</v>
      </c>
      <c r="G21" s="1447"/>
      <c r="H21" s="324"/>
      <c r="I21" s="309"/>
      <c r="J21" s="29"/>
      <c r="K21" s="325"/>
      <c r="L21" s="300" t="s">
        <v>1351</v>
      </c>
      <c r="M21" s="301">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051" t="s">
        <v>1297</v>
      </c>
      <c r="B22" s="300" t="s">
        <v>1352</v>
      </c>
      <c r="C22" s="24"/>
      <c r="D22" s="128" t="str">
        <f>IF(F23&lt;=1,"单利计息。","复利计息。")&amp;"建造成本、管理费用、销售费用产生的利息。"</f>
        <v>复利计息。建造成本、管理费用、销售费用产生的利息。</v>
      </c>
      <c r="E22" s="1413"/>
      <c r="F22" s="26"/>
      <c r="G22" s="1436"/>
      <c r="H22" s="1051" t="s">
        <v>1007</v>
      </c>
      <c r="I22" s="300" t="s">
        <v>1353</v>
      </c>
      <c r="J22" s="24">
        <f ca="1">ROUND(J14*M22,0)</f>
        <v>0</v>
      </c>
      <c r="K22" s="1400" t="s">
        <v>1354</v>
      </c>
      <c r="L22" s="300" t="s">
        <v>1326</v>
      </c>
      <c r="M22" s="326">
        <f ca="1">INDIRECT("'数据-取费表'!Ak"&amp;$G$1)</f>
        <v>0</v>
      </c>
    </row>
    <row r="23" spans="1:37" s="1448" customFormat="1" ht="18" customHeight="1">
      <c r="A23" s="1051" t="s">
        <v>1002</v>
      </c>
      <c r="B23" s="300" t="s">
        <v>1355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1356</v>
      </c>
      <c r="F23" s="323">
        <f>'数据-取费表'!B20</f>
        <v>1.5</v>
      </c>
      <c r="G23" s="1447"/>
      <c r="H23" s="1051" t="s">
        <v>1043</v>
      </c>
      <c r="I23" s="300" t="s">
        <v>1357</v>
      </c>
      <c r="J23" s="24">
        <f ca="1">ROUND(J13*M23,0)</f>
        <v>0</v>
      </c>
      <c r="K23" s="1400" t="s">
        <v>1358</v>
      </c>
      <c r="L23" s="300" t="s">
        <v>1359</v>
      </c>
      <c r="M23" s="327">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448" customFormat="1" ht="18" customHeight="1" thickBot="1">
      <c r="A24" s="1051" t="s">
        <v>1360</v>
      </c>
      <c r="B24" s="300" t="s">
        <v>1361</v>
      </c>
      <c r="C24" s="24">
        <f ca="1">ROUND(IF('数据-取费表'!B22&lt;=1,F21*F24*F23/2,F21*(POWER((1+F24),F23/2)-1)),4)</f>
        <v>1.4E-3</v>
      </c>
      <c r="D24" s="143" t="str">
        <f>IF(F23&lt;=1,"销售费用×利率×(建设周期÷2)","销售费用×((1+利率)^(建设周期÷2)-1)")</f>
        <v>销售费用×((1+利率)^(建设周期÷2)-1)</v>
      </c>
      <c r="E24" s="300" t="s">
        <v>1362</v>
      </c>
      <c r="F24" s="328">
        <f ca="1">'数据-取费表'!B40</f>
        <v>6.1500000000000006E-2</v>
      </c>
      <c r="G24" s="1447"/>
      <c r="H24" s="1151" t="s">
        <v>1298</v>
      </c>
      <c r="I24" s="1152" t="s">
        <v>1343</v>
      </c>
      <c r="J24" s="1153">
        <f ca="1">ROUND(J5*M24,0)</f>
        <v>0</v>
      </c>
      <c r="K24" s="1154" t="s">
        <v>1363</v>
      </c>
      <c r="L24" s="1152" t="s">
        <v>1359</v>
      </c>
      <c r="M24" s="1148">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thickTop="1">
      <c r="A25" s="1051" t="s">
        <v>1364</v>
      </c>
      <c r="B25" s="300" t="s">
        <v>1365</v>
      </c>
      <c r="C25" s="24"/>
      <c r="D25" s="128" t="s">
        <v>1366</v>
      </c>
      <c r="E25" s="1413"/>
      <c r="F25" s="26"/>
      <c r="G25" s="1436"/>
      <c r="H25" s="1141" t="s">
        <v>999</v>
      </c>
      <c r="I25" s="1156" t="s">
        <v>1367</v>
      </c>
      <c r="J25" s="308">
        <f ca="1">J5-J16</f>
        <v>0</v>
      </c>
      <c r="K25" s="1157" t="s">
        <v>1368</v>
      </c>
      <c r="L25" s="1158"/>
      <c r="M25" s="1159"/>
    </row>
    <row r="26" spans="1:37" ht="18" customHeight="1">
      <c r="A26" s="1051" t="s">
        <v>1002</v>
      </c>
      <c r="B26" s="300" t="s">
        <v>1369</v>
      </c>
      <c r="C26" s="24">
        <f ca="1">ROUND((C19+C20)*F26,0)</f>
        <v>0</v>
      </c>
      <c r="D26" s="321" t="s">
        <v>1370</v>
      </c>
      <c r="E26" s="311" t="s">
        <v>1371</v>
      </c>
      <c r="F26" s="310">
        <f ca="1">INDIRECT("'数据-取费表'!q"&amp;$G$1)</f>
        <v>0</v>
      </c>
      <c r="G26" s="1436"/>
      <c r="H26" s="297" t="s">
        <v>1000</v>
      </c>
      <c r="I26" s="298" t="s">
        <v>1372</v>
      </c>
      <c r="J26" s="299">
        <f ca="1">IF(J5&lt;&gt;0,ROUND(J25*(1-((1+M28)/(1+M26))^M27)/(M26-M28),0),0)</f>
        <v>0</v>
      </c>
      <c r="K26" s="322" t="s">
        <v>1373</v>
      </c>
      <c r="L26" s="300" t="s">
        <v>1374</v>
      </c>
      <c r="M26" s="310">
        <f ca="1">INDIRECT("'数据-取费表'!I"&amp;$G$1)</f>
        <v>0</v>
      </c>
    </row>
    <row r="27" spans="1:37" ht="18" customHeight="1">
      <c r="A27" s="1051" t="s">
        <v>1004</v>
      </c>
      <c r="B27" s="300" t="s">
        <v>1375</v>
      </c>
      <c r="C27" s="24">
        <f ca="1">ROUND(F21*F26,4)</f>
        <v>0</v>
      </c>
      <c r="D27" s="321" t="s">
        <v>1376</v>
      </c>
      <c r="E27" s="318"/>
      <c r="F27" s="319"/>
      <c r="G27" s="1436"/>
      <c r="H27" s="302"/>
      <c r="I27" s="303"/>
      <c r="J27" s="304"/>
      <c r="K27" s="329" t="s">
        <v>1377</v>
      </c>
      <c r="L27" s="300" t="s">
        <v>1378</v>
      </c>
      <c r="M27" s="330">
        <f ca="1">INDIRECT("'数据-取费表'!ag"&amp;$G$1)</f>
        <v>0</v>
      </c>
    </row>
    <row r="28" spans="1:37" s="1448" customFormat="1" ht="18" customHeight="1">
      <c r="A28" s="1051" t="s">
        <v>1005</v>
      </c>
      <c r="B28" s="300" t="s">
        <v>1379</v>
      </c>
      <c r="C28" s="24">
        <f>ROUND(F28/(1+'数据-取费表'!C42),4)</f>
        <v>5.5E-2</v>
      </c>
      <c r="D28" s="321" t="s">
        <v>1380</v>
      </c>
      <c r="E28" s="300" t="s">
        <v>1326</v>
      </c>
      <c r="F28" s="320">
        <f>'数据-取费表'!B41</f>
        <v>5.5000000000000007E-2</v>
      </c>
      <c r="G28" s="1447"/>
      <c r="H28" s="306"/>
      <c r="I28" s="307"/>
      <c r="J28" s="308"/>
      <c r="K28" s="325"/>
      <c r="L28" s="300" t="s">
        <v>1381</v>
      </c>
      <c r="M28" s="31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448" customFormat="1" ht="18" customHeight="1" thickBot="1">
      <c r="A29" s="1151" t="s">
        <v>1006</v>
      </c>
      <c r="B29" s="1152" t="s">
        <v>1382</v>
      </c>
      <c r="C29" s="1153">
        <f ca="1">ROUND((C19+C20+C23+C26)/(1-F21-C24-C27-C28),0)</f>
        <v>0</v>
      </c>
      <c r="D29" s="1154"/>
      <c r="E29" s="1152"/>
      <c r="F29" s="1155"/>
      <c r="G29" s="1447"/>
      <c r="H29" s="331" t="s">
        <v>1001</v>
      </c>
      <c r="I29" s="332" t="s">
        <v>1383</v>
      </c>
      <c r="J29" s="333">
        <f ca="1">ROUND(J26/(1+F40)^F41,0)</f>
        <v>0</v>
      </c>
      <c r="K29" s="334" t="s">
        <v>1384</v>
      </c>
      <c r="L29" s="335"/>
      <c r="M29" s="336">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1141" t="s">
        <v>998</v>
      </c>
      <c r="B30" s="1142" t="s">
        <v>1328</v>
      </c>
      <c r="C30" s="308">
        <f ca="1">ROUND(C31+C36+C37+C38,0)</f>
        <v>0</v>
      </c>
      <c r="D30" s="1149" t="s">
        <v>1329</v>
      </c>
      <c r="E30" s="1150"/>
      <c r="F30" s="1134"/>
      <c r="G30" s="1436"/>
      <c r="H30" s="2646"/>
      <c r="I30" s="1449"/>
      <c r="J30" s="1450"/>
      <c r="K30" s="126"/>
      <c r="L30" s="2647"/>
      <c r="M30" s="2648"/>
    </row>
    <row r="31" spans="1:37" ht="18" customHeight="1">
      <c r="A31" s="1051" t="s">
        <v>1003</v>
      </c>
      <c r="B31" s="300" t="s">
        <v>1333</v>
      </c>
      <c r="C31" s="2308">
        <f ca="1">ROUND(IF(AND(项目基本情况!B11="自然人",项目基本情况!B10="北京市"),C6*F31/(1+'数据-取费表'!C42),C32+C33+C34),0)</f>
        <v>0</v>
      </c>
      <c r="D31" s="1401" t="s">
        <v>1334</v>
      </c>
      <c r="E31" s="1400" t="s">
        <v>1385</v>
      </c>
      <c r="F31" s="2307" t="str">
        <f>IF(项目基本情况!B11="企业","——",IF('数据-取费表'!B10="住宅",IF(F6*F7*F8/12/(1+'数据-取费表'!F30)&gt;100000,4%,2.5%),IF(F6*F7*F8/12/(1+'数据-取费表'!F30)&gt;100000,12%,7%)))</f>
        <v>——</v>
      </c>
      <c r="G31" s="1436"/>
      <c r="H31" s="2747" t="s">
        <v>2980</v>
      </c>
      <c r="I31" s="1449"/>
      <c r="J31" s="1450"/>
      <c r="K31" s="126"/>
      <c r="L31" s="2647"/>
      <c r="M31" s="2648"/>
    </row>
    <row r="32" spans="1:37" ht="18" customHeight="1">
      <c r="A32" s="1051" t="s">
        <v>1002</v>
      </c>
      <c r="B32" s="300" t="s">
        <v>1337</v>
      </c>
      <c r="C32" s="24">
        <f ca="1">IF(项目基本情况!B11="自然人","——",ROUND(C6*F32/(1+'数据-取费表'!C42),0))</f>
        <v>0</v>
      </c>
      <c r="D32" s="1400" t="s">
        <v>1338</v>
      </c>
      <c r="E32" s="300" t="s">
        <v>1326</v>
      </c>
      <c r="F32" s="328">
        <f>'数据-取费表'!B41</f>
        <v>5.5000000000000007E-2</v>
      </c>
      <c r="G32" s="1436"/>
      <c r="H32" s="2646"/>
      <c r="I32" s="1449"/>
      <c r="J32" s="1450"/>
      <c r="K32" s="126"/>
      <c r="L32" s="2647"/>
      <c r="M32" s="2648"/>
    </row>
    <row r="33" spans="1:18" ht="18" customHeight="1">
      <c r="A33" s="1051" t="s">
        <v>1004</v>
      </c>
      <c r="B33" s="300" t="s">
        <v>1341</v>
      </c>
      <c r="C33" s="24">
        <f ca="1">IF(项目基本情况!B11="自然人","——",IF(D33="按租金收入计税",ROUND(C6*F33/(1+'数据-取费表'!C42),0),IF(D33="按房产原值计税",ROUND(C29*F33*0.7,0),INDIRECT("'数据-取费表'!Aj"&amp;$G$1))))</f>
        <v>0</v>
      </c>
      <c r="D33" s="1422" t="s">
        <v>1342</v>
      </c>
      <c r="E33" s="300" t="s">
        <v>1326</v>
      </c>
      <c r="F33" s="320">
        <f>IF(D33="按票据","——",IF(D33="按租金收入计税",'数据-取费表'!B51,'数据-取费表'!B50))</f>
        <v>1.2E-2</v>
      </c>
      <c r="G33" s="1436"/>
      <c r="H33" s="2649"/>
      <c r="I33" s="1449"/>
      <c r="J33" s="1450"/>
      <c r="K33" s="2650"/>
      <c r="L33" s="2649"/>
      <c r="M33" s="2649"/>
    </row>
    <row r="34" spans="1:18" ht="18" customHeight="1">
      <c r="A34" s="1131" t="s">
        <v>1294</v>
      </c>
      <c r="B34" s="152" t="s">
        <v>1345</v>
      </c>
      <c r="C34" s="25">
        <f ca="1">IF(项目基本情况!B11="自然人","——",ROUND(F34*F35,))</f>
        <v>0</v>
      </c>
      <c r="D34" s="322" t="s">
        <v>1346</v>
      </c>
      <c r="E34" s="300" t="s">
        <v>1347</v>
      </c>
      <c r="F34" s="323">
        <f>'数据-取费表'!B52</f>
        <v>0</v>
      </c>
      <c r="G34" s="1436"/>
      <c r="H34" s="2646"/>
      <c r="I34" s="1449"/>
      <c r="J34" s="1450"/>
      <c r="K34" s="2651"/>
      <c r="L34" s="2652"/>
      <c r="M34" s="2652"/>
    </row>
    <row r="35" spans="1:18" ht="18" customHeight="1">
      <c r="A35" s="1165"/>
      <c r="B35" s="1163"/>
      <c r="C35" s="29"/>
      <c r="D35" s="325"/>
      <c r="E35" s="300" t="s">
        <v>1351</v>
      </c>
      <c r="F35" s="301">
        <f ca="1">INDIRECT("'数据-取费表'!r"&amp;$G$1)</f>
        <v>0</v>
      </c>
      <c r="G35" s="1436"/>
      <c r="H35" s="2646"/>
      <c r="I35" s="1449"/>
      <c r="J35" s="1450"/>
      <c r="K35" s="2650"/>
      <c r="L35" s="2649"/>
      <c r="M35" s="2649"/>
    </row>
    <row r="36" spans="1:18" ht="18" customHeight="1">
      <c r="A36" s="1164" t="s">
        <v>1007</v>
      </c>
      <c r="B36" s="300" t="s">
        <v>1353</v>
      </c>
      <c r="C36" s="24">
        <f ca="1">ROUND(C29*F36,0)</f>
        <v>0</v>
      </c>
      <c r="D36" s="1400" t="s">
        <v>1386</v>
      </c>
      <c r="E36" s="300" t="s">
        <v>1326</v>
      </c>
      <c r="F36" s="326">
        <f ca="1">INDIRECT("'数据-取费表'!Ak"&amp;$G$1)</f>
        <v>0</v>
      </c>
      <c r="G36" s="1436"/>
      <c r="H36" s="2649"/>
      <c r="I36" s="1449"/>
      <c r="J36" s="1450"/>
      <c r="K36" s="2503"/>
      <c r="L36" s="2649"/>
      <c r="M36" s="2649"/>
    </row>
    <row r="37" spans="1:18" ht="18" customHeight="1">
      <c r="A37" s="1051" t="s">
        <v>1043</v>
      </c>
      <c r="B37" s="300" t="s">
        <v>1357</v>
      </c>
      <c r="C37" s="24">
        <f ca="1">ROUND(C13*F37,0)</f>
        <v>0</v>
      </c>
      <c r="D37" s="1400" t="s">
        <v>1358</v>
      </c>
      <c r="E37" s="300" t="s">
        <v>1359</v>
      </c>
      <c r="F37" s="327">
        <f ca="1">INDIRECT("'数据-取费表'!Al"&amp;$G$1)</f>
        <v>0</v>
      </c>
      <c r="G37" s="1436"/>
      <c r="H37" s="2649"/>
      <c r="I37" s="1449"/>
      <c r="J37" s="1450"/>
      <c r="K37" s="2503"/>
      <c r="L37" s="2649"/>
      <c r="M37" s="2649"/>
    </row>
    <row r="38" spans="1:18" ht="18" customHeight="1" thickBot="1">
      <c r="A38" s="1151" t="s">
        <v>1298</v>
      </c>
      <c r="B38" s="1152" t="s">
        <v>1343</v>
      </c>
      <c r="C38" s="1153">
        <f ca="1">ROUND(C5*F38,1)</f>
        <v>0</v>
      </c>
      <c r="D38" s="1154" t="s">
        <v>1363</v>
      </c>
      <c r="E38" s="1152" t="s">
        <v>1359</v>
      </c>
      <c r="F38" s="1148">
        <f ca="1">INDIRECT("'数据-取费表'!Am"&amp;$G$1)</f>
        <v>0</v>
      </c>
      <c r="G38" s="1436"/>
      <c r="H38" s="2649"/>
      <c r="I38" s="1449"/>
      <c r="J38" s="1450"/>
      <c r="K38" s="2647"/>
      <c r="L38" s="2649"/>
      <c r="M38" s="2649"/>
    </row>
    <row r="39" spans="1:18" ht="24.6" customHeight="1" thickTop="1">
      <c r="A39" s="1141" t="s">
        <v>999</v>
      </c>
      <c r="B39" s="1156" t="s">
        <v>1387</v>
      </c>
      <c r="C39" s="308">
        <f ca="1">C5-C30</f>
        <v>0</v>
      </c>
      <c r="D39" s="1157" t="s">
        <v>1388</v>
      </c>
      <c r="E39" s="1158"/>
      <c r="F39" s="1159"/>
      <c r="G39" s="1436"/>
      <c r="H39" s="2649"/>
      <c r="I39" s="1449"/>
      <c r="J39" s="1450"/>
      <c r="K39" s="2647"/>
      <c r="L39" s="2649"/>
      <c r="M39" s="2649"/>
    </row>
    <row r="40" spans="1:18" ht="18" customHeight="1">
      <c r="A40" s="297" t="s">
        <v>1000</v>
      </c>
      <c r="B40" s="298" t="s">
        <v>1389</v>
      </c>
      <c r="C40" s="299" t="e">
        <f ca="1">ROUND(C39*(1-((1+F42)/(1+F40))^F41)/(F40-F42),0)</f>
        <v>#DIV/0!</v>
      </c>
      <c r="D40" s="322" t="s">
        <v>1373</v>
      </c>
      <c r="E40" s="300" t="s">
        <v>1374</v>
      </c>
      <c r="F40" s="310">
        <f ca="1">INDIRECT("'数据-取费表'!I"&amp;$G$1)</f>
        <v>0</v>
      </c>
      <c r="G40" s="1436"/>
      <c r="H40" s="1510"/>
      <c r="I40" s="1449"/>
      <c r="J40" s="1450"/>
      <c r="K40" s="2647"/>
      <c r="L40" s="1510"/>
      <c r="M40" s="1510"/>
    </row>
    <row r="41" spans="1:18" ht="18" customHeight="1">
      <c r="A41" s="302"/>
      <c r="B41" s="303"/>
      <c r="C41" s="304"/>
      <c r="D41" s="329" t="s">
        <v>1390</v>
      </c>
      <c r="E41" s="300" t="s">
        <v>1378</v>
      </c>
      <c r="F41" s="330">
        <f ca="1">IF(INDIRECT("'数据-取费表'!af"&amp;$G$1)=0,INDIRECT("'数据-取费表'!ae"&amp;$G$1),INDIRECT("'数据-取费表'!af"&amp;$G$1))</f>
        <v>0</v>
      </c>
      <c r="G41" s="1436"/>
      <c r="H41" s="126"/>
      <c r="I41" s="1449"/>
      <c r="J41" s="1450"/>
      <c r="K41" s="2503"/>
      <c r="L41" s="126"/>
      <c r="M41" s="126"/>
    </row>
    <row r="42" spans="1:18" ht="18" customHeight="1">
      <c r="A42" s="306"/>
      <c r="B42" s="307"/>
      <c r="C42" s="308"/>
      <c r="D42" s="325"/>
      <c r="E42" s="300" t="s">
        <v>1381</v>
      </c>
      <c r="F42" s="310">
        <f ca="1">INDIRECT("'数据-取费表'!v"&amp;$G$1)</f>
        <v>0</v>
      </c>
      <c r="G42" s="1436"/>
      <c r="H42" s="126"/>
      <c r="I42" s="1449"/>
      <c r="J42" s="1450"/>
      <c r="K42" s="2503"/>
      <c r="L42" s="126"/>
      <c r="M42" s="126"/>
    </row>
    <row r="43" spans="1:18" ht="18" customHeight="1" thickBot="1">
      <c r="A43" s="331" t="s">
        <v>1001</v>
      </c>
      <c r="B43" s="332" t="s">
        <v>1391</v>
      </c>
      <c r="C43" s="333" t="e">
        <f ca="1">ROUND(C40/F43,0)</f>
        <v>#DIV/0!</v>
      </c>
      <c r="D43" s="334" t="s">
        <v>1392</v>
      </c>
      <c r="E43" s="335" t="s">
        <v>1393</v>
      </c>
      <c r="F43" s="336">
        <f ca="1">INDIRECT("'数据-取费表'!k"&amp;$G$1)</f>
        <v>0</v>
      </c>
      <c r="G43" s="1436"/>
      <c r="H43" s="126"/>
      <c r="I43" s="126"/>
      <c r="J43" s="126"/>
      <c r="K43" s="2503"/>
      <c r="L43" s="126"/>
      <c r="M43" s="126"/>
    </row>
    <row r="44" spans="1:18" s="1436" customFormat="1" ht="18" customHeight="1">
      <c r="A44" s="1451"/>
      <c r="B44" s="1451"/>
      <c r="C44" s="1452"/>
      <c r="D44" s="1451"/>
      <c r="E44" s="1451"/>
      <c r="F44" s="1451"/>
      <c r="K44" s="1453"/>
    </row>
    <row r="45" spans="1:18" s="1436" customFormat="1" ht="18" customHeight="1" thickBot="1">
      <c r="A45" s="1451"/>
      <c r="B45" s="1451"/>
      <c r="C45" s="1520" t="e">
        <f ca="1">C68-C40</f>
        <v>#DIV/0!</v>
      </c>
      <c r="D45" s="1521" t="s">
        <v>1508</v>
      </c>
      <c r="E45" s="1451"/>
      <c r="F45" s="1451"/>
      <c r="O45" s="1454" t="s">
        <v>1423</v>
      </c>
      <c r="P45" s="1510"/>
      <c r="Q45" s="1510"/>
      <c r="R45" s="1510"/>
    </row>
    <row r="46" spans="1:18" s="1436" customFormat="1" ht="13.5" thickBot="1">
      <c r="A46" s="1455" t="s">
        <v>1424</v>
      </c>
      <c r="C46" s="1456" t="e">
        <f ca="1">ROUND(C45/10000,0)</f>
        <v>#DIV/0!</v>
      </c>
      <c r="D46" s="1457" t="str">
        <f>C2</f>
        <v>万元</v>
      </c>
      <c r="I46" s="1458" t="s">
        <v>1425</v>
      </c>
      <c r="J46" s="1459"/>
      <c r="K46" s="1460"/>
      <c r="L46" s="1461" t="e">
        <f ca="1">IF(M47="住宅",0,IF(L48&gt;J51,L60,J60))</f>
        <v>#DIV/0!</v>
      </c>
      <c r="O46" s="1462" t="s">
        <v>1426</v>
      </c>
      <c r="P46" s="1463" t="s">
        <v>1427</v>
      </c>
      <c r="Q46" s="1464" t="s">
        <v>1428</v>
      </c>
      <c r="R46" s="1464" t="s">
        <v>1429</v>
      </c>
    </row>
    <row r="47" spans="1:18" s="1436" customFormat="1" ht="13.5" thickBot="1">
      <c r="A47" s="1015" t="s">
        <v>1301</v>
      </c>
      <c r="B47" s="1047" t="s">
        <v>1302</v>
      </c>
      <c r="C47" s="1047" t="s">
        <v>1303</v>
      </c>
      <c r="D47" s="1047" t="s">
        <v>1304</v>
      </c>
      <c r="E47" s="1119" t="s">
        <v>1305</v>
      </c>
      <c r="F47" s="1120"/>
      <c r="G47" s="689"/>
      <c r="I47" s="1465" t="s">
        <v>1430</v>
      </c>
      <c r="J47" s="1466"/>
      <c r="K47" s="1467" t="s">
        <v>1431</v>
      </c>
      <c r="L47" s="1468">
        <f ca="1">INDIRECT("'数据-取费表'!d"&amp;$G$1)</f>
        <v>0</v>
      </c>
      <c r="M47" s="1432" t="str">
        <f>IF(ISNUMBER(FIND("住宅",C1)),"住宅","非住宅")</f>
        <v>非住宅</v>
      </c>
      <c r="O47" s="1469" t="s">
        <v>1008</v>
      </c>
      <c r="P47" s="1470" t="s">
        <v>1432</v>
      </c>
      <c r="Q47" s="1471" t="e">
        <f ca="1">C40+J29</f>
        <v>#DIV/0!</v>
      </c>
      <c r="R47" s="1471" t="s">
        <v>1433</v>
      </c>
    </row>
    <row r="48" spans="1:18" s="1436" customFormat="1" ht="28.5" thickBot="1">
      <c r="A48" s="1172" t="s">
        <v>1044</v>
      </c>
      <c r="B48" s="298" t="s">
        <v>1306</v>
      </c>
      <c r="C48" s="1412">
        <f ca="1">C49+C53+C55</f>
        <v>0</v>
      </c>
      <c r="D48" s="1174"/>
      <c r="E48" s="1175"/>
      <c r="F48" s="1031"/>
      <c r="G48" s="689"/>
      <c r="H48" s="690"/>
      <c r="I48" s="1472" t="s">
        <v>1434</v>
      </c>
      <c r="J48" s="1473"/>
      <c r="K48" s="1474" t="s">
        <v>1435</v>
      </c>
      <c r="L48" s="1475">
        <f ca="1">INDIRECT("'数据-取费表'!f"&amp;$G$1)</f>
        <v>0</v>
      </c>
      <c r="O48" s="1469" t="s">
        <v>1009</v>
      </c>
      <c r="P48" s="1470" t="s">
        <v>1436</v>
      </c>
      <c r="Q48" s="1471" t="e">
        <f ca="1">J60</f>
        <v>#DIV/0!</v>
      </c>
      <c r="R48" s="1471" t="s">
        <v>1437</v>
      </c>
    </row>
    <row r="49" spans="1:18" s="1436" customFormat="1" ht="13.5" thickBot="1">
      <c r="A49" s="1044" t="s">
        <v>1045</v>
      </c>
      <c r="B49" s="1423" t="s">
        <v>1394</v>
      </c>
      <c r="C49" s="1176">
        <f ca="1">ROUND(F49*F51*F50*(1-F52),0)</f>
        <v>0</v>
      </c>
      <c r="D49" s="1116" t="s">
        <v>1309</v>
      </c>
      <c r="E49" s="1424" t="s">
        <v>1395</v>
      </c>
      <c r="F49" s="1121"/>
      <c r="H49" s="690"/>
      <c r="I49" s="1472" t="s">
        <v>1438</v>
      </c>
      <c r="J49" s="1476"/>
      <c r="K49" s="1474" t="s">
        <v>1439</v>
      </c>
      <c r="L49" s="1477"/>
      <c r="O49" s="1478" t="s">
        <v>1010</v>
      </c>
      <c r="P49" s="1470" t="s">
        <v>1440</v>
      </c>
      <c r="Q49" s="1471">
        <f ca="1">C29</f>
        <v>0</v>
      </c>
      <c r="R49" s="1471" t="s">
        <v>1433</v>
      </c>
    </row>
    <row r="50" spans="1:18" s="1436" customFormat="1" ht="13.5" thickBot="1">
      <c r="A50" s="1045"/>
      <c r="B50" s="1048"/>
      <c r="C50" s="1049"/>
      <c r="D50" s="1022"/>
      <c r="E50" s="1117" t="s">
        <v>1311</v>
      </c>
      <c r="F50" s="1118">
        <f ca="1">F7</f>
        <v>0</v>
      </c>
      <c r="H50" s="690"/>
      <c r="I50" s="1472" t="s">
        <v>1441</v>
      </c>
      <c r="J50" s="1479">
        <f>SUMPRODUCT((I63:I65=J47)*(J62:L62=J48)*(J63:L65))</f>
        <v>0</v>
      </c>
      <c r="K50" s="1474" t="s">
        <v>1442</v>
      </c>
      <c r="L50" s="1477"/>
      <c r="M50" s="1480"/>
      <c r="O50" s="1478" t="s">
        <v>1011</v>
      </c>
      <c r="P50" s="1470" t="s">
        <v>1443</v>
      </c>
      <c r="Q50" s="1481" t="e">
        <f ca="1">J58</f>
        <v>#DIV/0!</v>
      </c>
      <c r="R50" s="1471"/>
    </row>
    <row r="51" spans="1:18" s="1436" customFormat="1" ht="13.5" thickBot="1">
      <c r="A51" s="1046"/>
      <c r="B51" s="1048"/>
      <c r="C51" s="1049"/>
      <c r="D51" s="1022"/>
      <c r="E51" s="1050" t="s">
        <v>1312</v>
      </c>
      <c r="F51" s="301">
        <f ca="1">F8</f>
        <v>0</v>
      </c>
      <c r="I51" s="1482" t="s">
        <v>1444</v>
      </c>
      <c r="J51" s="1475">
        <f>IF(J49="",J50,J49+J50-YEAR('数据-取费表'!B2))</f>
        <v>0</v>
      </c>
      <c r="K51" s="1483" t="s">
        <v>1445</v>
      </c>
      <c r="L51" s="1484">
        <f ca="1">ROUND(-PV(INDIRECT("'数据-取费表'!h"&amp;$G$1),J51,(C39-C13*C76),0),0)</f>
        <v>0</v>
      </c>
      <c r="M51" s="1485"/>
      <c r="O51" s="1478" t="s">
        <v>1012</v>
      </c>
      <c r="P51" s="1470" t="s">
        <v>1446</v>
      </c>
      <c r="Q51" s="1481">
        <f>J52</f>
        <v>0</v>
      </c>
      <c r="R51" s="1471"/>
    </row>
    <row r="52" spans="1:18" s="1436" customFormat="1" ht="13.5" thickBot="1">
      <c r="A52" s="1046"/>
      <c r="B52" s="1048"/>
      <c r="C52" s="1049"/>
      <c r="D52" s="1022"/>
      <c r="E52" s="1050" t="s">
        <v>1313</v>
      </c>
      <c r="F52" s="1115"/>
      <c r="I52" s="1486" t="s">
        <v>1447</v>
      </c>
      <c r="J52" s="1487"/>
      <c r="K52" s="1486" t="s">
        <v>1448</v>
      </c>
      <c r="L52" s="1487"/>
      <c r="O52" s="1478" t="s">
        <v>1013</v>
      </c>
      <c r="P52" s="1470" t="s">
        <v>1449</v>
      </c>
      <c r="Q52" s="1471">
        <f ca="1">J53</f>
        <v>0</v>
      </c>
      <c r="R52" s="1471" t="s">
        <v>1450</v>
      </c>
    </row>
    <row r="53" spans="1:18" s="1436" customFormat="1" ht="30.75" customHeight="1" thickBot="1">
      <c r="A53" s="1173" t="s">
        <v>1046</v>
      </c>
      <c r="B53" s="321" t="s">
        <v>1314</v>
      </c>
      <c r="C53" s="314">
        <f ca="1">ROUND(IF(F53="押一",C49/12*F11,IF(F53="押二",C49/12*2*F11,IF(F53="押三",C49/12*3*F11,C54*F11))),0)</f>
        <v>0</v>
      </c>
      <c r="D53" s="155" t="s">
        <v>2787</v>
      </c>
      <c r="E53" s="311" t="s">
        <v>1315</v>
      </c>
      <c r="F53" s="1178"/>
      <c r="I53" s="1488" t="s">
        <v>1451</v>
      </c>
      <c r="J53" s="2174">
        <f ca="1">IF(M47="住宅",IF(D1="——",MAX(J51,L48),MAX(J51,L48-'数据-取费表'!B24)),IF(D1="——",MIN(J51,L48),MIN(J51,L48-'数据-取费表'!B24)))</f>
        <v>0</v>
      </c>
      <c r="K53" s="3400" t="s">
        <v>1452</v>
      </c>
      <c r="L53" s="3401"/>
      <c r="O53" s="1469" t="s">
        <v>1014</v>
      </c>
      <c r="P53" s="1470" t="s">
        <v>1453</v>
      </c>
      <c r="Q53" s="1471" t="e">
        <f ca="1">Q47+Q48</f>
        <v>#DIV/0!</v>
      </c>
      <c r="R53" s="1471" t="s">
        <v>1015</v>
      </c>
    </row>
    <row r="54" spans="1:18" s="1436" customFormat="1" ht="13.5" thickBot="1">
      <c r="A54" s="1044"/>
      <c r="B54" s="1522" t="s">
        <v>1507</v>
      </c>
      <c r="C54" s="1028"/>
      <c r="D54" s="155"/>
      <c r="E54" s="1426"/>
      <c r="F54" s="1489"/>
      <c r="I54" s="1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1"/>
      <c r="K54" s="1491"/>
      <c r="L54" s="1491"/>
      <c r="O54" s="1454" t="s">
        <v>1454</v>
      </c>
      <c r="P54" s="1433"/>
      <c r="Q54" s="1433"/>
      <c r="R54" s="1433"/>
    </row>
    <row r="55" spans="1:18" s="1436" customFormat="1" ht="13.5" thickBot="1">
      <c r="A55" s="1145" t="s">
        <v>1043</v>
      </c>
      <c r="B55" s="1421" t="s">
        <v>1317</v>
      </c>
      <c r="C55" s="1146"/>
      <c r="D55" s="155"/>
      <c r="E55" s="1426"/>
      <c r="F55" s="1489"/>
      <c r="I55" s="1492" t="s">
        <v>1455</v>
      </c>
      <c r="J55" s="1493" t="e">
        <f ca="1">ROUND(IF(J47="钢混",J57/J50,1-(1-2%)*(J50-J57)/J50),3)</f>
        <v>#DIV/0!</v>
      </c>
      <c r="K55" s="1494" t="s">
        <v>1456</v>
      </c>
      <c r="L55" s="1495"/>
      <c r="O55" s="1462" t="s">
        <v>1426</v>
      </c>
      <c r="P55" s="1463" t="s">
        <v>1427</v>
      </c>
      <c r="Q55" s="1464" t="s">
        <v>1428</v>
      </c>
      <c r="R55" s="1464" t="s">
        <v>1429</v>
      </c>
    </row>
    <row r="56" spans="1:18" s="1436" customFormat="1" ht="36" customHeight="1" thickTop="1" thickBot="1">
      <c r="A56" s="1026">
        <v>2</v>
      </c>
      <c r="B56" s="1027" t="s">
        <v>1318</v>
      </c>
      <c r="C56" s="230">
        <f ca="1">C13</f>
        <v>0</v>
      </c>
      <c r="D56" s="1496"/>
      <c r="E56" s="1497"/>
      <c r="F56" s="1489"/>
      <c r="I56" s="1498" t="s">
        <v>1458</v>
      </c>
      <c r="J56" s="1499"/>
      <c r="K56" s="1472" t="s">
        <v>1459</v>
      </c>
      <c r="L56" s="1475">
        <f ca="1">IF(L48&lt;J51,"——",L48-J51)</f>
        <v>0</v>
      </c>
      <c r="O56" s="1469" t="s">
        <v>1008</v>
      </c>
      <c r="P56" s="1470" t="s">
        <v>1432</v>
      </c>
      <c r="Q56" s="1471" t="e">
        <f ca="1">C40+J29</f>
        <v>#DIV/0!</v>
      </c>
      <c r="R56" s="1471" t="s">
        <v>1433</v>
      </c>
    </row>
    <row r="57" spans="1:18" s="1436" customFormat="1" ht="24.75" thickBot="1">
      <c r="A57" s="1500"/>
      <c r="B57" s="1019" t="s">
        <v>1382</v>
      </c>
      <c r="C57" s="236">
        <f ca="1">C29</f>
        <v>0</v>
      </c>
      <c r="D57" s="1501"/>
      <c r="E57" s="1502"/>
      <c r="F57" s="1503"/>
      <c r="I57" s="1504" t="s">
        <v>1460</v>
      </c>
      <c r="J57" s="1505">
        <f ca="1">IF(OR(M47="住宅",J51&lt;L48,J56="是"),"——",J51-L48)</f>
        <v>0</v>
      </c>
      <c r="K57" s="1472" t="s">
        <v>1509</v>
      </c>
      <c r="L57" s="1475">
        <f ca="1">IF(L48&lt;J51,"——",IF(L55="比较法",L49,IF(L55="基准地价",L50,L51)))</f>
        <v>0</v>
      </c>
      <c r="O57" s="1469" t="s">
        <v>1009</v>
      </c>
      <c r="P57" s="1470" t="s">
        <v>1510</v>
      </c>
      <c r="Q57" s="1471" t="e">
        <f ca="1">L60</f>
        <v>#DIV/0!</v>
      </c>
      <c r="R57" s="1471" t="s">
        <v>1511</v>
      </c>
    </row>
    <row r="58" spans="1:18" s="1436" customFormat="1" ht="24.75" thickBot="1">
      <c r="A58" s="313" t="s">
        <v>998</v>
      </c>
      <c r="B58" s="1027" t="s">
        <v>1328</v>
      </c>
      <c r="C58" s="314">
        <f ca="1">ROUND(C59+C64+C65+C66,0)</f>
        <v>0</v>
      </c>
      <c r="D58" s="1029" t="s">
        <v>1329</v>
      </c>
      <c r="E58" s="1030"/>
      <c r="F58" s="1031"/>
      <c r="I58" s="1504" t="s">
        <v>1464</v>
      </c>
      <c r="J58" s="1506" t="e">
        <f ca="1">IF(J55&lt;0.4,0.4,J55)</f>
        <v>#DIV/0!</v>
      </c>
      <c r="K58" s="1483" t="s">
        <v>1512</v>
      </c>
      <c r="L58" s="1475" t="e">
        <f ca="1">ROUND(POWER(1+L52,L47-L48)*(POWER(1+L52,L48)-1)/(POWER(1+L52,L47)-1),4)</f>
        <v>#DIV/0!</v>
      </c>
      <c r="O58" s="1478" t="s">
        <v>1010</v>
      </c>
      <c r="P58" s="1470" t="s">
        <v>1466</v>
      </c>
      <c r="Q58" s="1471">
        <f>IF(L55="比较法",L49,IF(L55="基准地价",L50,0))</f>
        <v>0</v>
      </c>
      <c r="R58" s="1471" t="s">
        <v>1433</v>
      </c>
    </row>
    <row r="59" spans="1:18" s="1436" customFormat="1" ht="24.75" thickBot="1">
      <c r="A59" s="1051" t="s">
        <v>1003</v>
      </c>
      <c r="B59" s="1019" t="s">
        <v>1333</v>
      </c>
      <c r="C59" s="2308">
        <f ca="1">ROUND(IF(AND(项目基本情况!B11="自然人",项目基本情况!B10="北京市"),C49*F59/(1+'数据-取费表'!C42),C60+C61+C62),0)</f>
        <v>0</v>
      </c>
      <c r="D59" s="1032" t="s">
        <v>1334</v>
      </c>
      <c r="E59" s="1033" t="s">
        <v>1335</v>
      </c>
      <c r="F59" s="2307" t="str">
        <f>IF(项目基本情况!B11="企业","——",IF('数据-取费表'!B10="住宅",IF(F49*F50*F51/12/(1+'数据-取费表'!F30)&gt;100000,4%,2.5%),IF(F49*F50*F51/12/(1+'数据-取费表'!F30)&gt;100000,12%,7%)))</f>
        <v>——</v>
      </c>
      <c r="I59" s="1504" t="s">
        <v>1467</v>
      </c>
      <c r="J59" s="1505" t="e">
        <f ca="1">IF(OR(M47="住宅",J51&lt;L48,J56="是"),"——",ROUND(C29*J58,0))</f>
        <v>#DIV/0!</v>
      </c>
      <c r="K59" s="14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5" t="e">
        <f ca="1">ROUND(IF(D1="在建（套用方法）",M59,IF(D1="土地（套用方法）",N59,POWER(1+L52,L47-J51)*(POWER(1+L52,J51)-1)/(POWER(1+L52,L47)-1))),4)</f>
        <v>#DIV/0!</v>
      </c>
      <c r="M59" s="1433" t="e">
        <f ca="1">ROUND(POWER(1+L52,L47-(J51+'数据-取费表'!B24))*(POWER(1+L52,(J51+'数据-取费表'!B24))-1)/(POWER(1+L52,L47)-1),4)</f>
        <v>#DIV/0!</v>
      </c>
      <c r="N59" s="1433" t="e">
        <f ca="1">ROUND(POWER(1+L52,L47-(J51+'数据-取费表'!B20))*(POWER(1+L52,(J51+'数据-取费表'!B20))-1)/(POWER(1+L52,L47)-1),4)</f>
        <v>#DIV/0!</v>
      </c>
      <c r="O59" s="1478" t="s">
        <v>1011</v>
      </c>
      <c r="P59" s="1470" t="s">
        <v>1468</v>
      </c>
      <c r="Q59" s="1481">
        <f>L52</f>
        <v>0</v>
      </c>
      <c r="R59" s="1471"/>
    </row>
    <row r="60" spans="1:18" s="1436" customFormat="1" ht="16.5" thickBot="1">
      <c r="A60" s="1051" t="s">
        <v>1002</v>
      </c>
      <c r="B60" s="1019" t="s">
        <v>1337</v>
      </c>
      <c r="C60" s="24">
        <f ca="1">IF(项目基本情况!B11="自然人","——",ROUND(C48*F60/(1+'数据-取费表'!C42),0))</f>
        <v>0</v>
      </c>
      <c r="D60" s="1033" t="s">
        <v>1338</v>
      </c>
      <c r="E60" s="1019" t="s">
        <v>1326</v>
      </c>
      <c r="F60" s="328">
        <f t="shared" ref="F60:F66" si="0">F32</f>
        <v>5.5000000000000007E-2</v>
      </c>
      <c r="I60" s="1507" t="s">
        <v>1469</v>
      </c>
      <c r="J60" s="1508" t="e">
        <f ca="1">IF(OR(M47="住宅",J51&lt;L48,J56="是"),"0",ROUND(J59/(1+J52)^J53,0))</f>
        <v>#DIV/0!</v>
      </c>
      <c r="K60" s="1509" t="s">
        <v>1470</v>
      </c>
      <c r="L60" s="1508" t="e">
        <f ca="1">IF(OR(M47="住宅",L48&lt;J51),0,ROUND(L57*(L58/L59-1),0))</f>
        <v>#DIV/0!</v>
      </c>
      <c r="O60" s="1478" t="s">
        <v>1012</v>
      </c>
      <c r="P60" s="1470" t="s">
        <v>1471</v>
      </c>
      <c r="Q60" s="1471" t="e">
        <f ca="1">L58</f>
        <v>#DIV/0!</v>
      </c>
      <c r="R60" s="1471" t="s">
        <v>1472</v>
      </c>
    </row>
    <row r="61" spans="1:18" s="1436" customFormat="1" ht="13.5" thickBot="1">
      <c r="A61" s="1051" t="s">
        <v>1396</v>
      </c>
      <c r="B61" s="1019" t="s">
        <v>1397</v>
      </c>
      <c r="C61" s="24">
        <f ca="1">IF(项目基本情况!B11="自然人","——",IF(D61="按租金收入计税",ROUND(C49*F61/(1+'数据-取费表'!C42),0),IF(D61="按房产原值计税",ROUND(C57*F61*0.7,0),INDIRECT("'数据-取费表'!Aj"&amp;$G$1))))</f>
        <v>0</v>
      </c>
      <c r="D61" s="1422" t="s">
        <v>1342</v>
      </c>
      <c r="E61" s="1019" t="s">
        <v>1398</v>
      </c>
      <c r="F61" s="320">
        <f t="shared" si="0"/>
        <v>1.2E-2</v>
      </c>
      <c r="I61" s="1510"/>
      <c r="J61" s="1510"/>
      <c r="K61" s="1510"/>
      <c r="L61" s="1510"/>
      <c r="O61" s="1478" t="s">
        <v>1013</v>
      </c>
      <c r="P61" s="1470" t="str">
        <f>K59</f>
        <v>建设期及建筑物耐用年限下的土地年期修正系数Kn</v>
      </c>
      <c r="Q61" s="1471" t="e">
        <f ca="1">L59</f>
        <v>#DIV/0!</v>
      </c>
      <c r="R61" s="1471" t="s">
        <v>1473</v>
      </c>
    </row>
    <row r="62" spans="1:18" s="1436" customFormat="1" ht="13.5" thickBot="1">
      <c r="A62" s="1051" t="s">
        <v>1399</v>
      </c>
      <c r="B62" s="1018" t="s">
        <v>1400</v>
      </c>
      <c r="C62" s="25">
        <f ca="1">IF(项目基本情况!B11="自然人","——",ROUND(F62*F63,0))</f>
        <v>0</v>
      </c>
      <c r="D62" s="1034" t="s">
        <v>1401</v>
      </c>
      <c r="E62" s="1019" t="s">
        <v>1402</v>
      </c>
      <c r="F62" s="323">
        <f t="shared" si="0"/>
        <v>0</v>
      </c>
      <c r="I62" s="1511" t="s">
        <v>1474</v>
      </c>
      <c r="J62" s="618" t="s">
        <v>1475</v>
      </c>
      <c r="K62" s="618" t="s">
        <v>1476</v>
      </c>
      <c r="L62" s="618" t="s">
        <v>1477</v>
      </c>
      <c r="M62" s="1512" t="s">
        <v>1478</v>
      </c>
      <c r="O62" s="1469" t="s">
        <v>1014</v>
      </c>
      <c r="P62" s="1470" t="s">
        <v>1479</v>
      </c>
      <c r="Q62" s="1471" t="e">
        <f ca="1">Q56+Q57</f>
        <v>#DIV/0!</v>
      </c>
      <c r="R62" s="1471" t="s">
        <v>1015</v>
      </c>
    </row>
    <row r="63" spans="1:18" s="1436" customFormat="1" ht="13.5" thickBot="1">
      <c r="A63" s="324"/>
      <c r="B63" s="1025"/>
      <c r="C63" s="29"/>
      <c r="D63" s="1035"/>
      <c r="E63" s="1019" t="s">
        <v>1403</v>
      </c>
      <c r="F63" s="301">
        <f t="shared" ca="1" si="0"/>
        <v>0</v>
      </c>
      <c r="I63" s="1511" t="s">
        <v>1480</v>
      </c>
      <c r="J63" s="618">
        <v>70</v>
      </c>
      <c r="K63" s="618">
        <v>50</v>
      </c>
      <c r="L63" s="618">
        <v>80</v>
      </c>
      <c r="M63" s="1513">
        <v>0.02</v>
      </c>
      <c r="O63" s="1454" t="s">
        <v>1481</v>
      </c>
      <c r="P63" s="1433"/>
      <c r="Q63" s="1433"/>
      <c r="R63" s="1433"/>
    </row>
    <row r="64" spans="1:18" s="1436" customFormat="1" ht="13.5" thickBot="1">
      <c r="A64" s="1051" t="s">
        <v>1404</v>
      </c>
      <c r="B64" s="1019" t="s">
        <v>1405</v>
      </c>
      <c r="C64" s="24">
        <f ca="1">ROUND(C57*F64,0)</f>
        <v>0</v>
      </c>
      <c r="D64" s="1033" t="s">
        <v>1406</v>
      </c>
      <c r="E64" s="1019" t="s">
        <v>1398</v>
      </c>
      <c r="F64" s="326">
        <f t="shared" ca="1" si="0"/>
        <v>0</v>
      </c>
      <c r="I64" s="1511" t="s">
        <v>1482</v>
      </c>
      <c r="J64" s="618">
        <v>50</v>
      </c>
      <c r="K64" s="618">
        <v>35</v>
      </c>
      <c r="L64" s="618">
        <v>60</v>
      </c>
      <c r="M64" s="1512">
        <v>0</v>
      </c>
      <c r="O64" s="1462" t="s">
        <v>1426</v>
      </c>
      <c r="P64" s="1463" t="s">
        <v>1427</v>
      </c>
      <c r="Q64" s="1464" t="s">
        <v>1428</v>
      </c>
      <c r="R64" s="1464" t="s">
        <v>1429</v>
      </c>
    </row>
    <row r="65" spans="1:18" s="1436" customFormat="1" ht="13.5" thickBot="1">
      <c r="A65" s="1051" t="s">
        <v>1407</v>
      </c>
      <c r="B65" s="1019" t="s">
        <v>1357</v>
      </c>
      <c r="C65" s="24">
        <f ca="1">ROUND(C56*F65,0)</f>
        <v>0</v>
      </c>
      <c r="D65" s="1033" t="s">
        <v>1358</v>
      </c>
      <c r="E65" s="1019" t="s">
        <v>1359</v>
      </c>
      <c r="F65" s="327">
        <f t="shared" ca="1" si="0"/>
        <v>0</v>
      </c>
      <c r="I65" s="1511" t="s">
        <v>1483</v>
      </c>
      <c r="J65" s="618">
        <v>40</v>
      </c>
      <c r="K65" s="618">
        <v>30</v>
      </c>
      <c r="L65" s="618">
        <v>50</v>
      </c>
      <c r="M65" s="1513">
        <v>0.02</v>
      </c>
      <c r="O65" s="1469" t="s">
        <v>1008</v>
      </c>
      <c r="P65" s="1470" t="s">
        <v>1484</v>
      </c>
      <c r="Q65" s="1471" t="e">
        <f ca="1">C40+J29</f>
        <v>#DIV/0!</v>
      </c>
      <c r="R65" s="1471" t="s">
        <v>1433</v>
      </c>
    </row>
    <row r="66" spans="1:18" s="1436" customFormat="1" ht="16.5" thickBot="1">
      <c r="A66" s="1051" t="s">
        <v>1408</v>
      </c>
      <c r="B66" s="1019" t="s">
        <v>1343</v>
      </c>
      <c r="C66" s="24">
        <f ca="1">ROUND(C48*F66,0)</f>
        <v>0</v>
      </c>
      <c r="D66" s="1033" t="s">
        <v>1409</v>
      </c>
      <c r="E66" s="1019" t="s">
        <v>1326</v>
      </c>
      <c r="F66" s="310">
        <f t="shared" ca="1" si="0"/>
        <v>0</v>
      </c>
      <c r="O66" s="1469" t="s">
        <v>1009</v>
      </c>
      <c r="P66" s="1470" t="s">
        <v>1462</v>
      </c>
      <c r="Q66" s="1471" t="e">
        <f ca="1">L60</f>
        <v>#DIV/0!</v>
      </c>
      <c r="R66" s="1471" t="s">
        <v>1485</v>
      </c>
    </row>
    <row r="67" spans="1:18" s="1436" customFormat="1" ht="16.5" thickBot="1">
      <c r="A67" s="1026" t="s">
        <v>999</v>
      </c>
      <c r="B67" s="1036" t="s">
        <v>1367</v>
      </c>
      <c r="C67" s="314">
        <f ca="1">C48-C58</f>
        <v>0</v>
      </c>
      <c r="D67" s="1032" t="s">
        <v>1368</v>
      </c>
      <c r="E67" s="1037"/>
      <c r="F67" s="1038"/>
      <c r="O67" s="1478" t="s">
        <v>1010</v>
      </c>
      <c r="P67" s="1470" t="s">
        <v>1466</v>
      </c>
      <c r="Q67" s="1514">
        <f ca="1">L51</f>
        <v>0</v>
      </c>
      <c r="R67" s="1471" t="s">
        <v>1486</v>
      </c>
    </row>
    <row r="68" spans="1:18" s="1436" customFormat="1" ht="16.5" thickBot="1">
      <c r="A68" s="1016" t="s">
        <v>1000</v>
      </c>
      <c r="B68" s="1017" t="s">
        <v>1389</v>
      </c>
      <c r="C68" s="299" t="e">
        <f ca="1">ROUND(C67*(1-((1+F70)/(1+F68))^F69)/(F68-F70),0)</f>
        <v>#DIV/0!</v>
      </c>
      <c r="D68" s="1034" t="s">
        <v>1373</v>
      </c>
      <c r="E68" s="1019" t="s">
        <v>1374</v>
      </c>
      <c r="F68" s="310">
        <f ca="1">F40</f>
        <v>0</v>
      </c>
      <c r="O68" s="1478" t="s">
        <v>1011</v>
      </c>
      <c r="P68" s="1515" t="s">
        <v>1487</v>
      </c>
      <c r="Q68" s="1471">
        <f ca="1">ROUND(Q69-Q70*Q71,0)</f>
        <v>0</v>
      </c>
      <c r="R68" s="1471" t="s">
        <v>1019</v>
      </c>
    </row>
    <row r="69" spans="1:18" s="1436" customFormat="1" ht="13.5" thickBot="1">
      <c r="A69" s="1020"/>
      <c r="B69" s="1021"/>
      <c r="C69" s="304"/>
      <c r="D69" s="1039" t="s">
        <v>1377</v>
      </c>
      <c r="E69" s="1019" t="s">
        <v>1378</v>
      </c>
      <c r="F69" s="330">
        <f ca="1">F41</f>
        <v>0</v>
      </c>
      <c r="O69" s="1478" t="s">
        <v>1016</v>
      </c>
      <c r="P69" s="1515" t="s">
        <v>1488</v>
      </c>
      <c r="Q69" s="1471">
        <f ca="1">C39</f>
        <v>0</v>
      </c>
      <c r="R69" s="1471" t="s">
        <v>1433</v>
      </c>
    </row>
    <row r="70" spans="1:18" s="1436" customFormat="1" ht="13.5" thickBot="1">
      <c r="A70" s="1023"/>
      <c r="B70" s="1024"/>
      <c r="C70" s="308"/>
      <c r="D70" s="1035"/>
      <c r="E70" s="1019" t="s">
        <v>1381</v>
      </c>
      <c r="F70" s="1115">
        <f ca="1">F42</f>
        <v>0</v>
      </c>
      <c r="O70" s="1478" t="s">
        <v>1017</v>
      </c>
      <c r="P70" s="1515" t="s">
        <v>1489</v>
      </c>
      <c r="Q70" s="1471">
        <f ca="1">C13</f>
        <v>0</v>
      </c>
      <c r="R70" s="1471" t="s">
        <v>1433</v>
      </c>
    </row>
    <row r="71" spans="1:18" s="1436" customFormat="1" ht="13.5" thickBot="1">
      <c r="A71" s="1040" t="s">
        <v>1001</v>
      </c>
      <c r="B71" s="1041" t="s">
        <v>1391</v>
      </c>
      <c r="C71" s="333" t="e">
        <f ca="1">ROUND(C68/F71,0)</f>
        <v>#DIV/0!</v>
      </c>
      <c r="D71" s="1042" t="s">
        <v>1392</v>
      </c>
      <c r="E71" s="1043" t="s">
        <v>1393</v>
      </c>
      <c r="F71" s="336">
        <f ca="1">F43</f>
        <v>0</v>
      </c>
      <c r="O71" s="1478" t="s">
        <v>1018</v>
      </c>
      <c r="P71" s="1515" t="s">
        <v>1490</v>
      </c>
      <c r="Q71" s="1481">
        <f ca="1">C76</f>
        <v>0</v>
      </c>
      <c r="R71" s="1471"/>
    </row>
    <row r="72" spans="1:18" s="1436" customFormat="1" ht="13.5" thickBot="1">
      <c r="B72" s="693"/>
      <c r="C72" s="693"/>
      <c r="O72" s="1478" t="s">
        <v>1012</v>
      </c>
      <c r="P72" s="1470" t="s">
        <v>1468</v>
      </c>
      <c r="Q72" s="1481">
        <f>L52</f>
        <v>0</v>
      </c>
      <c r="R72" s="1471"/>
    </row>
    <row r="73" spans="1:18" ht="16.5" thickBot="1">
      <c r="A73" s="1436"/>
      <c r="B73" s="693"/>
      <c r="C73" s="693"/>
      <c r="D73" s="1436"/>
      <c r="E73" s="1436"/>
      <c r="F73" s="1436"/>
      <c r="O73" s="1478" t="s">
        <v>1013</v>
      </c>
      <c r="P73" s="1470" t="s">
        <v>1471</v>
      </c>
      <c r="Q73" s="1471" t="e">
        <f ca="1">L58</f>
        <v>#DIV/0!</v>
      </c>
      <c r="R73" s="1471" t="s">
        <v>1472</v>
      </c>
    </row>
    <row r="74" spans="1:18" ht="13.5" thickBot="1">
      <c r="A74" s="1436"/>
      <c r="B74" s="271" t="s">
        <v>1491</v>
      </c>
      <c r="C74" s="1517"/>
      <c r="D74" s="1436"/>
      <c r="E74" s="1436"/>
      <c r="F74" s="1436"/>
      <c r="O74" s="1478" t="s">
        <v>1020</v>
      </c>
      <c r="P74" s="1470" t="str">
        <f>K59</f>
        <v>建设期及建筑物耐用年限下的土地年期修正系数Kn</v>
      </c>
      <c r="Q74" s="1471" t="e">
        <f ca="1">L59</f>
        <v>#DIV/0!</v>
      </c>
      <c r="R74" s="1471" t="s">
        <v>1473</v>
      </c>
    </row>
    <row r="75" spans="1:18" ht="13.5" thickBot="1">
      <c r="A75" s="1436"/>
      <c r="B75" s="337" t="s">
        <v>1410</v>
      </c>
      <c r="C75" s="338">
        <f ca="1">ROUND(C13*C76,0)</f>
        <v>0</v>
      </c>
      <c r="D75" s="1436"/>
      <c r="E75" s="1436"/>
      <c r="F75" s="1436"/>
      <c r="K75" s="1453"/>
      <c r="L75" s="1436"/>
      <c r="O75" s="1469" t="s">
        <v>1014</v>
      </c>
      <c r="P75" s="1470" t="s">
        <v>1453</v>
      </c>
      <c r="Q75" s="1471" t="e">
        <f ca="1">Q65+Q66</f>
        <v>#DIV/0!</v>
      </c>
      <c r="R75" s="1471" t="s">
        <v>1015</v>
      </c>
    </row>
    <row r="76" spans="1:18">
      <c r="B76" s="339" t="s">
        <v>1411</v>
      </c>
      <c r="C76" s="340">
        <f ca="1">INDIRECT("'数据-取费表'!j"&amp;$G$1)</f>
        <v>0</v>
      </c>
      <c r="I76" s="1436"/>
      <c r="J76" s="1436"/>
      <c r="K76" s="1453"/>
      <c r="L76" s="1436"/>
    </row>
    <row r="77" spans="1:18">
      <c r="B77" s="341" t="s">
        <v>1412</v>
      </c>
      <c r="C77" s="342"/>
      <c r="I77" s="1436"/>
      <c r="J77" s="1436"/>
      <c r="K77" s="1453"/>
      <c r="L77" s="1436"/>
    </row>
    <row r="78" spans="1:18">
      <c r="B78" s="268" t="s">
        <v>1413</v>
      </c>
      <c r="C78" s="343"/>
    </row>
    <row r="79" spans="1:18">
      <c r="B79" s="337" t="s">
        <v>1414</v>
      </c>
      <c r="C79" s="272" t="e">
        <f ca="1">1-C80</f>
        <v>#DIV/0!</v>
      </c>
    </row>
    <row r="80" spans="1:18">
      <c r="B80" s="337" t="s">
        <v>1415</v>
      </c>
      <c r="C80" s="272" t="e">
        <f ca="1">ROUND(C75/C39,3)</f>
        <v>#DIV/0!</v>
      </c>
    </row>
    <row r="81" spans="2:3">
      <c r="B81" s="268" t="s">
        <v>1416</v>
      </c>
      <c r="C81" s="236"/>
    </row>
    <row r="82" spans="2:3">
      <c r="B82" s="271" t="s">
        <v>1417</v>
      </c>
      <c r="C82" s="273" t="e">
        <f ca="1">1-C83</f>
        <v>#DIV/0!</v>
      </c>
    </row>
    <row r="83" spans="2:3">
      <c r="B83" s="271" t="s">
        <v>1418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F33" sqref="F33"/>
    </sheetView>
  </sheetViews>
  <sheetFormatPr defaultRowHeight="13.15" customHeight="1"/>
  <cols>
    <col min="1" max="1" width="9.5" style="2771" customWidth="1"/>
    <col min="2" max="2" width="8.875" style="2771"/>
    <col min="3" max="5" width="12.875" style="2771" customWidth="1"/>
    <col min="6" max="6" width="47.5" style="2771" customWidth="1"/>
    <col min="7" max="7" width="13" style="2765" customWidth="1"/>
    <col min="8" max="8" width="8.875" style="2765"/>
    <col min="9" max="9" width="8.875" style="2766"/>
    <col min="10" max="10" width="5.75" style="2925" customWidth="1"/>
    <col min="11" max="11" width="11.75" style="2925" customWidth="1"/>
    <col min="12" max="13" width="10.75" style="2925" customWidth="1"/>
    <col min="14" max="14" width="10" style="2925" customWidth="1"/>
    <col min="15" max="16" width="10.5" style="2925" bestFit="1" customWidth="1"/>
    <col min="17" max="17" width="10" style="2925" customWidth="1"/>
    <col min="18" max="18" width="10.125" style="2925" customWidth="1"/>
    <col min="19" max="19" width="10" style="2925" customWidth="1"/>
    <col min="20" max="20" width="26.125" style="2925" customWidth="1"/>
    <col min="21" max="21" width="8.875" style="2925"/>
    <col min="22" max="22" width="8.875" style="2766"/>
    <col min="23" max="256" width="8.875" style="2771"/>
    <col min="257" max="257" width="9.5" style="2771" customWidth="1"/>
    <col min="258" max="258" width="8.875" style="2771"/>
    <col min="259" max="261" width="12.875" style="2771" customWidth="1"/>
    <col min="262" max="262" width="47.5" style="2771" customWidth="1"/>
    <col min="263" max="263" width="13" style="2771" customWidth="1"/>
    <col min="264" max="265" width="8.875" style="2771"/>
    <col min="266" max="266" width="5.75" style="2771" customWidth="1"/>
    <col min="267" max="267" width="11.75" style="2771" customWidth="1"/>
    <col min="268" max="269" width="10.75" style="2771" customWidth="1"/>
    <col min="270" max="270" width="10" style="2771" customWidth="1"/>
    <col min="271" max="272" width="10.5" style="2771" bestFit="1" customWidth="1"/>
    <col min="273" max="273" width="10" style="2771" customWidth="1"/>
    <col min="274" max="274" width="10.125" style="2771" customWidth="1"/>
    <col min="275" max="275" width="10" style="2771" customWidth="1"/>
    <col min="276" max="276" width="26.125" style="2771" customWidth="1"/>
    <col min="277" max="512" width="8.875" style="2771"/>
    <col min="513" max="513" width="9.5" style="2771" customWidth="1"/>
    <col min="514" max="514" width="8.875" style="2771"/>
    <col min="515" max="517" width="12.875" style="2771" customWidth="1"/>
    <col min="518" max="518" width="47.5" style="2771" customWidth="1"/>
    <col min="519" max="519" width="13" style="2771" customWidth="1"/>
    <col min="520" max="521" width="8.875" style="2771"/>
    <col min="522" max="522" width="5.75" style="2771" customWidth="1"/>
    <col min="523" max="523" width="11.75" style="2771" customWidth="1"/>
    <col min="524" max="525" width="10.75" style="2771" customWidth="1"/>
    <col min="526" max="526" width="10" style="2771" customWidth="1"/>
    <col min="527" max="528" width="10.5" style="2771" bestFit="1" customWidth="1"/>
    <col min="529" max="529" width="10" style="2771" customWidth="1"/>
    <col min="530" max="530" width="10.125" style="2771" customWidth="1"/>
    <col min="531" max="531" width="10" style="2771" customWidth="1"/>
    <col min="532" max="532" width="26.125" style="2771" customWidth="1"/>
    <col min="533" max="768" width="8.875" style="2771"/>
    <col min="769" max="769" width="9.5" style="2771" customWidth="1"/>
    <col min="770" max="770" width="8.875" style="2771"/>
    <col min="771" max="773" width="12.875" style="2771" customWidth="1"/>
    <col min="774" max="774" width="47.5" style="2771" customWidth="1"/>
    <col min="775" max="775" width="13" style="2771" customWidth="1"/>
    <col min="776" max="777" width="8.875" style="2771"/>
    <col min="778" max="778" width="5.75" style="2771" customWidth="1"/>
    <col min="779" max="779" width="11.75" style="2771" customWidth="1"/>
    <col min="780" max="781" width="10.75" style="2771" customWidth="1"/>
    <col min="782" max="782" width="10" style="2771" customWidth="1"/>
    <col min="783" max="784" width="10.5" style="2771" bestFit="1" customWidth="1"/>
    <col min="785" max="785" width="10" style="2771" customWidth="1"/>
    <col min="786" max="786" width="10.125" style="2771" customWidth="1"/>
    <col min="787" max="787" width="10" style="2771" customWidth="1"/>
    <col min="788" max="788" width="26.125" style="2771" customWidth="1"/>
    <col min="789" max="1024" width="8.875" style="2771"/>
    <col min="1025" max="1025" width="9.5" style="2771" customWidth="1"/>
    <col min="1026" max="1026" width="8.875" style="2771"/>
    <col min="1027" max="1029" width="12.875" style="2771" customWidth="1"/>
    <col min="1030" max="1030" width="47.5" style="2771" customWidth="1"/>
    <col min="1031" max="1031" width="13" style="2771" customWidth="1"/>
    <col min="1032" max="1033" width="8.875" style="2771"/>
    <col min="1034" max="1034" width="5.75" style="2771" customWidth="1"/>
    <col min="1035" max="1035" width="11.75" style="2771" customWidth="1"/>
    <col min="1036" max="1037" width="10.75" style="2771" customWidth="1"/>
    <col min="1038" max="1038" width="10" style="2771" customWidth="1"/>
    <col min="1039" max="1040" width="10.5" style="2771" bestFit="1" customWidth="1"/>
    <col min="1041" max="1041" width="10" style="2771" customWidth="1"/>
    <col min="1042" max="1042" width="10.125" style="2771" customWidth="1"/>
    <col min="1043" max="1043" width="10" style="2771" customWidth="1"/>
    <col min="1044" max="1044" width="26.125" style="2771" customWidth="1"/>
    <col min="1045" max="1280" width="8.875" style="2771"/>
    <col min="1281" max="1281" width="9.5" style="2771" customWidth="1"/>
    <col min="1282" max="1282" width="8.875" style="2771"/>
    <col min="1283" max="1285" width="12.875" style="2771" customWidth="1"/>
    <col min="1286" max="1286" width="47.5" style="2771" customWidth="1"/>
    <col min="1287" max="1287" width="13" style="2771" customWidth="1"/>
    <col min="1288" max="1289" width="8.875" style="2771"/>
    <col min="1290" max="1290" width="5.75" style="2771" customWidth="1"/>
    <col min="1291" max="1291" width="11.75" style="2771" customWidth="1"/>
    <col min="1292" max="1293" width="10.75" style="2771" customWidth="1"/>
    <col min="1294" max="1294" width="10" style="2771" customWidth="1"/>
    <col min="1295" max="1296" width="10.5" style="2771" bestFit="1" customWidth="1"/>
    <col min="1297" max="1297" width="10" style="2771" customWidth="1"/>
    <col min="1298" max="1298" width="10.125" style="2771" customWidth="1"/>
    <col min="1299" max="1299" width="10" style="2771" customWidth="1"/>
    <col min="1300" max="1300" width="26.125" style="2771" customWidth="1"/>
    <col min="1301" max="1536" width="8.875" style="2771"/>
    <col min="1537" max="1537" width="9.5" style="2771" customWidth="1"/>
    <col min="1538" max="1538" width="8.875" style="2771"/>
    <col min="1539" max="1541" width="12.875" style="2771" customWidth="1"/>
    <col min="1542" max="1542" width="47.5" style="2771" customWidth="1"/>
    <col min="1543" max="1543" width="13" style="2771" customWidth="1"/>
    <col min="1544" max="1545" width="8.875" style="2771"/>
    <col min="1546" max="1546" width="5.75" style="2771" customWidth="1"/>
    <col min="1547" max="1547" width="11.75" style="2771" customWidth="1"/>
    <col min="1548" max="1549" width="10.75" style="2771" customWidth="1"/>
    <col min="1550" max="1550" width="10" style="2771" customWidth="1"/>
    <col min="1551" max="1552" width="10.5" style="2771" bestFit="1" customWidth="1"/>
    <col min="1553" max="1553" width="10" style="2771" customWidth="1"/>
    <col min="1554" max="1554" width="10.125" style="2771" customWidth="1"/>
    <col min="1555" max="1555" width="10" style="2771" customWidth="1"/>
    <col min="1556" max="1556" width="26.125" style="2771" customWidth="1"/>
    <col min="1557" max="1792" width="8.875" style="2771"/>
    <col min="1793" max="1793" width="9.5" style="2771" customWidth="1"/>
    <col min="1794" max="1794" width="8.875" style="2771"/>
    <col min="1795" max="1797" width="12.875" style="2771" customWidth="1"/>
    <col min="1798" max="1798" width="47.5" style="2771" customWidth="1"/>
    <col min="1799" max="1799" width="13" style="2771" customWidth="1"/>
    <col min="1800" max="1801" width="8.875" style="2771"/>
    <col min="1802" max="1802" width="5.75" style="2771" customWidth="1"/>
    <col min="1803" max="1803" width="11.75" style="2771" customWidth="1"/>
    <col min="1804" max="1805" width="10.75" style="2771" customWidth="1"/>
    <col min="1806" max="1806" width="10" style="2771" customWidth="1"/>
    <col min="1807" max="1808" width="10.5" style="2771" bestFit="1" customWidth="1"/>
    <col min="1809" max="1809" width="10" style="2771" customWidth="1"/>
    <col min="1810" max="1810" width="10.125" style="2771" customWidth="1"/>
    <col min="1811" max="1811" width="10" style="2771" customWidth="1"/>
    <col min="1812" max="1812" width="26.125" style="2771" customWidth="1"/>
    <col min="1813" max="2048" width="8.875" style="2771"/>
    <col min="2049" max="2049" width="9.5" style="2771" customWidth="1"/>
    <col min="2050" max="2050" width="8.875" style="2771"/>
    <col min="2051" max="2053" width="12.875" style="2771" customWidth="1"/>
    <col min="2054" max="2054" width="47.5" style="2771" customWidth="1"/>
    <col min="2055" max="2055" width="13" style="2771" customWidth="1"/>
    <col min="2056" max="2057" width="8.875" style="2771"/>
    <col min="2058" max="2058" width="5.75" style="2771" customWidth="1"/>
    <col min="2059" max="2059" width="11.75" style="2771" customWidth="1"/>
    <col min="2060" max="2061" width="10.75" style="2771" customWidth="1"/>
    <col min="2062" max="2062" width="10" style="2771" customWidth="1"/>
    <col min="2063" max="2064" width="10.5" style="2771" bestFit="1" customWidth="1"/>
    <col min="2065" max="2065" width="10" style="2771" customWidth="1"/>
    <col min="2066" max="2066" width="10.125" style="2771" customWidth="1"/>
    <col min="2067" max="2067" width="10" style="2771" customWidth="1"/>
    <col min="2068" max="2068" width="26.125" style="2771" customWidth="1"/>
    <col min="2069" max="2304" width="8.875" style="2771"/>
    <col min="2305" max="2305" width="9.5" style="2771" customWidth="1"/>
    <col min="2306" max="2306" width="8.875" style="2771"/>
    <col min="2307" max="2309" width="12.875" style="2771" customWidth="1"/>
    <col min="2310" max="2310" width="47.5" style="2771" customWidth="1"/>
    <col min="2311" max="2311" width="13" style="2771" customWidth="1"/>
    <col min="2312" max="2313" width="8.875" style="2771"/>
    <col min="2314" max="2314" width="5.75" style="2771" customWidth="1"/>
    <col min="2315" max="2315" width="11.75" style="2771" customWidth="1"/>
    <col min="2316" max="2317" width="10.75" style="2771" customWidth="1"/>
    <col min="2318" max="2318" width="10" style="2771" customWidth="1"/>
    <col min="2319" max="2320" width="10.5" style="2771" bestFit="1" customWidth="1"/>
    <col min="2321" max="2321" width="10" style="2771" customWidth="1"/>
    <col min="2322" max="2322" width="10.125" style="2771" customWidth="1"/>
    <col min="2323" max="2323" width="10" style="2771" customWidth="1"/>
    <col min="2324" max="2324" width="26.125" style="2771" customWidth="1"/>
    <col min="2325" max="2560" width="8.875" style="2771"/>
    <col min="2561" max="2561" width="9.5" style="2771" customWidth="1"/>
    <col min="2562" max="2562" width="8.875" style="2771"/>
    <col min="2563" max="2565" width="12.875" style="2771" customWidth="1"/>
    <col min="2566" max="2566" width="47.5" style="2771" customWidth="1"/>
    <col min="2567" max="2567" width="13" style="2771" customWidth="1"/>
    <col min="2568" max="2569" width="8.875" style="2771"/>
    <col min="2570" max="2570" width="5.75" style="2771" customWidth="1"/>
    <col min="2571" max="2571" width="11.75" style="2771" customWidth="1"/>
    <col min="2572" max="2573" width="10.75" style="2771" customWidth="1"/>
    <col min="2574" max="2574" width="10" style="2771" customWidth="1"/>
    <col min="2575" max="2576" width="10.5" style="2771" bestFit="1" customWidth="1"/>
    <col min="2577" max="2577" width="10" style="2771" customWidth="1"/>
    <col min="2578" max="2578" width="10.125" style="2771" customWidth="1"/>
    <col min="2579" max="2579" width="10" style="2771" customWidth="1"/>
    <col min="2580" max="2580" width="26.125" style="2771" customWidth="1"/>
    <col min="2581" max="2816" width="8.875" style="2771"/>
    <col min="2817" max="2817" width="9.5" style="2771" customWidth="1"/>
    <col min="2818" max="2818" width="8.875" style="2771"/>
    <col min="2819" max="2821" width="12.875" style="2771" customWidth="1"/>
    <col min="2822" max="2822" width="47.5" style="2771" customWidth="1"/>
    <col min="2823" max="2823" width="13" style="2771" customWidth="1"/>
    <col min="2824" max="2825" width="8.875" style="2771"/>
    <col min="2826" max="2826" width="5.75" style="2771" customWidth="1"/>
    <col min="2827" max="2827" width="11.75" style="2771" customWidth="1"/>
    <col min="2828" max="2829" width="10.75" style="2771" customWidth="1"/>
    <col min="2830" max="2830" width="10" style="2771" customWidth="1"/>
    <col min="2831" max="2832" width="10.5" style="2771" bestFit="1" customWidth="1"/>
    <col min="2833" max="2833" width="10" style="2771" customWidth="1"/>
    <col min="2834" max="2834" width="10.125" style="2771" customWidth="1"/>
    <col min="2835" max="2835" width="10" style="2771" customWidth="1"/>
    <col min="2836" max="2836" width="26.125" style="2771" customWidth="1"/>
    <col min="2837" max="3072" width="8.875" style="2771"/>
    <col min="3073" max="3073" width="9.5" style="2771" customWidth="1"/>
    <col min="3074" max="3074" width="8.875" style="2771"/>
    <col min="3075" max="3077" width="12.875" style="2771" customWidth="1"/>
    <col min="3078" max="3078" width="47.5" style="2771" customWidth="1"/>
    <col min="3079" max="3079" width="13" style="2771" customWidth="1"/>
    <col min="3080" max="3081" width="8.875" style="2771"/>
    <col min="3082" max="3082" width="5.75" style="2771" customWidth="1"/>
    <col min="3083" max="3083" width="11.75" style="2771" customWidth="1"/>
    <col min="3084" max="3085" width="10.75" style="2771" customWidth="1"/>
    <col min="3086" max="3086" width="10" style="2771" customWidth="1"/>
    <col min="3087" max="3088" width="10.5" style="2771" bestFit="1" customWidth="1"/>
    <col min="3089" max="3089" width="10" style="2771" customWidth="1"/>
    <col min="3090" max="3090" width="10.125" style="2771" customWidth="1"/>
    <col min="3091" max="3091" width="10" style="2771" customWidth="1"/>
    <col min="3092" max="3092" width="26.125" style="2771" customWidth="1"/>
    <col min="3093" max="3328" width="8.875" style="2771"/>
    <col min="3329" max="3329" width="9.5" style="2771" customWidth="1"/>
    <col min="3330" max="3330" width="8.875" style="2771"/>
    <col min="3331" max="3333" width="12.875" style="2771" customWidth="1"/>
    <col min="3334" max="3334" width="47.5" style="2771" customWidth="1"/>
    <col min="3335" max="3335" width="13" style="2771" customWidth="1"/>
    <col min="3336" max="3337" width="8.875" style="2771"/>
    <col min="3338" max="3338" width="5.75" style="2771" customWidth="1"/>
    <col min="3339" max="3339" width="11.75" style="2771" customWidth="1"/>
    <col min="3340" max="3341" width="10.75" style="2771" customWidth="1"/>
    <col min="3342" max="3342" width="10" style="2771" customWidth="1"/>
    <col min="3343" max="3344" width="10.5" style="2771" bestFit="1" customWidth="1"/>
    <col min="3345" max="3345" width="10" style="2771" customWidth="1"/>
    <col min="3346" max="3346" width="10.125" style="2771" customWidth="1"/>
    <col min="3347" max="3347" width="10" style="2771" customWidth="1"/>
    <col min="3348" max="3348" width="26.125" style="2771" customWidth="1"/>
    <col min="3349" max="3584" width="8.875" style="2771"/>
    <col min="3585" max="3585" width="9.5" style="2771" customWidth="1"/>
    <col min="3586" max="3586" width="8.875" style="2771"/>
    <col min="3587" max="3589" width="12.875" style="2771" customWidth="1"/>
    <col min="3590" max="3590" width="47.5" style="2771" customWidth="1"/>
    <col min="3591" max="3591" width="13" style="2771" customWidth="1"/>
    <col min="3592" max="3593" width="8.875" style="2771"/>
    <col min="3594" max="3594" width="5.75" style="2771" customWidth="1"/>
    <col min="3595" max="3595" width="11.75" style="2771" customWidth="1"/>
    <col min="3596" max="3597" width="10.75" style="2771" customWidth="1"/>
    <col min="3598" max="3598" width="10" style="2771" customWidth="1"/>
    <col min="3599" max="3600" width="10.5" style="2771" bestFit="1" customWidth="1"/>
    <col min="3601" max="3601" width="10" style="2771" customWidth="1"/>
    <col min="3602" max="3602" width="10.125" style="2771" customWidth="1"/>
    <col min="3603" max="3603" width="10" style="2771" customWidth="1"/>
    <col min="3604" max="3604" width="26.125" style="2771" customWidth="1"/>
    <col min="3605" max="3840" width="8.875" style="2771"/>
    <col min="3841" max="3841" width="9.5" style="2771" customWidth="1"/>
    <col min="3842" max="3842" width="8.875" style="2771"/>
    <col min="3843" max="3845" width="12.875" style="2771" customWidth="1"/>
    <col min="3846" max="3846" width="47.5" style="2771" customWidth="1"/>
    <col min="3847" max="3847" width="13" style="2771" customWidth="1"/>
    <col min="3848" max="3849" width="8.875" style="2771"/>
    <col min="3850" max="3850" width="5.75" style="2771" customWidth="1"/>
    <col min="3851" max="3851" width="11.75" style="2771" customWidth="1"/>
    <col min="3852" max="3853" width="10.75" style="2771" customWidth="1"/>
    <col min="3854" max="3854" width="10" style="2771" customWidth="1"/>
    <col min="3855" max="3856" width="10.5" style="2771" bestFit="1" customWidth="1"/>
    <col min="3857" max="3857" width="10" style="2771" customWidth="1"/>
    <col min="3858" max="3858" width="10.125" style="2771" customWidth="1"/>
    <col min="3859" max="3859" width="10" style="2771" customWidth="1"/>
    <col min="3860" max="3860" width="26.125" style="2771" customWidth="1"/>
    <col min="3861" max="4096" width="8.875" style="2771"/>
    <col min="4097" max="4097" width="9.5" style="2771" customWidth="1"/>
    <col min="4098" max="4098" width="8.875" style="2771"/>
    <col min="4099" max="4101" width="12.875" style="2771" customWidth="1"/>
    <col min="4102" max="4102" width="47.5" style="2771" customWidth="1"/>
    <col min="4103" max="4103" width="13" style="2771" customWidth="1"/>
    <col min="4104" max="4105" width="8.875" style="2771"/>
    <col min="4106" max="4106" width="5.75" style="2771" customWidth="1"/>
    <col min="4107" max="4107" width="11.75" style="2771" customWidth="1"/>
    <col min="4108" max="4109" width="10.75" style="2771" customWidth="1"/>
    <col min="4110" max="4110" width="10" style="2771" customWidth="1"/>
    <col min="4111" max="4112" width="10.5" style="2771" bestFit="1" customWidth="1"/>
    <col min="4113" max="4113" width="10" style="2771" customWidth="1"/>
    <col min="4114" max="4114" width="10.125" style="2771" customWidth="1"/>
    <col min="4115" max="4115" width="10" style="2771" customWidth="1"/>
    <col min="4116" max="4116" width="26.125" style="2771" customWidth="1"/>
    <col min="4117" max="4352" width="8.875" style="2771"/>
    <col min="4353" max="4353" width="9.5" style="2771" customWidth="1"/>
    <col min="4354" max="4354" width="8.875" style="2771"/>
    <col min="4355" max="4357" width="12.875" style="2771" customWidth="1"/>
    <col min="4358" max="4358" width="47.5" style="2771" customWidth="1"/>
    <col min="4359" max="4359" width="13" style="2771" customWidth="1"/>
    <col min="4360" max="4361" width="8.875" style="2771"/>
    <col min="4362" max="4362" width="5.75" style="2771" customWidth="1"/>
    <col min="4363" max="4363" width="11.75" style="2771" customWidth="1"/>
    <col min="4364" max="4365" width="10.75" style="2771" customWidth="1"/>
    <col min="4366" max="4366" width="10" style="2771" customWidth="1"/>
    <col min="4367" max="4368" width="10.5" style="2771" bestFit="1" customWidth="1"/>
    <col min="4369" max="4369" width="10" style="2771" customWidth="1"/>
    <col min="4370" max="4370" width="10.125" style="2771" customWidth="1"/>
    <col min="4371" max="4371" width="10" style="2771" customWidth="1"/>
    <col min="4372" max="4372" width="26.125" style="2771" customWidth="1"/>
    <col min="4373" max="4608" width="8.875" style="2771"/>
    <col min="4609" max="4609" width="9.5" style="2771" customWidth="1"/>
    <col min="4610" max="4610" width="8.875" style="2771"/>
    <col min="4611" max="4613" width="12.875" style="2771" customWidth="1"/>
    <col min="4614" max="4614" width="47.5" style="2771" customWidth="1"/>
    <col min="4615" max="4615" width="13" style="2771" customWidth="1"/>
    <col min="4616" max="4617" width="8.875" style="2771"/>
    <col min="4618" max="4618" width="5.75" style="2771" customWidth="1"/>
    <col min="4619" max="4619" width="11.75" style="2771" customWidth="1"/>
    <col min="4620" max="4621" width="10.75" style="2771" customWidth="1"/>
    <col min="4622" max="4622" width="10" style="2771" customWidth="1"/>
    <col min="4623" max="4624" width="10.5" style="2771" bestFit="1" customWidth="1"/>
    <col min="4625" max="4625" width="10" style="2771" customWidth="1"/>
    <col min="4626" max="4626" width="10.125" style="2771" customWidth="1"/>
    <col min="4627" max="4627" width="10" style="2771" customWidth="1"/>
    <col min="4628" max="4628" width="26.125" style="2771" customWidth="1"/>
    <col min="4629" max="4864" width="8.875" style="2771"/>
    <col min="4865" max="4865" width="9.5" style="2771" customWidth="1"/>
    <col min="4866" max="4866" width="8.875" style="2771"/>
    <col min="4867" max="4869" width="12.875" style="2771" customWidth="1"/>
    <col min="4870" max="4870" width="47.5" style="2771" customWidth="1"/>
    <col min="4871" max="4871" width="13" style="2771" customWidth="1"/>
    <col min="4872" max="4873" width="8.875" style="2771"/>
    <col min="4874" max="4874" width="5.75" style="2771" customWidth="1"/>
    <col min="4875" max="4875" width="11.75" style="2771" customWidth="1"/>
    <col min="4876" max="4877" width="10.75" style="2771" customWidth="1"/>
    <col min="4878" max="4878" width="10" style="2771" customWidth="1"/>
    <col min="4879" max="4880" width="10.5" style="2771" bestFit="1" customWidth="1"/>
    <col min="4881" max="4881" width="10" style="2771" customWidth="1"/>
    <col min="4882" max="4882" width="10.125" style="2771" customWidth="1"/>
    <col min="4883" max="4883" width="10" style="2771" customWidth="1"/>
    <col min="4884" max="4884" width="26.125" style="2771" customWidth="1"/>
    <col min="4885" max="5120" width="8.875" style="2771"/>
    <col min="5121" max="5121" width="9.5" style="2771" customWidth="1"/>
    <col min="5122" max="5122" width="8.875" style="2771"/>
    <col min="5123" max="5125" width="12.875" style="2771" customWidth="1"/>
    <col min="5126" max="5126" width="47.5" style="2771" customWidth="1"/>
    <col min="5127" max="5127" width="13" style="2771" customWidth="1"/>
    <col min="5128" max="5129" width="8.875" style="2771"/>
    <col min="5130" max="5130" width="5.75" style="2771" customWidth="1"/>
    <col min="5131" max="5131" width="11.75" style="2771" customWidth="1"/>
    <col min="5132" max="5133" width="10.75" style="2771" customWidth="1"/>
    <col min="5134" max="5134" width="10" style="2771" customWidth="1"/>
    <col min="5135" max="5136" width="10.5" style="2771" bestFit="1" customWidth="1"/>
    <col min="5137" max="5137" width="10" style="2771" customWidth="1"/>
    <col min="5138" max="5138" width="10.125" style="2771" customWidth="1"/>
    <col min="5139" max="5139" width="10" style="2771" customWidth="1"/>
    <col min="5140" max="5140" width="26.125" style="2771" customWidth="1"/>
    <col min="5141" max="5376" width="8.875" style="2771"/>
    <col min="5377" max="5377" width="9.5" style="2771" customWidth="1"/>
    <col min="5378" max="5378" width="8.875" style="2771"/>
    <col min="5379" max="5381" width="12.875" style="2771" customWidth="1"/>
    <col min="5382" max="5382" width="47.5" style="2771" customWidth="1"/>
    <col min="5383" max="5383" width="13" style="2771" customWidth="1"/>
    <col min="5384" max="5385" width="8.875" style="2771"/>
    <col min="5386" max="5386" width="5.75" style="2771" customWidth="1"/>
    <col min="5387" max="5387" width="11.75" style="2771" customWidth="1"/>
    <col min="5388" max="5389" width="10.75" style="2771" customWidth="1"/>
    <col min="5390" max="5390" width="10" style="2771" customWidth="1"/>
    <col min="5391" max="5392" width="10.5" style="2771" bestFit="1" customWidth="1"/>
    <col min="5393" max="5393" width="10" style="2771" customWidth="1"/>
    <col min="5394" max="5394" width="10.125" style="2771" customWidth="1"/>
    <col min="5395" max="5395" width="10" style="2771" customWidth="1"/>
    <col min="5396" max="5396" width="26.125" style="2771" customWidth="1"/>
    <col min="5397" max="5632" width="8.875" style="2771"/>
    <col min="5633" max="5633" width="9.5" style="2771" customWidth="1"/>
    <col min="5634" max="5634" width="8.875" style="2771"/>
    <col min="5635" max="5637" width="12.875" style="2771" customWidth="1"/>
    <col min="5638" max="5638" width="47.5" style="2771" customWidth="1"/>
    <col min="5639" max="5639" width="13" style="2771" customWidth="1"/>
    <col min="5640" max="5641" width="8.875" style="2771"/>
    <col min="5642" max="5642" width="5.75" style="2771" customWidth="1"/>
    <col min="5643" max="5643" width="11.75" style="2771" customWidth="1"/>
    <col min="5644" max="5645" width="10.75" style="2771" customWidth="1"/>
    <col min="5646" max="5646" width="10" style="2771" customWidth="1"/>
    <col min="5647" max="5648" width="10.5" style="2771" bestFit="1" customWidth="1"/>
    <col min="5649" max="5649" width="10" style="2771" customWidth="1"/>
    <col min="5650" max="5650" width="10.125" style="2771" customWidth="1"/>
    <col min="5651" max="5651" width="10" style="2771" customWidth="1"/>
    <col min="5652" max="5652" width="26.125" style="2771" customWidth="1"/>
    <col min="5653" max="5888" width="8.875" style="2771"/>
    <col min="5889" max="5889" width="9.5" style="2771" customWidth="1"/>
    <col min="5890" max="5890" width="8.875" style="2771"/>
    <col min="5891" max="5893" width="12.875" style="2771" customWidth="1"/>
    <col min="5894" max="5894" width="47.5" style="2771" customWidth="1"/>
    <col min="5895" max="5895" width="13" style="2771" customWidth="1"/>
    <col min="5896" max="5897" width="8.875" style="2771"/>
    <col min="5898" max="5898" width="5.75" style="2771" customWidth="1"/>
    <col min="5899" max="5899" width="11.75" style="2771" customWidth="1"/>
    <col min="5900" max="5901" width="10.75" style="2771" customWidth="1"/>
    <col min="5902" max="5902" width="10" style="2771" customWidth="1"/>
    <col min="5903" max="5904" width="10.5" style="2771" bestFit="1" customWidth="1"/>
    <col min="5905" max="5905" width="10" style="2771" customWidth="1"/>
    <col min="5906" max="5906" width="10.125" style="2771" customWidth="1"/>
    <col min="5907" max="5907" width="10" style="2771" customWidth="1"/>
    <col min="5908" max="5908" width="26.125" style="2771" customWidth="1"/>
    <col min="5909" max="6144" width="8.875" style="2771"/>
    <col min="6145" max="6145" width="9.5" style="2771" customWidth="1"/>
    <col min="6146" max="6146" width="8.875" style="2771"/>
    <col min="6147" max="6149" width="12.875" style="2771" customWidth="1"/>
    <col min="6150" max="6150" width="47.5" style="2771" customWidth="1"/>
    <col min="6151" max="6151" width="13" style="2771" customWidth="1"/>
    <col min="6152" max="6153" width="8.875" style="2771"/>
    <col min="6154" max="6154" width="5.75" style="2771" customWidth="1"/>
    <col min="6155" max="6155" width="11.75" style="2771" customWidth="1"/>
    <col min="6156" max="6157" width="10.75" style="2771" customWidth="1"/>
    <col min="6158" max="6158" width="10" style="2771" customWidth="1"/>
    <col min="6159" max="6160" width="10.5" style="2771" bestFit="1" customWidth="1"/>
    <col min="6161" max="6161" width="10" style="2771" customWidth="1"/>
    <col min="6162" max="6162" width="10.125" style="2771" customWidth="1"/>
    <col min="6163" max="6163" width="10" style="2771" customWidth="1"/>
    <col min="6164" max="6164" width="26.125" style="2771" customWidth="1"/>
    <col min="6165" max="6400" width="8.875" style="2771"/>
    <col min="6401" max="6401" width="9.5" style="2771" customWidth="1"/>
    <col min="6402" max="6402" width="8.875" style="2771"/>
    <col min="6403" max="6405" width="12.875" style="2771" customWidth="1"/>
    <col min="6406" max="6406" width="47.5" style="2771" customWidth="1"/>
    <col min="6407" max="6407" width="13" style="2771" customWidth="1"/>
    <col min="6408" max="6409" width="8.875" style="2771"/>
    <col min="6410" max="6410" width="5.75" style="2771" customWidth="1"/>
    <col min="6411" max="6411" width="11.75" style="2771" customWidth="1"/>
    <col min="6412" max="6413" width="10.75" style="2771" customWidth="1"/>
    <col min="6414" max="6414" width="10" style="2771" customWidth="1"/>
    <col min="6415" max="6416" width="10.5" style="2771" bestFit="1" customWidth="1"/>
    <col min="6417" max="6417" width="10" style="2771" customWidth="1"/>
    <col min="6418" max="6418" width="10.125" style="2771" customWidth="1"/>
    <col min="6419" max="6419" width="10" style="2771" customWidth="1"/>
    <col min="6420" max="6420" width="26.125" style="2771" customWidth="1"/>
    <col min="6421" max="6656" width="8.875" style="2771"/>
    <col min="6657" max="6657" width="9.5" style="2771" customWidth="1"/>
    <col min="6658" max="6658" width="8.875" style="2771"/>
    <col min="6659" max="6661" width="12.875" style="2771" customWidth="1"/>
    <col min="6662" max="6662" width="47.5" style="2771" customWidth="1"/>
    <col min="6663" max="6663" width="13" style="2771" customWidth="1"/>
    <col min="6664" max="6665" width="8.875" style="2771"/>
    <col min="6666" max="6666" width="5.75" style="2771" customWidth="1"/>
    <col min="6667" max="6667" width="11.75" style="2771" customWidth="1"/>
    <col min="6668" max="6669" width="10.75" style="2771" customWidth="1"/>
    <col min="6670" max="6670" width="10" style="2771" customWidth="1"/>
    <col min="6671" max="6672" width="10.5" style="2771" bestFit="1" customWidth="1"/>
    <col min="6673" max="6673" width="10" style="2771" customWidth="1"/>
    <col min="6674" max="6674" width="10.125" style="2771" customWidth="1"/>
    <col min="6675" max="6675" width="10" style="2771" customWidth="1"/>
    <col min="6676" max="6676" width="26.125" style="2771" customWidth="1"/>
    <col min="6677" max="6912" width="8.875" style="2771"/>
    <col min="6913" max="6913" width="9.5" style="2771" customWidth="1"/>
    <col min="6914" max="6914" width="8.875" style="2771"/>
    <col min="6915" max="6917" width="12.875" style="2771" customWidth="1"/>
    <col min="6918" max="6918" width="47.5" style="2771" customWidth="1"/>
    <col min="6919" max="6919" width="13" style="2771" customWidth="1"/>
    <col min="6920" max="6921" width="8.875" style="2771"/>
    <col min="6922" max="6922" width="5.75" style="2771" customWidth="1"/>
    <col min="6923" max="6923" width="11.75" style="2771" customWidth="1"/>
    <col min="6924" max="6925" width="10.75" style="2771" customWidth="1"/>
    <col min="6926" max="6926" width="10" style="2771" customWidth="1"/>
    <col min="6927" max="6928" width="10.5" style="2771" bestFit="1" customWidth="1"/>
    <col min="6929" max="6929" width="10" style="2771" customWidth="1"/>
    <col min="6930" max="6930" width="10.125" style="2771" customWidth="1"/>
    <col min="6931" max="6931" width="10" style="2771" customWidth="1"/>
    <col min="6932" max="6932" width="26.125" style="2771" customWidth="1"/>
    <col min="6933" max="7168" width="8.875" style="2771"/>
    <col min="7169" max="7169" width="9.5" style="2771" customWidth="1"/>
    <col min="7170" max="7170" width="8.875" style="2771"/>
    <col min="7171" max="7173" width="12.875" style="2771" customWidth="1"/>
    <col min="7174" max="7174" width="47.5" style="2771" customWidth="1"/>
    <col min="7175" max="7175" width="13" style="2771" customWidth="1"/>
    <col min="7176" max="7177" width="8.875" style="2771"/>
    <col min="7178" max="7178" width="5.75" style="2771" customWidth="1"/>
    <col min="7179" max="7179" width="11.75" style="2771" customWidth="1"/>
    <col min="7180" max="7181" width="10.75" style="2771" customWidth="1"/>
    <col min="7182" max="7182" width="10" style="2771" customWidth="1"/>
    <col min="7183" max="7184" width="10.5" style="2771" bestFit="1" customWidth="1"/>
    <col min="7185" max="7185" width="10" style="2771" customWidth="1"/>
    <col min="7186" max="7186" width="10.125" style="2771" customWidth="1"/>
    <col min="7187" max="7187" width="10" style="2771" customWidth="1"/>
    <col min="7188" max="7188" width="26.125" style="2771" customWidth="1"/>
    <col min="7189" max="7424" width="8.875" style="2771"/>
    <col min="7425" max="7425" width="9.5" style="2771" customWidth="1"/>
    <col min="7426" max="7426" width="8.875" style="2771"/>
    <col min="7427" max="7429" width="12.875" style="2771" customWidth="1"/>
    <col min="7430" max="7430" width="47.5" style="2771" customWidth="1"/>
    <col min="7431" max="7431" width="13" style="2771" customWidth="1"/>
    <col min="7432" max="7433" width="8.875" style="2771"/>
    <col min="7434" max="7434" width="5.75" style="2771" customWidth="1"/>
    <col min="7435" max="7435" width="11.75" style="2771" customWidth="1"/>
    <col min="7436" max="7437" width="10.75" style="2771" customWidth="1"/>
    <col min="7438" max="7438" width="10" style="2771" customWidth="1"/>
    <col min="7439" max="7440" width="10.5" style="2771" bestFit="1" customWidth="1"/>
    <col min="7441" max="7441" width="10" style="2771" customWidth="1"/>
    <col min="7442" max="7442" width="10.125" style="2771" customWidth="1"/>
    <col min="7443" max="7443" width="10" style="2771" customWidth="1"/>
    <col min="7444" max="7444" width="26.125" style="2771" customWidth="1"/>
    <col min="7445" max="7680" width="8.875" style="2771"/>
    <col min="7681" max="7681" width="9.5" style="2771" customWidth="1"/>
    <col min="7682" max="7682" width="8.875" style="2771"/>
    <col min="7683" max="7685" width="12.875" style="2771" customWidth="1"/>
    <col min="7686" max="7686" width="47.5" style="2771" customWidth="1"/>
    <col min="7687" max="7687" width="13" style="2771" customWidth="1"/>
    <col min="7688" max="7689" width="8.875" style="2771"/>
    <col min="7690" max="7690" width="5.75" style="2771" customWidth="1"/>
    <col min="7691" max="7691" width="11.75" style="2771" customWidth="1"/>
    <col min="7692" max="7693" width="10.75" style="2771" customWidth="1"/>
    <col min="7694" max="7694" width="10" style="2771" customWidth="1"/>
    <col min="7695" max="7696" width="10.5" style="2771" bestFit="1" customWidth="1"/>
    <col min="7697" max="7697" width="10" style="2771" customWidth="1"/>
    <col min="7698" max="7698" width="10.125" style="2771" customWidth="1"/>
    <col min="7699" max="7699" width="10" style="2771" customWidth="1"/>
    <col min="7700" max="7700" width="26.125" style="2771" customWidth="1"/>
    <col min="7701" max="7936" width="8.875" style="2771"/>
    <col min="7937" max="7937" width="9.5" style="2771" customWidth="1"/>
    <col min="7938" max="7938" width="8.875" style="2771"/>
    <col min="7939" max="7941" width="12.875" style="2771" customWidth="1"/>
    <col min="7942" max="7942" width="47.5" style="2771" customWidth="1"/>
    <col min="7943" max="7943" width="13" style="2771" customWidth="1"/>
    <col min="7944" max="7945" width="8.875" style="2771"/>
    <col min="7946" max="7946" width="5.75" style="2771" customWidth="1"/>
    <col min="7947" max="7947" width="11.75" style="2771" customWidth="1"/>
    <col min="7948" max="7949" width="10.75" style="2771" customWidth="1"/>
    <col min="7950" max="7950" width="10" style="2771" customWidth="1"/>
    <col min="7951" max="7952" width="10.5" style="2771" bestFit="1" customWidth="1"/>
    <col min="7953" max="7953" width="10" style="2771" customWidth="1"/>
    <col min="7954" max="7954" width="10.125" style="2771" customWidth="1"/>
    <col min="7955" max="7955" width="10" style="2771" customWidth="1"/>
    <col min="7956" max="7956" width="26.125" style="2771" customWidth="1"/>
    <col min="7957" max="8192" width="8.875" style="2771"/>
    <col min="8193" max="8193" width="9.5" style="2771" customWidth="1"/>
    <col min="8194" max="8194" width="8.875" style="2771"/>
    <col min="8195" max="8197" width="12.875" style="2771" customWidth="1"/>
    <col min="8198" max="8198" width="47.5" style="2771" customWidth="1"/>
    <col min="8199" max="8199" width="13" style="2771" customWidth="1"/>
    <col min="8200" max="8201" width="8.875" style="2771"/>
    <col min="8202" max="8202" width="5.75" style="2771" customWidth="1"/>
    <col min="8203" max="8203" width="11.75" style="2771" customWidth="1"/>
    <col min="8204" max="8205" width="10.75" style="2771" customWidth="1"/>
    <col min="8206" max="8206" width="10" style="2771" customWidth="1"/>
    <col min="8207" max="8208" width="10.5" style="2771" bestFit="1" customWidth="1"/>
    <col min="8209" max="8209" width="10" style="2771" customWidth="1"/>
    <col min="8210" max="8210" width="10.125" style="2771" customWidth="1"/>
    <col min="8211" max="8211" width="10" style="2771" customWidth="1"/>
    <col min="8212" max="8212" width="26.125" style="2771" customWidth="1"/>
    <col min="8213" max="8448" width="8.875" style="2771"/>
    <col min="8449" max="8449" width="9.5" style="2771" customWidth="1"/>
    <col min="8450" max="8450" width="8.875" style="2771"/>
    <col min="8451" max="8453" width="12.875" style="2771" customWidth="1"/>
    <col min="8454" max="8454" width="47.5" style="2771" customWidth="1"/>
    <col min="8455" max="8455" width="13" style="2771" customWidth="1"/>
    <col min="8456" max="8457" width="8.875" style="2771"/>
    <col min="8458" max="8458" width="5.75" style="2771" customWidth="1"/>
    <col min="8459" max="8459" width="11.75" style="2771" customWidth="1"/>
    <col min="8460" max="8461" width="10.75" style="2771" customWidth="1"/>
    <col min="8462" max="8462" width="10" style="2771" customWidth="1"/>
    <col min="8463" max="8464" width="10.5" style="2771" bestFit="1" customWidth="1"/>
    <col min="8465" max="8465" width="10" style="2771" customWidth="1"/>
    <col min="8466" max="8466" width="10.125" style="2771" customWidth="1"/>
    <col min="8467" max="8467" width="10" style="2771" customWidth="1"/>
    <col min="8468" max="8468" width="26.125" style="2771" customWidth="1"/>
    <col min="8469" max="8704" width="8.875" style="2771"/>
    <col min="8705" max="8705" width="9.5" style="2771" customWidth="1"/>
    <col min="8706" max="8706" width="8.875" style="2771"/>
    <col min="8707" max="8709" width="12.875" style="2771" customWidth="1"/>
    <col min="8710" max="8710" width="47.5" style="2771" customWidth="1"/>
    <col min="8711" max="8711" width="13" style="2771" customWidth="1"/>
    <col min="8712" max="8713" width="8.875" style="2771"/>
    <col min="8714" max="8714" width="5.75" style="2771" customWidth="1"/>
    <col min="8715" max="8715" width="11.75" style="2771" customWidth="1"/>
    <col min="8716" max="8717" width="10.75" style="2771" customWidth="1"/>
    <col min="8718" max="8718" width="10" style="2771" customWidth="1"/>
    <col min="8719" max="8720" width="10.5" style="2771" bestFit="1" customWidth="1"/>
    <col min="8721" max="8721" width="10" style="2771" customWidth="1"/>
    <col min="8722" max="8722" width="10.125" style="2771" customWidth="1"/>
    <col min="8723" max="8723" width="10" style="2771" customWidth="1"/>
    <col min="8724" max="8724" width="26.125" style="2771" customWidth="1"/>
    <col min="8725" max="8960" width="8.875" style="2771"/>
    <col min="8961" max="8961" width="9.5" style="2771" customWidth="1"/>
    <col min="8962" max="8962" width="8.875" style="2771"/>
    <col min="8963" max="8965" width="12.875" style="2771" customWidth="1"/>
    <col min="8966" max="8966" width="47.5" style="2771" customWidth="1"/>
    <col min="8967" max="8967" width="13" style="2771" customWidth="1"/>
    <col min="8968" max="8969" width="8.875" style="2771"/>
    <col min="8970" max="8970" width="5.75" style="2771" customWidth="1"/>
    <col min="8971" max="8971" width="11.75" style="2771" customWidth="1"/>
    <col min="8972" max="8973" width="10.75" style="2771" customWidth="1"/>
    <col min="8974" max="8974" width="10" style="2771" customWidth="1"/>
    <col min="8975" max="8976" width="10.5" style="2771" bestFit="1" customWidth="1"/>
    <col min="8977" max="8977" width="10" style="2771" customWidth="1"/>
    <col min="8978" max="8978" width="10.125" style="2771" customWidth="1"/>
    <col min="8979" max="8979" width="10" style="2771" customWidth="1"/>
    <col min="8980" max="8980" width="26.125" style="2771" customWidth="1"/>
    <col min="8981" max="9216" width="8.875" style="2771"/>
    <col min="9217" max="9217" width="9.5" style="2771" customWidth="1"/>
    <col min="9218" max="9218" width="8.875" style="2771"/>
    <col min="9219" max="9221" width="12.875" style="2771" customWidth="1"/>
    <col min="9222" max="9222" width="47.5" style="2771" customWidth="1"/>
    <col min="9223" max="9223" width="13" style="2771" customWidth="1"/>
    <col min="9224" max="9225" width="8.875" style="2771"/>
    <col min="9226" max="9226" width="5.75" style="2771" customWidth="1"/>
    <col min="9227" max="9227" width="11.75" style="2771" customWidth="1"/>
    <col min="9228" max="9229" width="10.75" style="2771" customWidth="1"/>
    <col min="9230" max="9230" width="10" style="2771" customWidth="1"/>
    <col min="9231" max="9232" width="10.5" style="2771" bestFit="1" customWidth="1"/>
    <col min="9233" max="9233" width="10" style="2771" customWidth="1"/>
    <col min="9234" max="9234" width="10.125" style="2771" customWidth="1"/>
    <col min="9235" max="9235" width="10" style="2771" customWidth="1"/>
    <col min="9236" max="9236" width="26.125" style="2771" customWidth="1"/>
    <col min="9237" max="9472" width="8.875" style="2771"/>
    <col min="9473" max="9473" width="9.5" style="2771" customWidth="1"/>
    <col min="9474" max="9474" width="8.875" style="2771"/>
    <col min="9475" max="9477" width="12.875" style="2771" customWidth="1"/>
    <col min="9478" max="9478" width="47.5" style="2771" customWidth="1"/>
    <col min="9479" max="9479" width="13" style="2771" customWidth="1"/>
    <col min="9480" max="9481" width="8.875" style="2771"/>
    <col min="9482" max="9482" width="5.75" style="2771" customWidth="1"/>
    <col min="9483" max="9483" width="11.75" style="2771" customWidth="1"/>
    <col min="9484" max="9485" width="10.75" style="2771" customWidth="1"/>
    <col min="9486" max="9486" width="10" style="2771" customWidth="1"/>
    <col min="9487" max="9488" width="10.5" style="2771" bestFit="1" customWidth="1"/>
    <col min="9489" max="9489" width="10" style="2771" customWidth="1"/>
    <col min="9490" max="9490" width="10.125" style="2771" customWidth="1"/>
    <col min="9491" max="9491" width="10" style="2771" customWidth="1"/>
    <col min="9492" max="9492" width="26.125" style="2771" customWidth="1"/>
    <col min="9493" max="9728" width="8.875" style="2771"/>
    <col min="9729" max="9729" width="9.5" style="2771" customWidth="1"/>
    <col min="9730" max="9730" width="8.875" style="2771"/>
    <col min="9731" max="9733" width="12.875" style="2771" customWidth="1"/>
    <col min="9734" max="9734" width="47.5" style="2771" customWidth="1"/>
    <col min="9735" max="9735" width="13" style="2771" customWidth="1"/>
    <col min="9736" max="9737" width="8.875" style="2771"/>
    <col min="9738" max="9738" width="5.75" style="2771" customWidth="1"/>
    <col min="9739" max="9739" width="11.75" style="2771" customWidth="1"/>
    <col min="9740" max="9741" width="10.75" style="2771" customWidth="1"/>
    <col min="9742" max="9742" width="10" style="2771" customWidth="1"/>
    <col min="9743" max="9744" width="10.5" style="2771" bestFit="1" customWidth="1"/>
    <col min="9745" max="9745" width="10" style="2771" customWidth="1"/>
    <col min="9746" max="9746" width="10.125" style="2771" customWidth="1"/>
    <col min="9747" max="9747" width="10" style="2771" customWidth="1"/>
    <col min="9748" max="9748" width="26.125" style="2771" customWidth="1"/>
    <col min="9749" max="9984" width="8.875" style="2771"/>
    <col min="9985" max="9985" width="9.5" style="2771" customWidth="1"/>
    <col min="9986" max="9986" width="8.875" style="2771"/>
    <col min="9987" max="9989" width="12.875" style="2771" customWidth="1"/>
    <col min="9990" max="9990" width="47.5" style="2771" customWidth="1"/>
    <col min="9991" max="9991" width="13" style="2771" customWidth="1"/>
    <col min="9992" max="9993" width="8.875" style="2771"/>
    <col min="9994" max="9994" width="5.75" style="2771" customWidth="1"/>
    <col min="9995" max="9995" width="11.75" style="2771" customWidth="1"/>
    <col min="9996" max="9997" width="10.75" style="2771" customWidth="1"/>
    <col min="9998" max="9998" width="10" style="2771" customWidth="1"/>
    <col min="9999" max="10000" width="10.5" style="2771" bestFit="1" customWidth="1"/>
    <col min="10001" max="10001" width="10" style="2771" customWidth="1"/>
    <col min="10002" max="10002" width="10.125" style="2771" customWidth="1"/>
    <col min="10003" max="10003" width="10" style="2771" customWidth="1"/>
    <col min="10004" max="10004" width="26.125" style="2771" customWidth="1"/>
    <col min="10005" max="10240" width="8.875" style="2771"/>
    <col min="10241" max="10241" width="9.5" style="2771" customWidth="1"/>
    <col min="10242" max="10242" width="8.875" style="2771"/>
    <col min="10243" max="10245" width="12.875" style="2771" customWidth="1"/>
    <col min="10246" max="10246" width="47.5" style="2771" customWidth="1"/>
    <col min="10247" max="10247" width="13" style="2771" customWidth="1"/>
    <col min="10248" max="10249" width="8.875" style="2771"/>
    <col min="10250" max="10250" width="5.75" style="2771" customWidth="1"/>
    <col min="10251" max="10251" width="11.75" style="2771" customWidth="1"/>
    <col min="10252" max="10253" width="10.75" style="2771" customWidth="1"/>
    <col min="10254" max="10254" width="10" style="2771" customWidth="1"/>
    <col min="10255" max="10256" width="10.5" style="2771" bestFit="1" customWidth="1"/>
    <col min="10257" max="10257" width="10" style="2771" customWidth="1"/>
    <col min="10258" max="10258" width="10.125" style="2771" customWidth="1"/>
    <col min="10259" max="10259" width="10" style="2771" customWidth="1"/>
    <col min="10260" max="10260" width="26.125" style="2771" customWidth="1"/>
    <col min="10261" max="10496" width="8.875" style="2771"/>
    <col min="10497" max="10497" width="9.5" style="2771" customWidth="1"/>
    <col min="10498" max="10498" width="8.875" style="2771"/>
    <col min="10499" max="10501" width="12.875" style="2771" customWidth="1"/>
    <col min="10502" max="10502" width="47.5" style="2771" customWidth="1"/>
    <col min="10503" max="10503" width="13" style="2771" customWidth="1"/>
    <col min="10504" max="10505" width="8.875" style="2771"/>
    <col min="10506" max="10506" width="5.75" style="2771" customWidth="1"/>
    <col min="10507" max="10507" width="11.75" style="2771" customWidth="1"/>
    <col min="10508" max="10509" width="10.75" style="2771" customWidth="1"/>
    <col min="10510" max="10510" width="10" style="2771" customWidth="1"/>
    <col min="10511" max="10512" width="10.5" style="2771" bestFit="1" customWidth="1"/>
    <col min="10513" max="10513" width="10" style="2771" customWidth="1"/>
    <col min="10514" max="10514" width="10.125" style="2771" customWidth="1"/>
    <col min="10515" max="10515" width="10" style="2771" customWidth="1"/>
    <col min="10516" max="10516" width="26.125" style="2771" customWidth="1"/>
    <col min="10517" max="10752" width="8.875" style="2771"/>
    <col min="10753" max="10753" width="9.5" style="2771" customWidth="1"/>
    <col min="10754" max="10754" width="8.875" style="2771"/>
    <col min="10755" max="10757" width="12.875" style="2771" customWidth="1"/>
    <col min="10758" max="10758" width="47.5" style="2771" customWidth="1"/>
    <col min="10759" max="10759" width="13" style="2771" customWidth="1"/>
    <col min="10760" max="10761" width="8.875" style="2771"/>
    <col min="10762" max="10762" width="5.75" style="2771" customWidth="1"/>
    <col min="10763" max="10763" width="11.75" style="2771" customWidth="1"/>
    <col min="10764" max="10765" width="10.75" style="2771" customWidth="1"/>
    <col min="10766" max="10766" width="10" style="2771" customWidth="1"/>
    <col min="10767" max="10768" width="10.5" style="2771" bestFit="1" customWidth="1"/>
    <col min="10769" max="10769" width="10" style="2771" customWidth="1"/>
    <col min="10770" max="10770" width="10.125" style="2771" customWidth="1"/>
    <col min="10771" max="10771" width="10" style="2771" customWidth="1"/>
    <col min="10772" max="10772" width="26.125" style="2771" customWidth="1"/>
    <col min="10773" max="11008" width="8.875" style="2771"/>
    <col min="11009" max="11009" width="9.5" style="2771" customWidth="1"/>
    <col min="11010" max="11010" width="8.875" style="2771"/>
    <col min="11011" max="11013" width="12.875" style="2771" customWidth="1"/>
    <col min="11014" max="11014" width="47.5" style="2771" customWidth="1"/>
    <col min="11015" max="11015" width="13" style="2771" customWidth="1"/>
    <col min="11016" max="11017" width="8.875" style="2771"/>
    <col min="11018" max="11018" width="5.75" style="2771" customWidth="1"/>
    <col min="11019" max="11019" width="11.75" style="2771" customWidth="1"/>
    <col min="11020" max="11021" width="10.75" style="2771" customWidth="1"/>
    <col min="11022" max="11022" width="10" style="2771" customWidth="1"/>
    <col min="11023" max="11024" width="10.5" style="2771" bestFit="1" customWidth="1"/>
    <col min="11025" max="11025" width="10" style="2771" customWidth="1"/>
    <col min="11026" max="11026" width="10.125" style="2771" customWidth="1"/>
    <col min="11027" max="11027" width="10" style="2771" customWidth="1"/>
    <col min="11028" max="11028" width="26.125" style="2771" customWidth="1"/>
    <col min="11029" max="11264" width="8.875" style="2771"/>
    <col min="11265" max="11265" width="9.5" style="2771" customWidth="1"/>
    <col min="11266" max="11266" width="8.875" style="2771"/>
    <col min="11267" max="11269" width="12.875" style="2771" customWidth="1"/>
    <col min="11270" max="11270" width="47.5" style="2771" customWidth="1"/>
    <col min="11271" max="11271" width="13" style="2771" customWidth="1"/>
    <col min="11272" max="11273" width="8.875" style="2771"/>
    <col min="11274" max="11274" width="5.75" style="2771" customWidth="1"/>
    <col min="11275" max="11275" width="11.75" style="2771" customWidth="1"/>
    <col min="11276" max="11277" width="10.75" style="2771" customWidth="1"/>
    <col min="11278" max="11278" width="10" style="2771" customWidth="1"/>
    <col min="11279" max="11280" width="10.5" style="2771" bestFit="1" customWidth="1"/>
    <col min="11281" max="11281" width="10" style="2771" customWidth="1"/>
    <col min="11282" max="11282" width="10.125" style="2771" customWidth="1"/>
    <col min="11283" max="11283" width="10" style="2771" customWidth="1"/>
    <col min="11284" max="11284" width="26.125" style="2771" customWidth="1"/>
    <col min="11285" max="11520" width="8.875" style="2771"/>
    <col min="11521" max="11521" width="9.5" style="2771" customWidth="1"/>
    <col min="11522" max="11522" width="8.875" style="2771"/>
    <col min="11523" max="11525" width="12.875" style="2771" customWidth="1"/>
    <col min="11526" max="11526" width="47.5" style="2771" customWidth="1"/>
    <col min="11527" max="11527" width="13" style="2771" customWidth="1"/>
    <col min="11528" max="11529" width="8.875" style="2771"/>
    <col min="11530" max="11530" width="5.75" style="2771" customWidth="1"/>
    <col min="11531" max="11531" width="11.75" style="2771" customWidth="1"/>
    <col min="11532" max="11533" width="10.75" style="2771" customWidth="1"/>
    <col min="11534" max="11534" width="10" style="2771" customWidth="1"/>
    <col min="11535" max="11536" width="10.5" style="2771" bestFit="1" customWidth="1"/>
    <col min="11537" max="11537" width="10" style="2771" customWidth="1"/>
    <col min="11538" max="11538" width="10.125" style="2771" customWidth="1"/>
    <col min="11539" max="11539" width="10" style="2771" customWidth="1"/>
    <col min="11540" max="11540" width="26.125" style="2771" customWidth="1"/>
    <col min="11541" max="11776" width="8.875" style="2771"/>
    <col min="11777" max="11777" width="9.5" style="2771" customWidth="1"/>
    <col min="11778" max="11778" width="8.875" style="2771"/>
    <col min="11779" max="11781" width="12.875" style="2771" customWidth="1"/>
    <col min="11782" max="11782" width="47.5" style="2771" customWidth="1"/>
    <col min="11783" max="11783" width="13" style="2771" customWidth="1"/>
    <col min="11784" max="11785" width="8.875" style="2771"/>
    <col min="11786" max="11786" width="5.75" style="2771" customWidth="1"/>
    <col min="11787" max="11787" width="11.75" style="2771" customWidth="1"/>
    <col min="11788" max="11789" width="10.75" style="2771" customWidth="1"/>
    <col min="11790" max="11790" width="10" style="2771" customWidth="1"/>
    <col min="11791" max="11792" width="10.5" style="2771" bestFit="1" customWidth="1"/>
    <col min="11793" max="11793" width="10" style="2771" customWidth="1"/>
    <col min="11794" max="11794" width="10.125" style="2771" customWidth="1"/>
    <col min="11795" max="11795" width="10" style="2771" customWidth="1"/>
    <col min="11796" max="11796" width="26.125" style="2771" customWidth="1"/>
    <col min="11797" max="12032" width="8.875" style="2771"/>
    <col min="12033" max="12033" width="9.5" style="2771" customWidth="1"/>
    <col min="12034" max="12034" width="8.875" style="2771"/>
    <col min="12035" max="12037" width="12.875" style="2771" customWidth="1"/>
    <col min="12038" max="12038" width="47.5" style="2771" customWidth="1"/>
    <col min="12039" max="12039" width="13" style="2771" customWidth="1"/>
    <col min="12040" max="12041" width="8.875" style="2771"/>
    <col min="12042" max="12042" width="5.75" style="2771" customWidth="1"/>
    <col min="12043" max="12043" width="11.75" style="2771" customWidth="1"/>
    <col min="12044" max="12045" width="10.75" style="2771" customWidth="1"/>
    <col min="12046" max="12046" width="10" style="2771" customWidth="1"/>
    <col min="12047" max="12048" width="10.5" style="2771" bestFit="1" customWidth="1"/>
    <col min="12049" max="12049" width="10" style="2771" customWidth="1"/>
    <col min="12050" max="12050" width="10.125" style="2771" customWidth="1"/>
    <col min="12051" max="12051" width="10" style="2771" customWidth="1"/>
    <col min="12052" max="12052" width="26.125" style="2771" customWidth="1"/>
    <col min="12053" max="12288" width="8.875" style="2771"/>
    <col min="12289" max="12289" width="9.5" style="2771" customWidth="1"/>
    <col min="12290" max="12290" width="8.875" style="2771"/>
    <col min="12291" max="12293" width="12.875" style="2771" customWidth="1"/>
    <col min="12294" max="12294" width="47.5" style="2771" customWidth="1"/>
    <col min="12295" max="12295" width="13" style="2771" customWidth="1"/>
    <col min="12296" max="12297" width="8.875" style="2771"/>
    <col min="12298" max="12298" width="5.75" style="2771" customWidth="1"/>
    <col min="12299" max="12299" width="11.75" style="2771" customWidth="1"/>
    <col min="12300" max="12301" width="10.75" style="2771" customWidth="1"/>
    <col min="12302" max="12302" width="10" style="2771" customWidth="1"/>
    <col min="12303" max="12304" width="10.5" style="2771" bestFit="1" customWidth="1"/>
    <col min="12305" max="12305" width="10" style="2771" customWidth="1"/>
    <col min="12306" max="12306" width="10.125" style="2771" customWidth="1"/>
    <col min="12307" max="12307" width="10" style="2771" customWidth="1"/>
    <col min="12308" max="12308" width="26.125" style="2771" customWidth="1"/>
    <col min="12309" max="12544" width="8.875" style="2771"/>
    <col min="12545" max="12545" width="9.5" style="2771" customWidth="1"/>
    <col min="12546" max="12546" width="8.875" style="2771"/>
    <col min="12547" max="12549" width="12.875" style="2771" customWidth="1"/>
    <col min="12550" max="12550" width="47.5" style="2771" customWidth="1"/>
    <col min="12551" max="12551" width="13" style="2771" customWidth="1"/>
    <col min="12552" max="12553" width="8.875" style="2771"/>
    <col min="12554" max="12554" width="5.75" style="2771" customWidth="1"/>
    <col min="12555" max="12555" width="11.75" style="2771" customWidth="1"/>
    <col min="12556" max="12557" width="10.75" style="2771" customWidth="1"/>
    <col min="12558" max="12558" width="10" style="2771" customWidth="1"/>
    <col min="12559" max="12560" width="10.5" style="2771" bestFit="1" customWidth="1"/>
    <col min="12561" max="12561" width="10" style="2771" customWidth="1"/>
    <col min="12562" max="12562" width="10.125" style="2771" customWidth="1"/>
    <col min="12563" max="12563" width="10" style="2771" customWidth="1"/>
    <col min="12564" max="12564" width="26.125" style="2771" customWidth="1"/>
    <col min="12565" max="12800" width="8.875" style="2771"/>
    <col min="12801" max="12801" width="9.5" style="2771" customWidth="1"/>
    <col min="12802" max="12802" width="8.875" style="2771"/>
    <col min="12803" max="12805" width="12.875" style="2771" customWidth="1"/>
    <col min="12806" max="12806" width="47.5" style="2771" customWidth="1"/>
    <col min="12807" max="12807" width="13" style="2771" customWidth="1"/>
    <col min="12808" max="12809" width="8.875" style="2771"/>
    <col min="12810" max="12810" width="5.75" style="2771" customWidth="1"/>
    <col min="12811" max="12811" width="11.75" style="2771" customWidth="1"/>
    <col min="12812" max="12813" width="10.75" style="2771" customWidth="1"/>
    <col min="12814" max="12814" width="10" style="2771" customWidth="1"/>
    <col min="12815" max="12816" width="10.5" style="2771" bestFit="1" customWidth="1"/>
    <col min="12817" max="12817" width="10" style="2771" customWidth="1"/>
    <col min="12818" max="12818" width="10.125" style="2771" customWidth="1"/>
    <col min="12819" max="12819" width="10" style="2771" customWidth="1"/>
    <col min="12820" max="12820" width="26.125" style="2771" customWidth="1"/>
    <col min="12821" max="13056" width="8.875" style="2771"/>
    <col min="13057" max="13057" width="9.5" style="2771" customWidth="1"/>
    <col min="13058" max="13058" width="8.875" style="2771"/>
    <col min="13059" max="13061" width="12.875" style="2771" customWidth="1"/>
    <col min="13062" max="13062" width="47.5" style="2771" customWidth="1"/>
    <col min="13063" max="13063" width="13" style="2771" customWidth="1"/>
    <col min="13064" max="13065" width="8.875" style="2771"/>
    <col min="13066" max="13066" width="5.75" style="2771" customWidth="1"/>
    <col min="13067" max="13067" width="11.75" style="2771" customWidth="1"/>
    <col min="13068" max="13069" width="10.75" style="2771" customWidth="1"/>
    <col min="13070" max="13070" width="10" style="2771" customWidth="1"/>
    <col min="13071" max="13072" width="10.5" style="2771" bestFit="1" customWidth="1"/>
    <col min="13073" max="13073" width="10" style="2771" customWidth="1"/>
    <col min="13074" max="13074" width="10.125" style="2771" customWidth="1"/>
    <col min="13075" max="13075" width="10" style="2771" customWidth="1"/>
    <col min="13076" max="13076" width="26.125" style="2771" customWidth="1"/>
    <col min="13077" max="13312" width="8.875" style="2771"/>
    <col min="13313" max="13313" width="9.5" style="2771" customWidth="1"/>
    <col min="13314" max="13314" width="8.875" style="2771"/>
    <col min="13315" max="13317" width="12.875" style="2771" customWidth="1"/>
    <col min="13318" max="13318" width="47.5" style="2771" customWidth="1"/>
    <col min="13319" max="13319" width="13" style="2771" customWidth="1"/>
    <col min="13320" max="13321" width="8.875" style="2771"/>
    <col min="13322" max="13322" width="5.75" style="2771" customWidth="1"/>
    <col min="13323" max="13323" width="11.75" style="2771" customWidth="1"/>
    <col min="13324" max="13325" width="10.75" style="2771" customWidth="1"/>
    <col min="13326" max="13326" width="10" style="2771" customWidth="1"/>
    <col min="13327" max="13328" width="10.5" style="2771" bestFit="1" customWidth="1"/>
    <col min="13329" max="13329" width="10" style="2771" customWidth="1"/>
    <col min="13330" max="13330" width="10.125" style="2771" customWidth="1"/>
    <col min="13331" max="13331" width="10" style="2771" customWidth="1"/>
    <col min="13332" max="13332" width="26.125" style="2771" customWidth="1"/>
    <col min="13333" max="13568" width="8.875" style="2771"/>
    <col min="13569" max="13569" width="9.5" style="2771" customWidth="1"/>
    <col min="13570" max="13570" width="8.875" style="2771"/>
    <col min="13571" max="13573" width="12.875" style="2771" customWidth="1"/>
    <col min="13574" max="13574" width="47.5" style="2771" customWidth="1"/>
    <col min="13575" max="13575" width="13" style="2771" customWidth="1"/>
    <col min="13576" max="13577" width="8.875" style="2771"/>
    <col min="13578" max="13578" width="5.75" style="2771" customWidth="1"/>
    <col min="13579" max="13579" width="11.75" style="2771" customWidth="1"/>
    <col min="13580" max="13581" width="10.75" style="2771" customWidth="1"/>
    <col min="13582" max="13582" width="10" style="2771" customWidth="1"/>
    <col min="13583" max="13584" width="10.5" style="2771" bestFit="1" customWidth="1"/>
    <col min="13585" max="13585" width="10" style="2771" customWidth="1"/>
    <col min="13586" max="13586" width="10.125" style="2771" customWidth="1"/>
    <col min="13587" max="13587" width="10" style="2771" customWidth="1"/>
    <col min="13588" max="13588" width="26.125" style="2771" customWidth="1"/>
    <col min="13589" max="13824" width="8.875" style="2771"/>
    <col min="13825" max="13825" width="9.5" style="2771" customWidth="1"/>
    <col min="13826" max="13826" width="8.875" style="2771"/>
    <col min="13827" max="13829" width="12.875" style="2771" customWidth="1"/>
    <col min="13830" max="13830" width="47.5" style="2771" customWidth="1"/>
    <col min="13831" max="13831" width="13" style="2771" customWidth="1"/>
    <col min="13832" max="13833" width="8.875" style="2771"/>
    <col min="13834" max="13834" width="5.75" style="2771" customWidth="1"/>
    <col min="13835" max="13835" width="11.75" style="2771" customWidth="1"/>
    <col min="13836" max="13837" width="10.75" style="2771" customWidth="1"/>
    <col min="13838" max="13838" width="10" style="2771" customWidth="1"/>
    <col min="13839" max="13840" width="10.5" style="2771" bestFit="1" customWidth="1"/>
    <col min="13841" max="13841" width="10" style="2771" customWidth="1"/>
    <col min="13842" max="13842" width="10.125" style="2771" customWidth="1"/>
    <col min="13843" max="13843" width="10" style="2771" customWidth="1"/>
    <col min="13844" max="13844" width="26.125" style="2771" customWidth="1"/>
    <col min="13845" max="14080" width="8.875" style="2771"/>
    <col min="14081" max="14081" width="9.5" style="2771" customWidth="1"/>
    <col min="14082" max="14082" width="8.875" style="2771"/>
    <col min="14083" max="14085" width="12.875" style="2771" customWidth="1"/>
    <col min="14086" max="14086" width="47.5" style="2771" customWidth="1"/>
    <col min="14087" max="14087" width="13" style="2771" customWidth="1"/>
    <col min="14088" max="14089" width="8.875" style="2771"/>
    <col min="14090" max="14090" width="5.75" style="2771" customWidth="1"/>
    <col min="14091" max="14091" width="11.75" style="2771" customWidth="1"/>
    <col min="14092" max="14093" width="10.75" style="2771" customWidth="1"/>
    <col min="14094" max="14094" width="10" style="2771" customWidth="1"/>
    <col min="14095" max="14096" width="10.5" style="2771" bestFit="1" customWidth="1"/>
    <col min="14097" max="14097" width="10" style="2771" customWidth="1"/>
    <col min="14098" max="14098" width="10.125" style="2771" customWidth="1"/>
    <col min="14099" max="14099" width="10" style="2771" customWidth="1"/>
    <col min="14100" max="14100" width="26.125" style="2771" customWidth="1"/>
    <col min="14101" max="14336" width="8.875" style="2771"/>
    <col min="14337" max="14337" width="9.5" style="2771" customWidth="1"/>
    <col min="14338" max="14338" width="8.875" style="2771"/>
    <col min="14339" max="14341" width="12.875" style="2771" customWidth="1"/>
    <col min="14342" max="14342" width="47.5" style="2771" customWidth="1"/>
    <col min="14343" max="14343" width="13" style="2771" customWidth="1"/>
    <col min="14344" max="14345" width="8.875" style="2771"/>
    <col min="14346" max="14346" width="5.75" style="2771" customWidth="1"/>
    <col min="14347" max="14347" width="11.75" style="2771" customWidth="1"/>
    <col min="14348" max="14349" width="10.75" style="2771" customWidth="1"/>
    <col min="14350" max="14350" width="10" style="2771" customWidth="1"/>
    <col min="14351" max="14352" width="10.5" style="2771" bestFit="1" customWidth="1"/>
    <col min="14353" max="14353" width="10" style="2771" customWidth="1"/>
    <col min="14354" max="14354" width="10.125" style="2771" customWidth="1"/>
    <col min="14355" max="14355" width="10" style="2771" customWidth="1"/>
    <col min="14356" max="14356" width="26.125" style="2771" customWidth="1"/>
    <col min="14357" max="14592" width="8.875" style="2771"/>
    <col min="14593" max="14593" width="9.5" style="2771" customWidth="1"/>
    <col min="14594" max="14594" width="8.875" style="2771"/>
    <col min="14595" max="14597" width="12.875" style="2771" customWidth="1"/>
    <col min="14598" max="14598" width="47.5" style="2771" customWidth="1"/>
    <col min="14599" max="14599" width="13" style="2771" customWidth="1"/>
    <col min="14600" max="14601" width="8.875" style="2771"/>
    <col min="14602" max="14602" width="5.75" style="2771" customWidth="1"/>
    <col min="14603" max="14603" width="11.75" style="2771" customWidth="1"/>
    <col min="14604" max="14605" width="10.75" style="2771" customWidth="1"/>
    <col min="14606" max="14606" width="10" style="2771" customWidth="1"/>
    <col min="14607" max="14608" width="10.5" style="2771" bestFit="1" customWidth="1"/>
    <col min="14609" max="14609" width="10" style="2771" customWidth="1"/>
    <col min="14610" max="14610" width="10.125" style="2771" customWidth="1"/>
    <col min="14611" max="14611" width="10" style="2771" customWidth="1"/>
    <col min="14612" max="14612" width="26.125" style="2771" customWidth="1"/>
    <col min="14613" max="14848" width="8.875" style="2771"/>
    <col min="14849" max="14849" width="9.5" style="2771" customWidth="1"/>
    <col min="14850" max="14850" width="8.875" style="2771"/>
    <col min="14851" max="14853" width="12.875" style="2771" customWidth="1"/>
    <col min="14854" max="14854" width="47.5" style="2771" customWidth="1"/>
    <col min="14855" max="14855" width="13" style="2771" customWidth="1"/>
    <col min="14856" max="14857" width="8.875" style="2771"/>
    <col min="14858" max="14858" width="5.75" style="2771" customWidth="1"/>
    <col min="14859" max="14859" width="11.75" style="2771" customWidth="1"/>
    <col min="14860" max="14861" width="10.75" style="2771" customWidth="1"/>
    <col min="14862" max="14862" width="10" style="2771" customWidth="1"/>
    <col min="14863" max="14864" width="10.5" style="2771" bestFit="1" customWidth="1"/>
    <col min="14865" max="14865" width="10" style="2771" customWidth="1"/>
    <col min="14866" max="14866" width="10.125" style="2771" customWidth="1"/>
    <col min="14867" max="14867" width="10" style="2771" customWidth="1"/>
    <col min="14868" max="14868" width="26.125" style="2771" customWidth="1"/>
    <col min="14869" max="15104" width="8.875" style="2771"/>
    <col min="15105" max="15105" width="9.5" style="2771" customWidth="1"/>
    <col min="15106" max="15106" width="8.875" style="2771"/>
    <col min="15107" max="15109" width="12.875" style="2771" customWidth="1"/>
    <col min="15110" max="15110" width="47.5" style="2771" customWidth="1"/>
    <col min="15111" max="15111" width="13" style="2771" customWidth="1"/>
    <col min="15112" max="15113" width="8.875" style="2771"/>
    <col min="15114" max="15114" width="5.75" style="2771" customWidth="1"/>
    <col min="15115" max="15115" width="11.75" style="2771" customWidth="1"/>
    <col min="15116" max="15117" width="10.75" style="2771" customWidth="1"/>
    <col min="15118" max="15118" width="10" style="2771" customWidth="1"/>
    <col min="15119" max="15120" width="10.5" style="2771" bestFit="1" customWidth="1"/>
    <col min="15121" max="15121" width="10" style="2771" customWidth="1"/>
    <col min="15122" max="15122" width="10.125" style="2771" customWidth="1"/>
    <col min="15123" max="15123" width="10" style="2771" customWidth="1"/>
    <col min="15124" max="15124" width="26.125" style="2771" customWidth="1"/>
    <col min="15125" max="15360" width="8.875" style="2771"/>
    <col min="15361" max="15361" width="9.5" style="2771" customWidth="1"/>
    <col min="15362" max="15362" width="8.875" style="2771"/>
    <col min="15363" max="15365" width="12.875" style="2771" customWidth="1"/>
    <col min="15366" max="15366" width="47.5" style="2771" customWidth="1"/>
    <col min="15367" max="15367" width="13" style="2771" customWidth="1"/>
    <col min="15368" max="15369" width="8.875" style="2771"/>
    <col min="15370" max="15370" width="5.75" style="2771" customWidth="1"/>
    <col min="15371" max="15371" width="11.75" style="2771" customWidth="1"/>
    <col min="15372" max="15373" width="10.75" style="2771" customWidth="1"/>
    <col min="15374" max="15374" width="10" style="2771" customWidth="1"/>
    <col min="15375" max="15376" width="10.5" style="2771" bestFit="1" customWidth="1"/>
    <col min="15377" max="15377" width="10" style="2771" customWidth="1"/>
    <col min="15378" max="15378" width="10.125" style="2771" customWidth="1"/>
    <col min="15379" max="15379" width="10" style="2771" customWidth="1"/>
    <col min="15380" max="15380" width="26.125" style="2771" customWidth="1"/>
    <col min="15381" max="15616" width="8.875" style="2771"/>
    <col min="15617" max="15617" width="9.5" style="2771" customWidth="1"/>
    <col min="15618" max="15618" width="8.875" style="2771"/>
    <col min="15619" max="15621" width="12.875" style="2771" customWidth="1"/>
    <col min="15622" max="15622" width="47.5" style="2771" customWidth="1"/>
    <col min="15623" max="15623" width="13" style="2771" customWidth="1"/>
    <col min="15624" max="15625" width="8.875" style="2771"/>
    <col min="15626" max="15626" width="5.75" style="2771" customWidth="1"/>
    <col min="15627" max="15627" width="11.75" style="2771" customWidth="1"/>
    <col min="15628" max="15629" width="10.75" style="2771" customWidth="1"/>
    <col min="15630" max="15630" width="10" style="2771" customWidth="1"/>
    <col min="15631" max="15632" width="10.5" style="2771" bestFit="1" customWidth="1"/>
    <col min="15633" max="15633" width="10" style="2771" customWidth="1"/>
    <col min="15634" max="15634" width="10.125" style="2771" customWidth="1"/>
    <col min="15635" max="15635" width="10" style="2771" customWidth="1"/>
    <col min="15636" max="15636" width="26.125" style="2771" customWidth="1"/>
    <col min="15637" max="15872" width="8.875" style="2771"/>
    <col min="15873" max="15873" width="9.5" style="2771" customWidth="1"/>
    <col min="15874" max="15874" width="8.875" style="2771"/>
    <col min="15875" max="15877" width="12.875" style="2771" customWidth="1"/>
    <col min="15878" max="15878" width="47.5" style="2771" customWidth="1"/>
    <col min="15879" max="15879" width="13" style="2771" customWidth="1"/>
    <col min="15880" max="15881" width="8.875" style="2771"/>
    <col min="15882" max="15882" width="5.75" style="2771" customWidth="1"/>
    <col min="15883" max="15883" width="11.75" style="2771" customWidth="1"/>
    <col min="15884" max="15885" width="10.75" style="2771" customWidth="1"/>
    <col min="15886" max="15886" width="10" style="2771" customWidth="1"/>
    <col min="15887" max="15888" width="10.5" style="2771" bestFit="1" customWidth="1"/>
    <col min="15889" max="15889" width="10" style="2771" customWidth="1"/>
    <col min="15890" max="15890" width="10.125" style="2771" customWidth="1"/>
    <col min="15891" max="15891" width="10" style="2771" customWidth="1"/>
    <col min="15892" max="15892" width="26.125" style="2771" customWidth="1"/>
    <col min="15893" max="16128" width="8.875" style="2771"/>
    <col min="16129" max="16129" width="9.5" style="2771" customWidth="1"/>
    <col min="16130" max="16130" width="8.875" style="2771"/>
    <col min="16131" max="16133" width="12.875" style="2771" customWidth="1"/>
    <col min="16134" max="16134" width="47.5" style="2771" customWidth="1"/>
    <col min="16135" max="16135" width="13" style="2771" customWidth="1"/>
    <col min="16136" max="16137" width="8.875" style="2771"/>
    <col min="16138" max="16138" width="5.75" style="2771" customWidth="1"/>
    <col min="16139" max="16139" width="11.75" style="2771" customWidth="1"/>
    <col min="16140" max="16141" width="10.75" style="2771" customWidth="1"/>
    <col min="16142" max="16142" width="10" style="2771" customWidth="1"/>
    <col min="16143" max="16144" width="10.5" style="2771" bestFit="1" customWidth="1"/>
    <col min="16145" max="16145" width="10" style="2771" customWidth="1"/>
    <col min="16146" max="16146" width="10.125" style="2771" customWidth="1"/>
    <col min="16147" max="16147" width="10" style="2771" customWidth="1"/>
    <col min="16148" max="16148" width="26.125" style="2771" customWidth="1"/>
    <col min="16149" max="16384" width="8.875" style="2771"/>
  </cols>
  <sheetData>
    <row r="1" spans="1:22" ht="21" customHeight="1">
      <c r="A1" s="2760" t="s">
        <v>3109</v>
      </c>
      <c r="B1" s="2761"/>
      <c r="C1" s="2773"/>
      <c r="D1" s="2773"/>
      <c r="E1" s="2762"/>
      <c r="F1" s="2763"/>
      <c r="G1" s="2764"/>
      <c r="J1" s="2767" t="s">
        <v>2988</v>
      </c>
      <c r="K1" s="2768"/>
      <c r="L1" s="2768"/>
      <c r="M1" s="2768"/>
      <c r="N1" s="2768"/>
      <c r="O1" s="2768"/>
      <c r="P1" s="2768"/>
      <c r="Q1" s="2768"/>
      <c r="R1" s="2769"/>
      <c r="S1" s="2770"/>
      <c r="T1" s="2770"/>
      <c r="U1" s="2770"/>
    </row>
    <row r="2" spans="1:22" s="2782" customFormat="1" ht="13.15" customHeight="1">
      <c r="A2" s="1437" t="s">
        <v>2989</v>
      </c>
      <c r="B2" s="2772" t="e">
        <f>C40</f>
        <v>#DIV/0!</v>
      </c>
      <c r="C2" s="2773" t="s">
        <v>2990</v>
      </c>
      <c r="D2" s="2773"/>
      <c r="E2" s="2774"/>
      <c r="F2" s="2775"/>
      <c r="G2" s="2776"/>
      <c r="H2" s="2777"/>
      <c r="I2" s="2778"/>
      <c r="J2" s="3429" t="s">
        <v>2991</v>
      </c>
      <c r="K2" s="3430"/>
      <c r="L2" s="2779" t="s">
        <v>2992</v>
      </c>
      <c r="M2" s="2779" t="s">
        <v>2993</v>
      </c>
      <c r="N2" s="2779" t="s">
        <v>2994</v>
      </c>
      <c r="O2" s="2779" t="s">
        <v>2995</v>
      </c>
      <c r="P2" s="2779" t="s">
        <v>2996</v>
      </c>
      <c r="Q2" s="2780" t="s">
        <v>2997</v>
      </c>
      <c r="R2" s="2781" t="s">
        <v>2998</v>
      </c>
      <c r="S2" s="2770"/>
      <c r="T2" s="2770"/>
      <c r="U2" s="2770"/>
      <c r="V2" s="2778"/>
    </row>
    <row r="3" spans="1:22" s="2782" customFormat="1" ht="13.15" customHeight="1">
      <c r="A3" s="2783" t="s">
        <v>2999</v>
      </c>
      <c r="B3" s="2784" t="e">
        <f>ROUND(B2*10000/B4,0)</f>
        <v>#DIV/0!</v>
      </c>
      <c r="C3" s="2773" t="s">
        <v>3000</v>
      </c>
      <c r="D3" s="2773"/>
      <c r="E3" s="2774"/>
      <c r="F3" s="2775"/>
      <c r="G3" s="2776"/>
      <c r="H3" s="2777"/>
      <c r="I3" s="2778"/>
      <c r="J3" s="3431" t="s">
        <v>3001</v>
      </c>
      <c r="K3" s="3432"/>
      <c r="L3" s="2785"/>
      <c r="M3" s="2785"/>
      <c r="N3" s="2785"/>
      <c r="O3" s="2785"/>
      <c r="P3" s="2785"/>
      <c r="Q3" s="2786"/>
      <c r="R3" s="2787">
        <f>SUM(L3:Q3)</f>
        <v>0</v>
      </c>
      <c r="S3" s="2770"/>
      <c r="T3" s="2770"/>
      <c r="U3" s="2770"/>
      <c r="V3" s="2778"/>
    </row>
    <row r="4" spans="1:22" s="2782" customFormat="1" ht="13.15" customHeight="1">
      <c r="A4" s="2788" t="s">
        <v>3002</v>
      </c>
      <c r="B4" s="2789"/>
      <c r="C4" s="2773"/>
      <c r="D4" s="2773"/>
      <c r="E4" s="2774"/>
      <c r="F4" s="2775"/>
      <c r="G4" s="2776"/>
      <c r="H4" s="2777"/>
      <c r="I4" s="2778"/>
      <c r="J4" s="3431" t="s">
        <v>3003</v>
      </c>
      <c r="K4" s="3432"/>
      <c r="L4" s="2790"/>
      <c r="M4" s="2790"/>
      <c r="N4" s="2790"/>
      <c r="O4" s="2790"/>
      <c r="P4" s="2790"/>
      <c r="Q4" s="2791"/>
      <c r="R4" s="2792">
        <f>SUM(L4:Q4)</f>
        <v>0</v>
      </c>
      <c r="S4" s="2770"/>
      <c r="T4" s="2770"/>
      <c r="U4" s="2770"/>
      <c r="V4" s="2778"/>
    </row>
    <row r="5" spans="1:22" s="2782" customFormat="1" ht="13.15" customHeight="1" thickBot="1">
      <c r="A5" s="2793" t="s">
        <v>3004</v>
      </c>
      <c r="B5" s="2794"/>
      <c r="C5" s="2773"/>
      <c r="D5" s="2795"/>
      <c r="E5" s="2775"/>
      <c r="F5" s="2775"/>
      <c r="G5" s="2776"/>
      <c r="H5" s="2777"/>
      <c r="I5" s="2778"/>
      <c r="J5" s="2796" t="s">
        <v>3005</v>
      </c>
      <c r="K5" s="2797"/>
      <c r="L5" s="2797"/>
      <c r="M5" s="2798"/>
      <c r="N5" s="2798"/>
      <c r="O5" s="2798"/>
      <c r="P5" s="2798"/>
      <c r="Q5" s="2798"/>
      <c r="R5" s="2781">
        <f>SUM(R14,R19,R24,R25,R27,R28)</f>
        <v>0</v>
      </c>
      <c r="S5" s="2770"/>
      <c r="T5" s="2770" t="s">
        <v>3006</v>
      </c>
      <c r="U5" s="2770" t="e">
        <f>ROUND(R5*10000/365/R3,1)</f>
        <v>#DIV/0!</v>
      </c>
      <c r="V5" s="2778"/>
    </row>
    <row r="6" spans="1:22" s="2782" customFormat="1" ht="13.15" customHeight="1" thickBot="1">
      <c r="A6" s="3437" t="s">
        <v>3007</v>
      </c>
      <c r="B6" s="3438"/>
      <c r="C6" s="3439"/>
      <c r="D6" s="2799"/>
      <c r="E6" s="2800"/>
      <c r="F6" s="2801"/>
      <c r="G6" s="2802"/>
      <c r="H6" s="2777"/>
      <c r="I6" s="2778"/>
      <c r="J6" s="3423">
        <v>1</v>
      </c>
      <c r="K6" s="3424" t="s">
        <v>3008</v>
      </c>
      <c r="L6" s="2803" t="s">
        <v>3009</v>
      </c>
      <c r="M6" s="2804" t="s">
        <v>3010</v>
      </c>
      <c r="N6" s="2804" t="s">
        <v>3011</v>
      </c>
      <c r="O6" s="2804" t="s">
        <v>3012</v>
      </c>
      <c r="P6" s="2804" t="s">
        <v>3013</v>
      </c>
      <c r="Q6" s="2804" t="s">
        <v>3014</v>
      </c>
      <c r="R6" s="2787" t="s">
        <v>3015</v>
      </c>
      <c r="S6" s="2770"/>
      <c r="T6" s="2770" t="s">
        <v>3016</v>
      </c>
      <c r="U6" s="2770"/>
      <c r="V6" s="2778"/>
    </row>
    <row r="7" spans="1:22" s="2782" customFormat="1" ht="13.15" customHeight="1">
      <c r="A7" s="2805" t="s">
        <v>3017</v>
      </c>
      <c r="B7" s="2806"/>
      <c r="C7" s="2807"/>
      <c r="D7" s="2808">
        <f>SUM(D9,D10,D11,D17,0)</f>
        <v>0</v>
      </c>
      <c r="E7" s="2809" t="e">
        <f>E9+E10+E11+E17</f>
        <v>#DIV/0!</v>
      </c>
      <c r="F7" s="2810"/>
      <c r="G7" s="2811"/>
      <c r="H7" s="2777"/>
      <c r="I7" s="2778"/>
      <c r="J7" s="3423"/>
      <c r="K7" s="3425"/>
      <c r="L7" s="2812" t="s">
        <v>3018</v>
      </c>
      <c r="M7" s="2813"/>
      <c r="N7" s="2789"/>
      <c r="O7" s="2814"/>
      <c r="P7" s="2814"/>
      <c r="Q7" s="2815">
        <v>365</v>
      </c>
      <c r="R7" s="2816">
        <f>ROUND(M7*N7*O7*P7*Q7/10000,0)</f>
        <v>0</v>
      </c>
      <c r="S7" s="2770"/>
      <c r="T7" s="2770" t="s">
        <v>3019</v>
      </c>
      <c r="U7" s="2770"/>
      <c r="V7" s="2778"/>
    </row>
    <row r="8" spans="1:22" s="2782" customFormat="1" ht="13.15" customHeight="1">
      <c r="A8" s="2817" t="s">
        <v>3020</v>
      </c>
      <c r="B8" s="3440" t="s">
        <v>3021</v>
      </c>
      <c r="C8" s="3441"/>
      <c r="D8" s="2818" t="s">
        <v>3022</v>
      </c>
      <c r="E8" s="2819" t="s">
        <v>3023</v>
      </c>
      <c r="F8" s="2820" t="s">
        <v>3024</v>
      </c>
      <c r="G8" s="2821"/>
      <c r="H8" s="2777"/>
      <c r="I8" s="2778"/>
      <c r="J8" s="3423"/>
      <c r="K8" s="3425"/>
      <c r="L8" s="2812" t="s">
        <v>3025</v>
      </c>
      <c r="M8" s="2813"/>
      <c r="N8" s="2789"/>
      <c r="O8" s="2814"/>
      <c r="P8" s="2814"/>
      <c r="Q8" s="2815">
        <v>365</v>
      </c>
      <c r="R8" s="2816">
        <f t="shared" ref="R8:R13" si="0">ROUND(M8*N8*O8*P8*Q8/10000,0)</f>
        <v>0</v>
      </c>
      <c r="S8" s="2770"/>
      <c r="T8" s="2770" t="s">
        <v>3026</v>
      </c>
      <c r="U8" s="2770"/>
      <c r="V8" s="2778"/>
    </row>
    <row r="9" spans="1:22" s="2782" customFormat="1" ht="13.15" customHeight="1">
      <c r="A9" s="2817">
        <v>1</v>
      </c>
      <c r="B9" s="3440" t="s">
        <v>3027</v>
      </c>
      <c r="C9" s="3441"/>
      <c r="D9" s="2818">
        <f>ROUND(D6*E9,0)</f>
        <v>0</v>
      </c>
      <c r="E9" s="2822"/>
      <c r="F9" s="2823" t="s">
        <v>3028</v>
      </c>
      <c r="G9" s="2802"/>
      <c r="H9" s="2777"/>
      <c r="I9" s="2778"/>
      <c r="J9" s="3423"/>
      <c r="K9" s="3425"/>
      <c r="L9" s="2812" t="s">
        <v>3029</v>
      </c>
      <c r="M9" s="2813"/>
      <c r="N9" s="2789"/>
      <c r="O9" s="2814"/>
      <c r="P9" s="2814"/>
      <c r="Q9" s="2815">
        <v>365</v>
      </c>
      <c r="R9" s="2816">
        <f t="shared" si="0"/>
        <v>0</v>
      </c>
      <c r="S9" s="2770"/>
      <c r="T9" s="2770"/>
      <c r="U9" s="2770"/>
      <c r="V9" s="2778"/>
    </row>
    <row r="10" spans="1:22" s="2782" customFormat="1" ht="13.15" customHeight="1">
      <c r="A10" s="2817">
        <v>2</v>
      </c>
      <c r="B10" s="3440" t="s">
        <v>3030</v>
      </c>
      <c r="C10" s="3441"/>
      <c r="D10" s="2818">
        <f>ROUND(D6*E10,0)</f>
        <v>0</v>
      </c>
      <c r="E10" s="2822"/>
      <c r="F10" s="2823" t="s">
        <v>3031</v>
      </c>
      <c r="G10" s="2802"/>
      <c r="H10" s="2777"/>
      <c r="I10" s="2778"/>
      <c r="J10" s="3423"/>
      <c r="K10" s="3425"/>
      <c r="L10" s="2812" t="s">
        <v>3032</v>
      </c>
      <c r="M10" s="2813"/>
      <c r="N10" s="2789"/>
      <c r="O10" s="2814"/>
      <c r="P10" s="2814"/>
      <c r="Q10" s="2815">
        <v>365</v>
      </c>
      <c r="R10" s="2816">
        <f t="shared" si="0"/>
        <v>0</v>
      </c>
      <c r="S10" s="2770"/>
      <c r="T10" s="2770"/>
      <c r="U10" s="2770"/>
      <c r="V10" s="2778"/>
    </row>
    <row r="11" spans="1:22" s="2782" customFormat="1" ht="13.15" customHeight="1">
      <c r="A11" s="2817">
        <v>3</v>
      </c>
      <c r="B11" s="3440" t="s">
        <v>3033</v>
      </c>
      <c r="C11" s="3441"/>
      <c r="D11" s="2818">
        <f>D12+D14+D15+D16</f>
        <v>0</v>
      </c>
      <c r="E11" s="2824" t="e">
        <f>D11/D6</f>
        <v>#DIV/0!</v>
      </c>
      <c r="F11" s="2820"/>
      <c r="G11" s="2821"/>
      <c r="H11" s="2777"/>
      <c r="I11" s="2778"/>
      <c r="J11" s="3423"/>
      <c r="K11" s="3425"/>
      <c r="L11" s="2812" t="s">
        <v>3034</v>
      </c>
      <c r="M11" s="2813"/>
      <c r="N11" s="2789"/>
      <c r="O11" s="2814"/>
      <c r="P11" s="2814"/>
      <c r="Q11" s="2815">
        <v>365</v>
      </c>
      <c r="R11" s="2816">
        <f t="shared" si="0"/>
        <v>0</v>
      </c>
      <c r="S11" s="2770"/>
      <c r="T11" s="2770"/>
      <c r="U11" s="2770"/>
      <c r="V11" s="2778"/>
    </row>
    <row r="12" spans="1:22" s="2782" customFormat="1" ht="13.15" customHeight="1">
      <c r="A12" s="2825" t="s">
        <v>3035</v>
      </c>
      <c r="B12" s="3433" t="s">
        <v>3036</v>
      </c>
      <c r="C12" s="3434"/>
      <c r="D12" s="2826">
        <f>ROUND(D13*1.2%*(1-30%),0)</f>
        <v>0</v>
      </c>
      <c r="E12" s="2827">
        <v>1.2E-2</v>
      </c>
      <c r="F12" s="2820" t="s">
        <v>3037</v>
      </c>
      <c r="G12" s="2821"/>
      <c r="H12" s="2777"/>
      <c r="I12" s="2778"/>
      <c r="J12" s="3423"/>
      <c r="K12" s="3425"/>
      <c r="L12" s="2812" t="s">
        <v>3038</v>
      </c>
      <c r="M12" s="2813"/>
      <c r="N12" s="2789"/>
      <c r="O12" s="2814"/>
      <c r="P12" s="2814"/>
      <c r="Q12" s="2815">
        <v>365</v>
      </c>
      <c r="R12" s="2816">
        <f t="shared" si="0"/>
        <v>0</v>
      </c>
      <c r="S12" s="2770"/>
      <c r="T12" s="2770"/>
      <c r="U12" s="2770"/>
      <c r="V12" s="2778"/>
    </row>
    <row r="13" spans="1:22" s="2782" customFormat="1" ht="13.15" customHeight="1">
      <c r="A13" s="2825"/>
      <c r="B13" s="2828"/>
      <c r="C13" s="2829" t="s">
        <v>3039</v>
      </c>
      <c r="D13" s="2830"/>
      <c r="E13" s="2831"/>
      <c r="F13" s="2820"/>
      <c r="G13" s="2821"/>
      <c r="H13" s="2777"/>
      <c r="I13" s="2778"/>
      <c r="J13" s="3423"/>
      <c r="K13" s="3425"/>
      <c r="L13" s="2812" t="s">
        <v>3040</v>
      </c>
      <c r="M13" s="2813"/>
      <c r="N13" s="2789"/>
      <c r="O13" s="2814"/>
      <c r="P13" s="2814"/>
      <c r="Q13" s="2815">
        <v>365</v>
      </c>
      <c r="R13" s="2816">
        <f t="shared" si="0"/>
        <v>0</v>
      </c>
      <c r="S13" s="2770"/>
      <c r="T13" s="2770"/>
      <c r="U13" s="2770"/>
      <c r="V13" s="2778"/>
    </row>
    <row r="14" spans="1:22" s="2782" customFormat="1" ht="13.15" customHeight="1">
      <c r="A14" s="2825" t="s">
        <v>3041</v>
      </c>
      <c r="B14" s="3433" t="s">
        <v>3042</v>
      </c>
      <c r="C14" s="3434"/>
      <c r="D14" s="2826">
        <f>ROUND(E14*B5/10000,0)</f>
        <v>0</v>
      </c>
      <c r="E14" s="2815"/>
      <c r="F14" s="2820" t="s">
        <v>3043</v>
      </c>
      <c r="G14" s="2821"/>
      <c r="H14" s="2777"/>
      <c r="I14" s="2778"/>
      <c r="J14" s="3423"/>
      <c r="K14" s="3426"/>
      <c r="L14" s="2832" t="s">
        <v>3044</v>
      </c>
      <c r="M14" s="2833">
        <f>SUM(M7:M13)</f>
        <v>0</v>
      </c>
      <c r="N14" s="2833" t="e">
        <f>ROUND((N7*M7+N8*M8+N9*M9+N10*M10+N11*M11+N12*M12+N13*M13)/M14,0)</f>
        <v>#DIV/0!</v>
      </c>
      <c r="O14" s="2834"/>
      <c r="P14" s="2834"/>
      <c r="Q14" s="2835"/>
      <c r="R14" s="2781">
        <f>SUM(R7:R13)</f>
        <v>0</v>
      </c>
      <c r="S14" s="2770"/>
      <c r="T14" s="2770"/>
      <c r="U14" s="2770"/>
      <c r="V14" s="2778"/>
    </row>
    <row r="15" spans="1:22" s="2782" customFormat="1" ht="13.15" customHeight="1">
      <c r="A15" s="2825" t="s">
        <v>3045</v>
      </c>
      <c r="B15" s="3433" t="s">
        <v>3046</v>
      </c>
      <c r="C15" s="3434"/>
      <c r="D15" s="2826">
        <f>ROUND(D6*E15,0)</f>
        <v>0</v>
      </c>
      <c r="E15" s="2827">
        <v>5.5E-2</v>
      </c>
      <c r="F15" s="2820" t="s">
        <v>3047</v>
      </c>
      <c r="G15" s="2802"/>
      <c r="H15" s="2777"/>
      <c r="I15" s="2778"/>
      <c r="J15" s="3423">
        <v>2</v>
      </c>
      <c r="K15" s="3424" t="s">
        <v>3048</v>
      </c>
      <c r="L15" s="2812" t="s">
        <v>3049</v>
      </c>
      <c r="M15" s="2813" t="s">
        <v>3050</v>
      </c>
      <c r="N15" s="2813" t="s">
        <v>3051</v>
      </c>
      <c r="O15" s="2814" t="s">
        <v>3052</v>
      </c>
      <c r="P15" s="2814" t="s">
        <v>3014</v>
      </c>
      <c r="Q15" s="2789" t="s">
        <v>3053</v>
      </c>
      <c r="R15" s="2836" t="s">
        <v>3015</v>
      </c>
      <c r="S15" s="2770"/>
      <c r="T15" s="2770"/>
      <c r="U15" s="2770"/>
      <c r="V15" s="2778"/>
    </row>
    <row r="16" spans="1:22" s="2782" customFormat="1" ht="13.15" customHeight="1">
      <c r="A16" s="2825" t="s">
        <v>3054</v>
      </c>
      <c r="B16" s="3433" t="s">
        <v>3055</v>
      </c>
      <c r="C16" s="3434"/>
      <c r="D16" s="2837">
        <f>D6*E16</f>
        <v>0</v>
      </c>
      <c r="E16" s="2838"/>
      <c r="F16" s="2823" t="s">
        <v>3056</v>
      </c>
      <c r="G16" s="2802"/>
      <c r="H16" s="2777"/>
      <c r="I16" s="2778"/>
      <c r="J16" s="3423"/>
      <c r="K16" s="3425"/>
      <c r="L16" s="2812" t="s">
        <v>3057</v>
      </c>
      <c r="M16" s="2813"/>
      <c r="N16" s="2813"/>
      <c r="O16" s="2814"/>
      <c r="P16" s="2815">
        <v>365</v>
      </c>
      <c r="Q16" s="2789"/>
      <c r="R16" s="2836">
        <f>ROUND(M16*N16*O16*P16/10000,0)</f>
        <v>0</v>
      </c>
      <c r="S16" s="2770"/>
      <c r="T16" s="2770"/>
      <c r="U16" s="2770"/>
      <c r="V16" s="2778"/>
    </row>
    <row r="17" spans="1:22" s="2782" customFormat="1" ht="13.15" customHeight="1" thickBot="1">
      <c r="A17" s="2839">
        <v>4</v>
      </c>
      <c r="B17" s="3435" t="s">
        <v>3058</v>
      </c>
      <c r="C17" s="3436"/>
      <c r="D17" s="2840">
        <f>ROUND(D6*E17,0)</f>
        <v>0</v>
      </c>
      <c r="E17" s="2841"/>
      <c r="F17" s="2842" t="s">
        <v>3059</v>
      </c>
      <c r="G17" s="2802"/>
      <c r="H17" s="2777"/>
      <c r="I17" s="2778"/>
      <c r="J17" s="3423"/>
      <c r="K17" s="3425"/>
      <c r="L17" s="2812" t="s">
        <v>3060</v>
      </c>
      <c r="M17" s="2813"/>
      <c r="N17" s="2813"/>
      <c r="O17" s="2814"/>
      <c r="P17" s="2815">
        <v>365</v>
      </c>
      <c r="Q17" s="2789"/>
      <c r="R17" s="2836">
        <f>ROUND(M17*N17*O17*P17/10000,0)</f>
        <v>0</v>
      </c>
      <c r="S17" s="2770"/>
      <c r="T17" s="2770"/>
      <c r="U17" s="2770"/>
      <c r="V17" s="2778"/>
    </row>
    <row r="18" spans="1:22" s="2782" customFormat="1" ht="13.15" customHeight="1" thickBot="1">
      <c r="A18" s="2805" t="s">
        <v>3061</v>
      </c>
      <c r="B18" s="2806"/>
      <c r="C18" s="2806"/>
      <c r="D18" s="2843">
        <f>ROUND(D6*E18,0)</f>
        <v>0</v>
      </c>
      <c r="E18" s="2844"/>
      <c r="F18" s="2845" t="s">
        <v>3062</v>
      </c>
      <c r="G18" s="2802"/>
      <c r="H18" s="2777"/>
      <c r="I18" s="2778"/>
      <c r="J18" s="3423"/>
      <c r="K18" s="3425"/>
      <c r="L18" s="2812" t="s">
        <v>3063</v>
      </c>
      <c r="M18" s="2813"/>
      <c r="N18" s="2813"/>
      <c r="O18" s="2814"/>
      <c r="P18" s="2815">
        <v>365</v>
      </c>
      <c r="Q18" s="2789"/>
      <c r="R18" s="2836">
        <f>ROUND(M18*N18*O18*P18/10000,0)</f>
        <v>0</v>
      </c>
      <c r="S18" s="2770"/>
      <c r="T18" s="2770"/>
      <c r="U18" s="2770"/>
      <c r="V18" s="2778"/>
    </row>
    <row r="19" spans="1:22" s="2782" customFormat="1" ht="13.15" customHeight="1" thickBot="1">
      <c r="A19" s="2846" t="s">
        <v>3064</v>
      </c>
      <c r="B19" s="2800"/>
      <c r="C19" s="2800"/>
      <c r="D19" s="2800"/>
      <c r="E19" s="2800"/>
      <c r="F19" s="2801"/>
      <c r="G19" s="2821"/>
      <c r="H19" s="2777"/>
      <c r="I19" s="2778"/>
      <c r="J19" s="3423"/>
      <c r="K19" s="3426"/>
      <c r="L19" s="2832" t="s">
        <v>3044</v>
      </c>
      <c r="M19" s="2833"/>
      <c r="N19" s="2833">
        <f>SUM(N16:N18)</f>
        <v>0</v>
      </c>
      <c r="O19" s="2834"/>
      <c r="P19" s="2847" t="s">
        <v>3108</v>
      </c>
      <c r="Q19" s="2814">
        <v>0</v>
      </c>
      <c r="R19" s="2848">
        <f>ROUND(IF(P19="按比例",R14*Q19,SUM(R16:R18)),0)</f>
        <v>0</v>
      </c>
      <c r="S19" s="2770"/>
      <c r="T19" s="2770"/>
      <c r="U19" s="2770"/>
      <c r="V19" s="2778"/>
    </row>
    <row r="20" spans="1:22" s="2782" customFormat="1" ht="13.15" customHeight="1">
      <c r="A20" s="2805"/>
      <c r="B20" s="2806"/>
      <c r="C20" s="2806"/>
      <c r="D20" s="2806"/>
      <c r="E20" s="2806"/>
      <c r="F20" s="2849"/>
      <c r="G20" s="2821"/>
      <c r="H20" s="2777"/>
      <c r="I20" s="2778"/>
      <c r="J20" s="3423">
        <v>3</v>
      </c>
      <c r="K20" s="3424" t="s">
        <v>3065</v>
      </c>
      <c r="L20" s="2812" t="s">
        <v>3066</v>
      </c>
      <c r="M20" s="2813" t="s">
        <v>3067</v>
      </c>
      <c r="N20" s="2850" t="s">
        <v>3068</v>
      </c>
      <c r="O20" s="2814" t="s">
        <v>3069</v>
      </c>
      <c r="P20" s="2815" t="s">
        <v>3070</v>
      </c>
      <c r="Q20" s="2789" t="s">
        <v>3071</v>
      </c>
      <c r="R20" s="2836" t="s">
        <v>3072</v>
      </c>
      <c r="S20" s="2770"/>
      <c r="T20" s="2770"/>
      <c r="U20" s="2770"/>
      <c r="V20" s="2778"/>
    </row>
    <row r="21" spans="1:22" s="2782" customFormat="1" ht="13.15" customHeight="1">
      <c r="A21" s="2805"/>
      <c r="B21" s="2806"/>
      <c r="C21" s="2851" t="s">
        <v>3073</v>
      </c>
      <c r="D21" s="2852" t="s">
        <v>3074</v>
      </c>
      <c r="E21" s="2853" t="s">
        <v>3075</v>
      </c>
      <c r="F21" s="2849"/>
      <c r="G21" s="2821"/>
      <c r="H21" s="2777"/>
      <c r="I21" s="2778"/>
      <c r="J21" s="3423"/>
      <c r="K21" s="3425"/>
      <c r="L21" s="2812" t="s">
        <v>3076</v>
      </c>
      <c r="M21" s="2813"/>
      <c r="N21" s="2813"/>
      <c r="O21" s="2814"/>
      <c r="P21" s="2815">
        <v>365</v>
      </c>
      <c r="Q21" s="2789"/>
      <c r="R21" s="2854">
        <f>ROUND(M21*N21*O21*P21/10000,0)</f>
        <v>0</v>
      </c>
      <c r="S21" s="2770"/>
      <c r="T21" s="2770"/>
      <c r="U21" s="2770"/>
      <c r="V21" s="2778"/>
    </row>
    <row r="22" spans="1:22" s="2782" customFormat="1" ht="13.15" customHeight="1">
      <c r="A22" s="2805"/>
      <c r="B22" s="2806"/>
      <c r="C22" s="2855" t="s">
        <v>3077</v>
      </c>
      <c r="D22" s="2856" t="s">
        <v>3078</v>
      </c>
      <c r="E22" s="2857" t="s">
        <v>3079</v>
      </c>
      <c r="F22" s="2849"/>
      <c r="G22" s="2770"/>
      <c r="H22" s="2777"/>
      <c r="I22" s="2778"/>
      <c r="J22" s="3423"/>
      <c r="K22" s="3425"/>
      <c r="L22" s="2812" t="s">
        <v>3080</v>
      </c>
      <c r="M22" s="2813"/>
      <c r="N22" s="2813"/>
      <c r="O22" s="2814"/>
      <c r="P22" s="2815">
        <v>365</v>
      </c>
      <c r="Q22" s="2789"/>
      <c r="R22" s="2854">
        <f>ROUND(M22*N22*O22*P22/10000,0)</f>
        <v>0</v>
      </c>
      <c r="S22" s="2770"/>
      <c r="T22" s="2770"/>
      <c r="U22" s="2770"/>
      <c r="V22" s="2778"/>
    </row>
    <row r="23" spans="1:22" s="2782" customFormat="1" ht="13.15" customHeight="1">
      <c r="A23" s="2858">
        <v>1</v>
      </c>
      <c r="B23" s="2859" t="s">
        <v>3081</v>
      </c>
      <c r="C23" s="2860">
        <f>D6</f>
        <v>0</v>
      </c>
      <c r="D23" s="2861">
        <f>C23*(1+D24)</f>
        <v>0</v>
      </c>
      <c r="E23" s="2862">
        <f>D23*(1+E24)</f>
        <v>0</v>
      </c>
      <c r="F23" s="2863"/>
      <c r="G23" s="2864"/>
      <c r="H23" s="2777"/>
      <c r="I23" s="2778"/>
      <c r="J23" s="3423"/>
      <c r="K23" s="3425"/>
      <c r="L23" s="2812" t="s">
        <v>3082</v>
      </c>
      <c r="M23" s="2813"/>
      <c r="N23" s="2813"/>
      <c r="O23" s="2814"/>
      <c r="P23" s="2815">
        <v>365</v>
      </c>
      <c r="Q23" s="2789"/>
      <c r="R23" s="2854">
        <f>ROUND(M23*N23*O23*P23/10000,0)</f>
        <v>0</v>
      </c>
      <c r="S23" s="2770"/>
      <c r="T23" s="2770"/>
      <c r="U23" s="2770"/>
      <c r="V23" s="2778"/>
    </row>
    <row r="24" spans="1:22" s="2782" customFormat="1" ht="13.15" customHeight="1">
      <c r="A24" s="2865"/>
      <c r="B24" s="2866" t="s">
        <v>3083</v>
      </c>
      <c r="C24" s="2867"/>
      <c r="D24" s="2868"/>
      <c r="E24" s="2869"/>
      <c r="F24" s="2870"/>
      <c r="G24" s="2864"/>
      <c r="H24" s="2777"/>
      <c r="I24" s="2778"/>
      <c r="J24" s="3423"/>
      <c r="K24" s="3426"/>
      <c r="L24" s="2832" t="s">
        <v>3044</v>
      </c>
      <c r="M24" s="2833">
        <f>SUM(M21:M23)</f>
        <v>0</v>
      </c>
      <c r="N24" s="2833"/>
      <c r="O24" s="2834"/>
      <c r="P24" s="2847" t="s">
        <v>3108</v>
      </c>
      <c r="Q24" s="2814">
        <v>0</v>
      </c>
      <c r="R24" s="2848">
        <f>ROUND(IF(P24="按比例",R14*Q24,SUM(R21:R23)),0)</f>
        <v>0</v>
      </c>
      <c r="S24" s="2770"/>
      <c r="T24" s="2770"/>
      <c r="U24" s="2770"/>
      <c r="V24" s="2778"/>
    </row>
    <row r="25" spans="1:22" s="2877" customFormat="1" ht="13.15" customHeight="1">
      <c r="A25" s="2865"/>
      <c r="B25" s="2866"/>
      <c r="C25" s="2867"/>
      <c r="D25" s="2868"/>
      <c r="E25" s="2869"/>
      <c r="F25" s="2870"/>
      <c r="G25" s="2770"/>
      <c r="H25" s="2777"/>
      <c r="I25" s="2778"/>
      <c r="J25" s="2871">
        <v>4</v>
      </c>
      <c r="K25" s="2872" t="s">
        <v>3084</v>
      </c>
      <c r="L25" s="2873"/>
      <c r="M25" s="2873"/>
      <c r="N25" s="2873"/>
      <c r="O25" s="2873"/>
      <c r="P25" s="2874"/>
      <c r="Q25" s="2875">
        <v>0</v>
      </c>
      <c r="R25" s="2848">
        <f>ROUND(R14*Q25,0)</f>
        <v>0</v>
      </c>
      <c r="S25" s="2770"/>
      <c r="T25" s="2770"/>
      <c r="U25" s="2770"/>
      <c r="V25" s="2876"/>
    </row>
    <row r="26" spans="1:22" s="2877" customFormat="1" ht="13.15" customHeight="1">
      <c r="A26" s="2858">
        <v>2</v>
      </c>
      <c r="B26" s="2859" t="s">
        <v>3085</v>
      </c>
      <c r="C26" s="2860">
        <f>D7</f>
        <v>0</v>
      </c>
      <c r="D26" s="2861">
        <f>D23*D27</f>
        <v>0</v>
      </c>
      <c r="E26" s="2862">
        <f>E23*E27</f>
        <v>0</v>
      </c>
      <c r="F26" s="2863"/>
      <c r="G26" s="2864"/>
      <c r="H26" s="2777"/>
      <c r="I26" s="2778"/>
      <c r="J26" s="3427">
        <v>5</v>
      </c>
      <c r="K26" s="2878" t="s">
        <v>3086</v>
      </c>
      <c r="L26" s="2879"/>
      <c r="M26" s="2880"/>
      <c r="N26" s="2881" t="s">
        <v>3087</v>
      </c>
      <c r="O26" s="2881" t="s">
        <v>3088</v>
      </c>
      <c r="P26" s="2882" t="s">
        <v>3089</v>
      </c>
      <c r="Q26" s="2882" t="s">
        <v>3090</v>
      </c>
      <c r="R26" s="2787" t="s">
        <v>3015</v>
      </c>
      <c r="S26" s="2821"/>
      <c r="T26" s="2821"/>
      <c r="U26" s="2821"/>
      <c r="V26" s="2876"/>
    </row>
    <row r="27" spans="1:22" s="2782" customFormat="1" ht="13.15" customHeight="1">
      <c r="A27" s="2865"/>
      <c r="B27" s="2866" t="s">
        <v>3091</v>
      </c>
      <c r="C27" s="2883" t="e">
        <f>E7</f>
        <v>#DIV/0!</v>
      </c>
      <c r="D27" s="2868"/>
      <c r="E27" s="2869"/>
      <c r="F27" s="2870"/>
      <c r="G27" s="2864"/>
      <c r="H27" s="2884"/>
      <c r="I27" s="2876"/>
      <c r="J27" s="3428"/>
      <c r="K27" s="2885"/>
      <c r="L27" s="2886"/>
      <c r="M27" s="2887"/>
      <c r="N27" s="2888"/>
      <c r="O27" s="2888"/>
      <c r="P27" s="2888"/>
      <c r="Q27" s="2889"/>
      <c r="R27" s="2848">
        <f>ROUND(O27*N27*P27*(1-Q27)/10000,0)</f>
        <v>0</v>
      </c>
      <c r="S27" s="2770"/>
      <c r="T27" s="2770"/>
      <c r="U27" s="2770"/>
      <c r="V27" s="2778"/>
    </row>
    <row r="28" spans="1:22" s="2877" customFormat="1" ht="13.15" customHeight="1" thickBot="1">
      <c r="A28" s="2865"/>
      <c r="B28" s="2866"/>
      <c r="C28" s="2883"/>
      <c r="D28" s="2868"/>
      <c r="E28" s="2869" t="s">
        <v>3092</v>
      </c>
      <c r="F28" s="2870"/>
      <c r="G28" s="2770"/>
      <c r="H28" s="2884"/>
      <c r="I28" s="2876"/>
      <c r="J28" s="2890">
        <v>6</v>
      </c>
      <c r="K28" s="2891" t="s">
        <v>3093</v>
      </c>
      <c r="L28" s="2892" t="s">
        <v>3094</v>
      </c>
      <c r="M28" s="2893"/>
      <c r="N28" s="2892" t="s">
        <v>3095</v>
      </c>
      <c r="O28" s="2894"/>
      <c r="P28" s="2892" t="s">
        <v>3096</v>
      </c>
      <c r="Q28" s="2895">
        <v>1.4999999999999999E-2</v>
      </c>
      <c r="R28" s="2896"/>
      <c r="S28" s="2770"/>
      <c r="T28" s="2770"/>
      <c r="U28" s="2770"/>
      <c r="V28" s="2876"/>
    </row>
    <row r="29" spans="1:22" s="2877" customFormat="1" ht="13.15" customHeight="1">
      <c r="A29" s="2858">
        <v>3</v>
      </c>
      <c r="B29" s="2859" t="s">
        <v>3097</v>
      </c>
      <c r="C29" s="2860">
        <f>C23*C30</f>
        <v>0</v>
      </c>
      <c r="D29" s="2861">
        <f>D23*C30</f>
        <v>0</v>
      </c>
      <c r="E29" s="2862">
        <f>E23*C30</f>
        <v>0</v>
      </c>
      <c r="F29" s="2863"/>
      <c r="G29" s="2864"/>
      <c r="H29" s="2777"/>
      <c r="I29" s="2778"/>
      <c r="J29" s="2770"/>
      <c r="K29" s="2770"/>
      <c r="L29" s="2770"/>
      <c r="M29" s="2770"/>
      <c r="N29" s="2770"/>
      <c r="O29" s="2770"/>
      <c r="P29" s="2770"/>
      <c r="Q29" s="2770"/>
      <c r="R29" s="2770"/>
      <c r="S29" s="2770"/>
      <c r="T29" s="2770"/>
      <c r="U29" s="2770"/>
      <c r="V29" s="2876"/>
    </row>
    <row r="30" spans="1:22" s="2782" customFormat="1" ht="13.15" customHeight="1" thickBot="1">
      <c r="A30" s="2865"/>
      <c r="B30" s="2866" t="s">
        <v>3091</v>
      </c>
      <c r="C30" s="2883">
        <f>E18</f>
        <v>0</v>
      </c>
      <c r="D30" s="2897"/>
      <c r="E30" s="2831"/>
      <c r="F30" s="2870"/>
      <c r="G30" s="2864"/>
      <c r="H30" s="2884"/>
      <c r="I30" s="2876"/>
      <c r="J30" s="2770"/>
      <c r="K30" s="2770"/>
      <c r="L30" s="2770"/>
      <c r="M30" s="2770"/>
      <c r="N30" s="2770"/>
      <c r="O30" s="2770"/>
      <c r="P30" s="2770"/>
      <c r="Q30" s="2770"/>
      <c r="R30" s="2770"/>
      <c r="S30" s="2770"/>
      <c r="T30" s="2770"/>
      <c r="U30" s="2770"/>
      <c r="V30" s="2778"/>
    </row>
    <row r="31" spans="1:22" s="2877" customFormat="1" ht="13.15" customHeight="1">
      <c r="A31" s="2865"/>
      <c r="B31" s="2866"/>
      <c r="C31" s="2898"/>
      <c r="D31" s="2897"/>
      <c r="E31" s="2831"/>
      <c r="F31" s="2870"/>
      <c r="G31" s="2770"/>
      <c r="H31" s="2884"/>
      <c r="I31" s="2876"/>
      <c r="J31" s="2767" t="s">
        <v>3098</v>
      </c>
      <c r="K31" s="2768"/>
      <c r="L31" s="2768"/>
      <c r="M31" s="2768"/>
      <c r="N31" s="2768"/>
      <c r="O31" s="2768"/>
      <c r="P31" s="2768"/>
      <c r="Q31" s="2768"/>
      <c r="R31" s="2769"/>
      <c r="S31" s="2770"/>
      <c r="T31" s="2770"/>
      <c r="U31" s="2770"/>
      <c r="V31" s="2876"/>
    </row>
    <row r="32" spans="1:22" s="2877" customFormat="1" ht="13.15" customHeight="1">
      <c r="A32" s="2858">
        <v>4</v>
      </c>
      <c r="B32" s="2859" t="s">
        <v>3099</v>
      </c>
      <c r="C32" s="2860">
        <f>C23-C26-C29</f>
        <v>0</v>
      </c>
      <c r="D32" s="2861">
        <f>D23-D26-D29</f>
        <v>0</v>
      </c>
      <c r="E32" s="2862">
        <f>E23-E26-E29</f>
        <v>0</v>
      </c>
      <c r="F32" s="2863"/>
      <c r="G32" s="2770"/>
      <c r="H32" s="2777"/>
      <c r="I32" s="2778"/>
      <c r="J32" s="3429" t="s">
        <v>2991</v>
      </c>
      <c r="K32" s="3430"/>
      <c r="L32" s="2779" t="s">
        <v>2992</v>
      </c>
      <c r="M32" s="2779" t="s">
        <v>2993</v>
      </c>
      <c r="N32" s="2779" t="s">
        <v>2994</v>
      </c>
      <c r="O32" s="2779" t="s">
        <v>2995</v>
      </c>
      <c r="P32" s="2779" t="s">
        <v>2996</v>
      </c>
      <c r="Q32" s="2780" t="s">
        <v>2997</v>
      </c>
      <c r="R32" s="2899" t="s">
        <v>2998</v>
      </c>
      <c r="S32" s="2770"/>
      <c r="T32" s="2770"/>
      <c r="U32" s="2770"/>
      <c r="V32" s="2876"/>
    </row>
    <row r="33" spans="1:23" s="2782" customFormat="1" ht="13.15" customHeight="1">
      <c r="A33" s="2858"/>
      <c r="B33" s="2859"/>
      <c r="C33" s="2860"/>
      <c r="D33" s="2900"/>
      <c r="E33" s="2901"/>
      <c r="F33" s="2863"/>
      <c r="G33" s="2770"/>
      <c r="H33" s="2884"/>
      <c r="I33" s="2876"/>
      <c r="J33" s="3431" t="s">
        <v>3001</v>
      </c>
      <c r="K33" s="3432"/>
      <c r="L33" s="2785"/>
      <c r="M33" s="2785"/>
      <c r="N33" s="2785"/>
      <c r="O33" s="2785"/>
      <c r="P33" s="2785"/>
      <c r="Q33" s="2786"/>
      <c r="R33" s="2902">
        <f>SUM(L33:Q33)</f>
        <v>0</v>
      </c>
      <c r="S33" s="2770"/>
      <c r="T33" s="2770"/>
      <c r="U33" s="2770"/>
      <c r="V33" s="2778"/>
    </row>
    <row r="34" spans="1:23" s="2782" customFormat="1" ht="13.15" customHeight="1">
      <c r="A34" s="2858">
        <v>5</v>
      </c>
      <c r="B34" s="2859" t="s">
        <v>3100</v>
      </c>
      <c r="C34" s="2903"/>
      <c r="D34" s="2904"/>
      <c r="E34" s="2905"/>
      <c r="F34" s="2863"/>
      <c r="G34" s="2770"/>
      <c r="H34" s="2884"/>
      <c r="I34" s="2876"/>
      <c r="J34" s="3431" t="s">
        <v>3003</v>
      </c>
      <c r="K34" s="3432"/>
      <c r="L34" s="2790"/>
      <c r="M34" s="2790"/>
      <c r="N34" s="2790"/>
      <c r="O34" s="2790"/>
      <c r="P34" s="2790"/>
      <c r="Q34" s="2791"/>
      <c r="R34" s="2906">
        <f>SUM(L34:Q34)</f>
        <v>0</v>
      </c>
      <c r="S34" s="2770"/>
      <c r="T34" s="2770"/>
      <c r="U34" s="2770" t="e">
        <f>ROUND(R35*10000/365/R33,1)</f>
        <v>#DIV/0!</v>
      </c>
      <c r="V34" s="2778"/>
    </row>
    <row r="35" spans="1:23" s="2782" customFormat="1" ht="13.15" customHeight="1">
      <c r="A35" s="2858">
        <v>6</v>
      </c>
      <c r="B35" s="2859" t="s">
        <v>3101</v>
      </c>
      <c r="C35" s="2907"/>
      <c r="D35" s="2908"/>
      <c r="E35" s="2909"/>
      <c r="F35" s="2863"/>
      <c r="G35" s="2910"/>
      <c r="H35" s="2777"/>
      <c r="I35" s="2876"/>
      <c r="J35" s="2796" t="s">
        <v>3005</v>
      </c>
      <c r="K35" s="2797"/>
      <c r="L35" s="2797"/>
      <c r="M35" s="2798"/>
      <c r="N35" s="2798"/>
      <c r="O35" s="2798"/>
      <c r="P35" s="2798"/>
      <c r="Q35" s="2798"/>
      <c r="R35" s="2911">
        <f>R40+R41+R43</f>
        <v>0</v>
      </c>
      <c r="S35" s="2770"/>
      <c r="T35" s="2770" t="s">
        <v>3006</v>
      </c>
      <c r="U35" s="2770"/>
      <c r="V35" s="2778"/>
    </row>
    <row r="36" spans="1:23" s="2782" customFormat="1" ht="13.15" customHeight="1" thickBot="1">
      <c r="A36" s="2858">
        <v>7</v>
      </c>
      <c r="B36" s="2912" t="s">
        <v>3102</v>
      </c>
      <c r="C36" s="2913"/>
      <c r="D36" s="2914"/>
      <c r="E36" s="2915"/>
      <c r="F36" s="2916">
        <f>C36+D36+E36</f>
        <v>0</v>
      </c>
      <c r="G36" s="2770"/>
      <c r="H36" s="2777"/>
      <c r="I36" s="2778"/>
      <c r="J36" s="3423">
        <v>1</v>
      </c>
      <c r="K36" s="3424" t="s">
        <v>3103</v>
      </c>
      <c r="L36" s="2803"/>
      <c r="M36" s="2804"/>
      <c r="N36" s="2804"/>
      <c r="O36" s="2804"/>
      <c r="P36" s="2804"/>
      <c r="Q36" s="2804"/>
      <c r="R36" s="2787" t="s">
        <v>3015</v>
      </c>
      <c r="S36" s="2770"/>
      <c r="T36" s="2770" t="s">
        <v>3016</v>
      </c>
      <c r="U36" s="2770"/>
      <c r="V36" s="2778"/>
    </row>
    <row r="37" spans="1:23" s="2782" customFormat="1" ht="13.15" customHeight="1">
      <c r="A37" s="2858"/>
      <c r="B37" s="2859"/>
      <c r="C37" s="2859"/>
      <c r="D37" s="2859"/>
      <c r="E37" s="2859"/>
      <c r="F37" s="2863"/>
      <c r="G37" s="2770"/>
      <c r="H37" s="2777"/>
      <c r="I37" s="2778"/>
      <c r="J37" s="3423"/>
      <c r="K37" s="3425"/>
      <c r="L37" s="2812"/>
      <c r="M37" s="2813"/>
      <c r="N37" s="2789"/>
      <c r="O37" s="2814"/>
      <c r="P37" s="2814"/>
      <c r="Q37" s="2815"/>
      <c r="R37" s="2816"/>
      <c r="S37" s="2770"/>
      <c r="T37" s="2770" t="s">
        <v>3019</v>
      </c>
      <c r="U37" s="2770"/>
      <c r="V37" s="2778"/>
    </row>
    <row r="38" spans="1:23" s="2782" customFormat="1" ht="13.15" customHeight="1">
      <c r="A38" s="2858">
        <v>8</v>
      </c>
      <c r="B38" s="2859"/>
      <c r="C38" s="2818" t="e">
        <f>ROUND(C32*(1-((1+C35)/(1+C34))^C36)/(C34-C35),0)</f>
        <v>#DIV/0!</v>
      </c>
      <c r="D38" s="2818">
        <f>IF(D23=0,0,ROUND(D32*(1-((1+D35)/(1+D34))^D36)/(D34-D35),0))</f>
        <v>0</v>
      </c>
      <c r="E38" s="2818">
        <f>IF(E23=0,0,ROUND(E32*(1-((1+E35)/(1+E34))^E36)/(E34-E35),0))</f>
        <v>0</v>
      </c>
      <c r="F38" s="2863"/>
      <c r="G38" s="2770"/>
      <c r="H38" s="2777"/>
      <c r="I38" s="2778"/>
      <c r="J38" s="3423"/>
      <c r="K38" s="3425"/>
      <c r="L38" s="2812"/>
      <c r="M38" s="2813"/>
      <c r="N38" s="2789"/>
      <c r="O38" s="2814"/>
      <c r="P38" s="2814"/>
      <c r="Q38" s="2815"/>
      <c r="R38" s="2816"/>
      <c r="S38" s="2770"/>
      <c r="T38" s="2770" t="s">
        <v>3026</v>
      </c>
      <c r="U38" s="2770"/>
      <c r="V38" s="2778"/>
    </row>
    <row r="39" spans="1:23" s="2782" customFormat="1" ht="13.15" customHeight="1">
      <c r="A39" s="2858">
        <v>9</v>
      </c>
      <c r="B39" s="2859" t="s">
        <v>3104</v>
      </c>
      <c r="C39" s="2826" t="e">
        <f>C38</f>
        <v>#DIV/0!</v>
      </c>
      <c r="D39" s="2859">
        <f>D38/(1+D34)^C36</f>
        <v>0</v>
      </c>
      <c r="E39" s="2859">
        <f>E38/(1+E34)^(C36+D36)</f>
        <v>0</v>
      </c>
      <c r="F39" s="2863"/>
      <c r="G39" s="2778"/>
      <c r="H39" s="2777"/>
      <c r="I39" s="2778"/>
      <c r="J39" s="3423"/>
      <c r="K39" s="3425"/>
      <c r="L39" s="2812"/>
      <c r="M39" s="2813"/>
      <c r="N39" s="2789"/>
      <c r="O39" s="2814"/>
      <c r="P39" s="2814"/>
      <c r="Q39" s="2815"/>
      <c r="R39" s="2816"/>
      <c r="S39" s="2770"/>
      <c r="T39" s="2770"/>
      <c r="U39" s="2770"/>
      <c r="V39" s="2778"/>
    </row>
    <row r="40" spans="1:23" s="2782" customFormat="1" ht="13.15" customHeight="1">
      <c r="A40" s="2917">
        <v>10</v>
      </c>
      <c r="B40" s="2859" t="s">
        <v>3105</v>
      </c>
      <c r="C40" s="2918" t="e">
        <f>C39+D39+E39</f>
        <v>#DIV/0!</v>
      </c>
      <c r="D40" s="2919"/>
      <c r="E40" s="2919"/>
      <c r="F40" s="2920"/>
      <c r="G40" s="2770"/>
      <c r="H40" s="2777"/>
      <c r="I40" s="2778"/>
      <c r="J40" s="3423"/>
      <c r="K40" s="3426"/>
      <c r="L40" s="2832" t="s">
        <v>3044</v>
      </c>
      <c r="M40" s="2833"/>
      <c r="N40" s="2833"/>
      <c r="O40" s="2834"/>
      <c r="P40" s="2834"/>
      <c r="Q40" s="2835"/>
      <c r="R40" s="2781">
        <f>SUM(R37:R39)</f>
        <v>0</v>
      </c>
      <c r="S40" s="2770"/>
      <c r="T40" s="2770"/>
      <c r="U40" s="2770"/>
      <c r="V40" s="2778"/>
    </row>
    <row r="41" spans="1:23" s="2782" customFormat="1" ht="13.15" customHeight="1" thickBot="1">
      <c r="A41" s="2921">
        <v>11</v>
      </c>
      <c r="B41" s="2922" t="s">
        <v>3106</v>
      </c>
      <c r="C41" s="2922" t="e">
        <f>ROUND(C40*10000/B4,0)</f>
        <v>#DIV/0!</v>
      </c>
      <c r="D41" s="2923"/>
      <c r="E41" s="2923"/>
      <c r="F41" s="2924"/>
      <c r="G41" s="2777"/>
      <c r="H41" s="2777"/>
      <c r="I41" s="2778"/>
      <c r="J41" s="2871">
        <v>2</v>
      </c>
      <c r="K41" s="2872" t="s">
        <v>3084</v>
      </c>
      <c r="L41" s="2873"/>
      <c r="M41" s="2873"/>
      <c r="N41" s="2873"/>
      <c r="O41" s="2873"/>
      <c r="P41" s="2874"/>
      <c r="Q41" s="2875"/>
      <c r="R41" s="2848">
        <f>ROUND(R40*Q41,0)</f>
        <v>0</v>
      </c>
      <c r="S41" s="2770"/>
      <c r="T41" s="2770"/>
      <c r="U41" s="2821"/>
      <c r="V41" s="2778"/>
    </row>
    <row r="42" spans="1:23" s="2782" customFormat="1" ht="13.15" customHeight="1">
      <c r="G42" s="2777"/>
      <c r="H42" s="2777"/>
      <c r="I42" s="2778"/>
      <c r="J42" s="3427">
        <v>3</v>
      </c>
      <c r="K42" s="2878" t="s">
        <v>3086</v>
      </c>
      <c r="L42" s="2879"/>
      <c r="M42" s="2880"/>
      <c r="N42" s="2881" t="s">
        <v>3087</v>
      </c>
      <c r="O42" s="2881" t="s">
        <v>3088</v>
      </c>
      <c r="P42" s="2882" t="s">
        <v>3089</v>
      </c>
      <c r="Q42" s="2882" t="s">
        <v>3090</v>
      </c>
      <c r="R42" s="2787" t="s">
        <v>3015</v>
      </c>
      <c r="S42" s="2821"/>
      <c r="T42" s="2821"/>
      <c r="U42" s="2770"/>
      <c r="V42" s="2778"/>
    </row>
    <row r="43" spans="1:23" ht="13.15" customHeight="1">
      <c r="A43" s="2782"/>
      <c r="B43" s="2782"/>
      <c r="C43" s="2782"/>
      <c r="D43" s="2782"/>
      <c r="E43" s="2782"/>
      <c r="F43" s="2782"/>
      <c r="I43" s="2765"/>
      <c r="J43" s="3428"/>
      <c r="K43" s="2885"/>
      <c r="L43" s="2886"/>
      <c r="M43" s="2887"/>
      <c r="N43" s="2813"/>
      <c r="O43" s="2813"/>
      <c r="P43" s="2813"/>
      <c r="Q43" s="2875"/>
      <c r="R43" s="2848">
        <f>ROUND(O43*N43*P43*(1-Q43)/10000,0)</f>
        <v>0</v>
      </c>
      <c r="S43" s="2770"/>
      <c r="T43" s="2770"/>
      <c r="V43" s="2925"/>
      <c r="W43" s="2926"/>
    </row>
    <row r="44" spans="1:23" ht="13.15" customHeight="1" thickBot="1">
      <c r="J44" s="2890">
        <v>6</v>
      </c>
      <c r="K44" s="2891" t="s">
        <v>3093</v>
      </c>
      <c r="L44" s="2927" t="s">
        <v>3094</v>
      </c>
      <c r="M44" s="2893"/>
      <c r="N44" s="2927" t="s">
        <v>3095</v>
      </c>
      <c r="O44" s="2893"/>
      <c r="P44" s="2927" t="s">
        <v>3096</v>
      </c>
      <c r="Q44" s="2895">
        <v>1.4999999999999999E-2</v>
      </c>
      <c r="R44" s="28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0" customWidth="1"/>
    <col min="2" max="16384" width="9" style="650"/>
  </cols>
  <sheetData>
    <row r="1" spans="1:1" ht="23.25">
      <c r="A1" s="1525" t="s">
        <v>1515</v>
      </c>
    </row>
    <row r="3" spans="1:1" ht="18">
      <c r="A3" s="1526" t="str">
        <f>项目基本情况!B5&amp;"："</f>
        <v>：</v>
      </c>
    </row>
    <row r="4" spans="1:1" ht="18">
      <c r="A4" s="1527" t="str">
        <f>"受贵公司委托，我公司对"&amp;项目基本情况!S1&amp;"进行了预评估。"</f>
        <v>受贵公司委托，我公司对北京市房地产抵押价值进行了预评估。</v>
      </c>
    </row>
    <row r="5" spans="1:1" ht="18.75">
      <c r="A5" s="1528" t="s">
        <v>1516</v>
      </c>
    </row>
    <row r="6" spans="1:1" ht="18.75">
      <c r="A6" s="1529" t="s">
        <v>1517</v>
      </c>
    </row>
    <row r="7" spans="1:1" ht="54">
      <c r="A7" s="1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估价对象为北京市房地产，为所有。根据《国有土地使用证》[]，估价对象（分摊）出让国有建设用地使用权面积为0平方米，建筑面积为69.52平方米。</v>
      </c>
    </row>
    <row r="8" spans="1:1" ht="57.75">
      <c r="A8" s="1530" t="s">
        <v>1518</v>
      </c>
    </row>
    <row r="9" spans="1:1" ht="18.75">
      <c r="A9" s="1529" t="s">
        <v>1519</v>
      </c>
    </row>
    <row r="10" spans="1:1" ht="54">
      <c r="A10" s="1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估价对象为北京市房地产,属开发建设的办公项目，该项目尚在开发建设中。根据《国有土地使用证》[]，估价对象（分摊）出让国有建设用地使用权面积为0平方米，规划建筑面积为69.52平方米。</v>
      </c>
    </row>
    <row r="11" spans="1:1" ht="76.5">
      <c r="A11" s="1530" t="s">
        <v>1520</v>
      </c>
    </row>
    <row r="12" spans="1:1" ht="18.75">
      <c r="A12" s="1528" t="s">
        <v>1521</v>
      </c>
    </row>
    <row r="13" spans="1:1" ht="38.25" customHeight="1">
      <c r="A13" s="15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526" t="s">
        <v>1522</v>
      </c>
    </row>
    <row r="15" spans="1:1" ht="18">
      <c r="A15" s="1531" t="str">
        <f>TEXT(项目基本情况!D3,"yyyy年m月d日;;")&amp;IF(项目基本情况!D3=项目基本情况!B3,"（评估专业人员实地查勘之日）","")</f>
        <v>2014年2月15日（评估专业人员实地查勘之日）</v>
      </c>
    </row>
    <row r="16" spans="1:1" ht="18.75">
      <c r="A16" s="1526" t="s">
        <v>1523</v>
      </c>
    </row>
    <row r="17" spans="1:1" ht="75">
      <c r="A17" s="1527" t="s">
        <v>1524</v>
      </c>
    </row>
    <row r="18" spans="1:1" ht="72">
      <c r="A18" s="15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2014年2月15日，估价对象规划用途为，土地取得方式为出让，出让国有建设用地使用权剩余土地使用年限为48.5，假定未设立法定优先受偿款下的房地产市场价值。</v>
      </c>
    </row>
    <row r="19" spans="1:1" ht="157.5" customHeight="1">
      <c r="A19" s="15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48.5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26" t="s">
        <v>1513</v>
      </c>
    </row>
    <row r="24" spans="1:1" ht="18">
      <c r="A24" s="1532" t="str">
        <f>"本次评估采用的主估价方法为"&amp;结果表!K4&amp;"和"&amp;结果表!L4&amp;"。"</f>
        <v>本次评估采用的主估价方法为比较法和成本法。</v>
      </c>
    </row>
    <row r="25" spans="1:1" ht="18">
      <c r="A25" s="1532"/>
    </row>
    <row r="26" spans="1:1" ht="18.75">
      <c r="A26" s="1533"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650" customWidth="1"/>
    <col min="2" max="2" width="12" style="650" customWidth="1"/>
    <col min="3" max="3" width="9" style="650"/>
    <col min="4" max="4" width="14.125" style="650" customWidth="1"/>
    <col min="5" max="5" width="9" style="650"/>
    <col min="6" max="6" width="12.875" style="650" customWidth="1"/>
    <col min="7" max="16384" width="9" style="650"/>
  </cols>
  <sheetData>
    <row r="1" spans="1:22" ht="21">
      <c r="A1" s="1869" t="s">
        <v>2281</v>
      </c>
      <c r="B1" s="1870"/>
      <c r="C1" s="1870"/>
      <c r="D1" s="1870"/>
      <c r="E1" s="1871"/>
      <c r="F1" s="2655"/>
      <c r="G1" s="467"/>
      <c r="H1" s="467"/>
      <c r="I1" s="467"/>
      <c r="J1" s="467"/>
      <c r="K1" s="467"/>
      <c r="L1" s="467"/>
      <c r="M1" s="467"/>
      <c r="N1" s="467"/>
      <c r="O1" s="467"/>
      <c r="P1" s="467"/>
      <c r="Q1" s="467"/>
      <c r="R1" s="467"/>
      <c r="S1" s="467"/>
    </row>
    <row r="2" spans="1:22" ht="15.75">
      <c r="A2" s="1872" t="s">
        <v>2082</v>
      </c>
      <c r="B2" s="935" t="e">
        <f ca="1">SUMIF(B6:B13,"&lt;&gt;#ref!",B6:B13)</f>
        <v>#N/A</v>
      </c>
      <c r="C2" s="1873" t="s">
        <v>2274</v>
      </c>
      <c r="D2" s="1874" t="s">
        <v>2275</v>
      </c>
      <c r="E2" s="2565">
        <f>SUM(E6:E13)</f>
        <v>69.52</v>
      </c>
      <c r="F2" s="2655"/>
      <c r="G2" s="467"/>
      <c r="H2" s="467"/>
      <c r="I2" s="467"/>
      <c r="J2" s="467"/>
      <c r="K2" s="467"/>
      <c r="L2" s="467"/>
      <c r="M2" s="467"/>
      <c r="N2" s="467"/>
      <c r="O2" s="467"/>
      <c r="P2" s="467"/>
      <c r="Q2" s="467"/>
      <c r="R2" s="467"/>
      <c r="S2" s="467"/>
    </row>
    <row r="3" spans="1:22" ht="15.75">
      <c r="A3" s="1872" t="s">
        <v>1300</v>
      </c>
      <c r="B3" s="2559" t="e">
        <f ca="1">ROUND(B2*10000/E2,0)</f>
        <v>#N/A</v>
      </c>
      <c r="C3" s="1873" t="s">
        <v>2282</v>
      </c>
      <c r="D3" s="2655"/>
      <c r="E3" s="2658"/>
      <c r="F3" s="2655"/>
      <c r="G3" s="467"/>
      <c r="H3" s="467"/>
      <c r="I3" s="467"/>
      <c r="J3" s="467"/>
      <c r="K3" s="467"/>
      <c r="L3" s="467"/>
      <c r="M3" s="467"/>
      <c r="N3" s="467"/>
      <c r="O3" s="467"/>
      <c r="P3" s="467"/>
      <c r="Q3" s="467"/>
      <c r="R3" s="467"/>
      <c r="S3" s="467"/>
    </row>
    <row r="4" spans="1:22" ht="15.75">
      <c r="A4" s="2659"/>
      <c r="B4" s="2655"/>
      <c r="C4" s="2655"/>
      <c r="D4" s="2655"/>
      <c r="E4" s="2658"/>
      <c r="F4" s="2655"/>
      <c r="G4" s="467"/>
      <c r="H4" s="467"/>
      <c r="I4" s="467"/>
      <c r="J4" s="467"/>
      <c r="K4" s="467"/>
      <c r="L4" s="467"/>
      <c r="M4" s="467"/>
      <c r="N4" s="467"/>
      <c r="O4" s="467"/>
      <c r="P4" s="467"/>
      <c r="Q4" s="467"/>
      <c r="R4" s="467"/>
      <c r="S4" s="467"/>
    </row>
    <row r="5" spans="1:22" ht="15">
      <c r="A5" s="2561" t="s">
        <v>2276</v>
      </c>
      <c r="B5" s="3442" t="s">
        <v>2277</v>
      </c>
      <c r="C5" s="3443"/>
      <c r="D5" s="2656"/>
      <c r="E5" s="1875" t="s">
        <v>2278</v>
      </c>
      <c r="F5" s="134" t="s">
        <v>2279</v>
      </c>
      <c r="G5" s="467"/>
      <c r="H5" s="467"/>
      <c r="I5" s="467"/>
      <c r="J5" s="467"/>
      <c r="K5" s="467"/>
      <c r="L5" s="467"/>
      <c r="M5" s="467"/>
      <c r="N5" s="467"/>
      <c r="O5" s="467"/>
      <c r="P5" s="467"/>
      <c r="Q5" s="467"/>
      <c r="R5" s="467"/>
      <c r="S5" s="467"/>
    </row>
    <row r="6" spans="1:22">
      <c r="A6" s="2562" t="str">
        <f>'数据-取费表'!AN6</f>
        <v>收益法</v>
      </c>
      <c r="B6" s="2560" t="e">
        <f ca="1">IF(F6="是",'数据-取费表'!AO6,0)</f>
        <v>#N/A</v>
      </c>
      <c r="C6" s="1873" t="s">
        <v>2274</v>
      </c>
      <c r="D6" s="2655"/>
      <c r="E6" s="2564">
        <f>IF(OR(A6=0,F6="否"),0,'数据-取费表'!K6+'数据-取费表'!S6)</f>
        <v>69.52</v>
      </c>
      <c r="F6" s="1876" t="s">
        <v>2280</v>
      </c>
      <c r="G6" s="467"/>
      <c r="H6" s="467"/>
      <c r="I6" s="467"/>
      <c r="J6" s="467"/>
      <c r="K6" s="467"/>
      <c r="L6" s="467"/>
      <c r="M6" s="467"/>
      <c r="N6" s="467"/>
      <c r="O6" s="467"/>
      <c r="P6" s="467"/>
      <c r="Q6" s="467"/>
      <c r="R6" s="467"/>
      <c r="S6" s="467"/>
    </row>
    <row r="7" spans="1:22">
      <c r="A7" s="2562">
        <f>'数据-取费表'!AN7</f>
        <v>0</v>
      </c>
      <c r="B7" s="2560" t="e">
        <f ca="1">IF(F7="是",'数据-取费表'!AO7,0)</f>
        <v>#REF!</v>
      </c>
      <c r="C7" s="1873" t="s">
        <v>2274</v>
      </c>
      <c r="D7" s="2655"/>
      <c r="E7" s="2564">
        <f>IF(OR(A7=0,F7="否"),0,'数据-取费表'!K7+'数据-取费表'!S7)</f>
        <v>0</v>
      </c>
      <c r="F7" s="1876" t="s">
        <v>2280</v>
      </c>
      <c r="G7" s="467"/>
      <c r="H7" s="467"/>
      <c r="I7" s="467"/>
      <c r="J7" s="467"/>
      <c r="K7" s="467"/>
      <c r="L7" s="467"/>
      <c r="M7" s="467"/>
      <c r="N7" s="467"/>
      <c r="O7" s="467"/>
      <c r="P7" s="467"/>
      <c r="Q7" s="467"/>
      <c r="R7" s="467"/>
      <c r="S7" s="467"/>
    </row>
    <row r="8" spans="1:22">
      <c r="A8" s="2562">
        <f>'数据-取费表'!AN8</f>
        <v>0</v>
      </c>
      <c r="B8" s="2560" t="e">
        <f ca="1">IF(F8="是",'数据-取费表'!AO8,0)</f>
        <v>#REF!</v>
      </c>
      <c r="C8" s="1873" t="s">
        <v>2274</v>
      </c>
      <c r="D8" s="2655"/>
      <c r="E8" s="2564">
        <f>IF(OR(A8=0,F8="否"),0,'数据-取费表'!K8+'数据-取费表'!S8)</f>
        <v>0</v>
      </c>
      <c r="F8" s="1876" t="s">
        <v>2280</v>
      </c>
      <c r="G8" s="467"/>
      <c r="H8" s="467"/>
      <c r="I8" s="467"/>
      <c r="J8" s="467"/>
      <c r="K8" s="467"/>
      <c r="L8" s="467"/>
      <c r="M8" s="467"/>
      <c r="N8" s="467"/>
      <c r="O8" s="467"/>
      <c r="P8" s="467"/>
      <c r="Q8" s="467"/>
      <c r="R8" s="467"/>
      <c r="S8" s="467"/>
    </row>
    <row r="9" spans="1:22">
      <c r="A9" s="2562">
        <f>'数据-取费表'!AN9</f>
        <v>0</v>
      </c>
      <c r="B9" s="2560" t="e">
        <f ca="1">IF(F9="是",'数据-取费表'!AO9,0)</f>
        <v>#REF!</v>
      </c>
      <c r="C9" s="1873" t="s">
        <v>2274</v>
      </c>
      <c r="D9" s="2655"/>
      <c r="E9" s="2564">
        <f>IF(OR(A9=0,F9="否"),0,'数据-取费表'!K9+'数据-取费表'!S9)</f>
        <v>0</v>
      </c>
      <c r="F9" s="1876" t="s">
        <v>2280</v>
      </c>
      <c r="G9" s="467"/>
      <c r="H9" s="467"/>
      <c r="I9" s="467"/>
      <c r="J9" s="467"/>
      <c r="K9" s="467"/>
      <c r="L9" s="467"/>
      <c r="M9" s="467"/>
      <c r="N9" s="467"/>
      <c r="O9" s="467"/>
      <c r="P9" s="467"/>
      <c r="Q9" s="467"/>
      <c r="R9" s="467"/>
      <c r="S9" s="467"/>
    </row>
    <row r="10" spans="1:22">
      <c r="A10" s="2562">
        <f>'数据-取费表'!AN10</f>
        <v>0</v>
      </c>
      <c r="B10" s="2560" t="e">
        <f ca="1">IF(F10="是",'数据-取费表'!AO10,0)</f>
        <v>#REF!</v>
      </c>
      <c r="C10" s="1873" t="s">
        <v>2274</v>
      </c>
      <c r="D10" s="2655"/>
      <c r="E10" s="2564">
        <f>IF(OR(A10=0,F10="否"),0,'数据-取费表'!K10+'数据-取费表'!S10)</f>
        <v>0</v>
      </c>
      <c r="F10" s="1876" t="s">
        <v>2280</v>
      </c>
      <c r="G10" s="467"/>
      <c r="H10" s="467"/>
      <c r="I10" s="467"/>
      <c r="J10" s="467"/>
      <c r="K10" s="467"/>
      <c r="L10" s="467"/>
      <c r="M10" s="467"/>
      <c r="N10" s="467"/>
      <c r="O10" s="467"/>
      <c r="P10" s="467"/>
      <c r="Q10" s="467"/>
      <c r="R10" s="467"/>
      <c r="S10" s="467"/>
    </row>
    <row r="11" spans="1:22">
      <c r="A11" s="2562">
        <f>'数据-取费表'!AN11</f>
        <v>0</v>
      </c>
      <c r="B11" s="2560" t="e">
        <f ca="1">IF(F11="是",'数据-取费表'!AO11,0)</f>
        <v>#REF!</v>
      </c>
      <c r="C11" s="1873" t="s">
        <v>2274</v>
      </c>
      <c r="D11" s="2655"/>
      <c r="E11" s="2564">
        <f>IF(OR(A11=0,F11="否"),0,'数据-取费表'!K11+'数据-取费表'!S11)</f>
        <v>0</v>
      </c>
      <c r="F11" s="1876" t="s">
        <v>2280</v>
      </c>
      <c r="G11" s="467"/>
      <c r="H11" s="467"/>
      <c r="I11" s="467"/>
      <c r="J11" s="467"/>
      <c r="K11" s="467"/>
      <c r="L11" s="467"/>
      <c r="M11" s="467"/>
      <c r="N11" s="467"/>
      <c r="O11" s="467"/>
      <c r="P11" s="467"/>
      <c r="Q11" s="467"/>
      <c r="R11" s="467"/>
      <c r="S11" s="467"/>
    </row>
    <row r="12" spans="1:22">
      <c r="A12" s="2562">
        <f>'数据-取费表'!AN12</f>
        <v>0</v>
      </c>
      <c r="B12" s="2560" t="e">
        <f ca="1">IF(F12="是",'数据-取费表'!AO12,0)</f>
        <v>#REF!</v>
      </c>
      <c r="C12" s="1873" t="s">
        <v>2274</v>
      </c>
      <c r="D12" s="2655"/>
      <c r="E12" s="2564">
        <f>IF(OR(A12=0,F12="否"),0,'数据-取费表'!K12+'数据-取费表'!S12)</f>
        <v>0</v>
      </c>
      <c r="F12" s="1876" t="s">
        <v>2280</v>
      </c>
      <c r="G12" s="467"/>
      <c r="H12" s="467"/>
      <c r="I12" s="467"/>
      <c r="J12" s="467"/>
      <c r="K12" s="467"/>
      <c r="L12" s="467"/>
      <c r="M12" s="467"/>
      <c r="N12" s="467"/>
      <c r="O12" s="467"/>
      <c r="P12" s="467"/>
      <c r="Q12" s="467"/>
      <c r="R12" s="467"/>
      <c r="S12" s="467"/>
    </row>
    <row r="13" spans="1:22" ht="15" thickBot="1">
      <c r="A13" s="2563">
        <f>'数据-取费表'!AN13</f>
        <v>0</v>
      </c>
      <c r="B13" s="2560" t="e">
        <f ca="1">IF(F13="是",'数据-取费表'!AO13,0)</f>
        <v>#REF!</v>
      </c>
      <c r="C13" s="1877" t="s">
        <v>2274</v>
      </c>
      <c r="D13" s="2657"/>
      <c r="E13" s="2564">
        <f>IF(OR(A13=0,F13="否"),0,'数据-取费表'!K13+'数据-取费表'!S13)</f>
        <v>0</v>
      </c>
      <c r="F13" s="1876" t="s">
        <v>2280</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31" zoomScaleNormal="60" zoomScaleSheetLayoutView="100" workbookViewId="0">
      <selection activeCell="G87" sqref="G87"/>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7.875" style="353" customWidth="1"/>
    <col min="6" max="6" width="12.25" style="353" customWidth="1"/>
    <col min="7" max="7" width="16.625" style="353" customWidth="1"/>
    <col min="8" max="8" width="12.25" style="353" customWidth="1"/>
    <col min="9" max="9" width="16.125" style="353" customWidth="1"/>
    <col min="10" max="10" width="12.25" style="353" customWidth="1"/>
    <col min="11" max="11" width="12.25" style="438" customWidth="1"/>
    <col min="12" max="12" width="12.25" style="439" customWidth="1"/>
    <col min="13" max="15" width="12.25" style="353" customWidth="1"/>
    <col min="16" max="16" width="4.75" style="1911"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878" t="s">
        <v>2284</v>
      </c>
      <c r="C1" s="1287" t="s">
        <v>2285</v>
      </c>
      <c r="D1" s="1274" t="s">
        <v>3310</v>
      </c>
      <c r="E1" s="2317"/>
      <c r="F1" s="1879" t="s">
        <v>3153</v>
      </c>
      <c r="G1" s="1284" t="s">
        <v>2286</v>
      </c>
      <c r="H1" s="1283"/>
      <c r="I1" s="1283"/>
      <c r="J1" s="1283"/>
      <c r="K1" s="1285"/>
      <c r="L1" s="1286"/>
      <c r="M1" s="1287"/>
      <c r="N1" s="1287"/>
      <c r="O1" s="1287"/>
      <c r="P1" s="1880"/>
      <c r="Q1" s="1273"/>
      <c r="R1" s="1273"/>
      <c r="S1" s="1273"/>
      <c r="T1" s="1273"/>
      <c r="U1" s="1273"/>
      <c r="V1" s="1273"/>
      <c r="W1" s="1273"/>
      <c r="X1" s="1273"/>
      <c r="Y1" s="1273"/>
      <c r="Z1" s="1273"/>
      <c r="AA1" s="1273"/>
      <c r="AB1" s="1273"/>
      <c r="AC1" s="1281"/>
    </row>
    <row r="2" spans="1:29" s="344" customFormat="1" ht="28.5" customHeight="1" thickTop="1">
      <c r="A2" s="1270" t="s">
        <v>1299</v>
      </c>
      <c r="B2" s="1212">
        <f>IF(C2="——",ROUND(C49*D3/10000,0),ROUND(C49*D3/10000,0)-D2)</f>
        <v>208</v>
      </c>
      <c r="C2" s="1881" t="s">
        <v>70</v>
      </c>
      <c r="D2" s="1177" t="e">
        <f ca="1">SUMIF(INDIRECT("'"&amp;F2&amp;"'"&amp;"!A:A"),"承租人权益价值",INDIRECT("'"&amp;F2&amp;"'"&amp;"!c:c"))</f>
        <v>#REF!</v>
      </c>
      <c r="E2" s="1882" t="s">
        <v>2287</v>
      </c>
      <c r="F2" s="1883"/>
      <c r="G2" s="977"/>
      <c r="H2" s="977"/>
      <c r="I2" s="977"/>
      <c r="J2" s="977"/>
      <c r="K2" s="1884"/>
      <c r="L2" s="2660"/>
      <c r="M2" s="2661"/>
      <c r="N2" s="2661"/>
      <c r="O2" s="2661"/>
      <c r="P2" s="1885"/>
      <c r="Q2" s="1886"/>
      <c r="R2" s="1886"/>
      <c r="S2" s="1886"/>
      <c r="T2" s="1886"/>
      <c r="U2" s="1886"/>
      <c r="V2" s="1886"/>
      <c r="W2" s="1886"/>
      <c r="X2" s="1886"/>
      <c r="Y2" s="1886"/>
      <c r="Z2" s="1886"/>
      <c r="AA2" s="1886"/>
      <c r="AB2" s="1886"/>
      <c r="AC2" s="1122"/>
    </row>
    <row r="3" spans="1:29" s="344" customFormat="1" ht="28.5" customHeight="1" thickBot="1">
      <c r="A3" s="201" t="s">
        <v>1300</v>
      </c>
      <c r="B3" s="349">
        <f>IF(C2="——",C49,ROUND(B2*10000/D3,0))</f>
        <v>29936</v>
      </c>
      <c r="C3" s="350" t="s">
        <v>2288</v>
      </c>
      <c r="D3" s="349">
        <f>IF(D1="",'数据-汇总表'!E3,SUMIF('数据-汇总表'!$C19:$C33,D1,'数据-汇总表'!$E19:$E33))</f>
        <v>69.52</v>
      </c>
      <c r="E3" s="977"/>
      <c r="F3" s="1887"/>
      <c r="G3" s="977"/>
      <c r="H3" s="977"/>
      <c r="I3" s="977"/>
      <c r="J3" s="977"/>
      <c r="K3" s="1884"/>
      <c r="L3" s="2660"/>
      <c r="M3" s="2661"/>
      <c r="N3" s="2661"/>
      <c r="O3" s="2661"/>
      <c r="P3" s="1885"/>
      <c r="Q3" s="1886"/>
      <c r="R3" s="1886"/>
      <c r="S3" s="1886"/>
      <c r="T3" s="1886"/>
      <c r="U3" s="1886"/>
      <c r="V3" s="1886"/>
      <c r="W3" s="1886"/>
      <c r="X3" s="1886"/>
      <c r="Y3" s="1886"/>
      <c r="Z3" s="1886"/>
      <c r="AA3" s="1886"/>
      <c r="AB3" s="1886"/>
      <c r="AC3" s="1122"/>
    </row>
    <row r="4" spans="1:29" ht="15">
      <c r="A4" s="351" t="s">
        <v>2289</v>
      </c>
      <c r="B4" s="352"/>
      <c r="C4" s="3368" t="s">
        <v>2290</v>
      </c>
      <c r="D4" s="3369"/>
      <c r="E4" s="3370" t="s">
        <v>2291</v>
      </c>
      <c r="F4" s="3371"/>
      <c r="G4" s="3368" t="s">
        <v>2292</v>
      </c>
      <c r="H4" s="3369"/>
      <c r="I4" s="3368" t="s">
        <v>2293</v>
      </c>
      <c r="J4" s="3369"/>
      <c r="K4" s="1888" t="s">
        <v>2294</v>
      </c>
      <c r="L4" s="2662"/>
      <c r="M4" s="2663"/>
      <c r="N4" s="2663"/>
      <c r="O4" s="2663"/>
      <c r="P4" s="3448" t="s">
        <v>2295</v>
      </c>
      <c r="Q4" s="3449"/>
      <c r="R4" s="3452" t="s">
        <v>2291</v>
      </c>
      <c r="S4" s="3453"/>
      <c r="T4" s="3452" t="s">
        <v>2292</v>
      </c>
      <c r="U4" s="3453"/>
      <c r="V4" s="3352" t="s">
        <v>2293</v>
      </c>
      <c r="W4" s="3352"/>
      <c r="X4" s="1409"/>
      <c r="Y4" s="3452" t="s">
        <v>2295</v>
      </c>
      <c r="Z4" s="3453"/>
      <c r="AA4" s="3447" t="s">
        <v>2291</v>
      </c>
      <c r="AB4" s="3447" t="s">
        <v>2292</v>
      </c>
      <c r="AC4" s="3447" t="s">
        <v>2293</v>
      </c>
    </row>
    <row r="5" spans="1:29" ht="15">
      <c r="A5" s="354"/>
      <c r="B5" s="355"/>
      <c r="C5" s="3455" t="s">
        <v>3685</v>
      </c>
      <c r="D5" s="3388"/>
      <c r="E5" s="3454" t="s">
        <v>3684</v>
      </c>
      <c r="F5" s="3399"/>
      <c r="G5" s="3454" t="s">
        <v>3684</v>
      </c>
      <c r="H5" s="3399"/>
      <c r="I5" s="3454" t="s">
        <v>3684</v>
      </c>
      <c r="J5" s="3399"/>
      <c r="K5" s="1889"/>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1889"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f>案例!BG32</f>
        <v>41565</v>
      </c>
      <c r="F7" s="363">
        <f>SUMIF(58:58,YEAR(E7)&amp;"-"&amp;MONTH(E7),59:59)</f>
        <v>100.39999999999998</v>
      </c>
      <c r="G7" s="362">
        <f>案例!BG33</f>
        <v>41568</v>
      </c>
      <c r="H7" s="361">
        <f>SUMIF(58:58,YEAR(G7)&amp;"-"&amp;MONTH(G7),59:59)</f>
        <v>100.39999999999998</v>
      </c>
      <c r="I7" s="362">
        <f>案例!BG34</f>
        <v>41645</v>
      </c>
      <c r="J7" s="361">
        <f>SUMIF(58:58,YEAR(I7)&amp;"-"&amp;MONTH(I7),59:59)</f>
        <v>100.1</v>
      </c>
      <c r="K7" s="1890"/>
      <c r="L7" s="2664"/>
      <c r="M7" s="2613"/>
      <c r="N7" s="2613"/>
      <c r="O7" s="2613"/>
      <c r="P7" s="3391" t="s">
        <v>2303</v>
      </c>
      <c r="Q7" s="3392"/>
      <c r="R7" s="672" t="s">
        <v>23</v>
      </c>
      <c r="S7" s="673">
        <f t="shared" ref="S7:S15" si="0">F7</f>
        <v>100.39999999999998</v>
      </c>
      <c r="T7" s="672" t="s">
        <v>23</v>
      </c>
      <c r="U7" s="673">
        <f t="shared" ref="U7:U15" si="1">H7</f>
        <v>100.39999999999998</v>
      </c>
      <c r="V7" s="672" t="s">
        <v>23</v>
      </c>
      <c r="W7" s="673">
        <f t="shared" ref="W7:W15" si="2">J7</f>
        <v>100.1</v>
      </c>
      <c r="X7" s="674"/>
      <c r="Y7" s="3391" t="s">
        <v>2303</v>
      </c>
      <c r="Z7" s="3390"/>
      <c r="AA7" s="53">
        <f>D7/F7</f>
        <v>0.99601593625498031</v>
      </c>
      <c r="AB7" s="53">
        <f>D7/H7</f>
        <v>0.99601593625498031</v>
      </c>
      <c r="AC7" s="53">
        <f>D7/J7</f>
        <v>0.99900099900099903</v>
      </c>
    </row>
    <row r="8" spans="1:29" s="107" customFormat="1" ht="15.75" thickBot="1">
      <c r="A8" s="358" t="s">
        <v>2304</v>
      </c>
      <c r="B8" s="359"/>
      <c r="C8" s="364" t="s">
        <v>2305</v>
      </c>
      <c r="D8" s="361">
        <v>100</v>
      </c>
      <c r="E8" s="1891" t="s">
        <v>3146</v>
      </c>
      <c r="F8" s="363">
        <f>SUMIF(61:61,E8,62:62)-SUMIF(61:61,C8,62:62)+100</f>
        <v>100</v>
      </c>
      <c r="G8" s="364" t="s">
        <v>3146</v>
      </c>
      <c r="H8" s="361">
        <f>SUMIF(61:61,G8,62:62)-SUMIF(61:61,C8,62:62)+100</f>
        <v>100</v>
      </c>
      <c r="I8" s="1891" t="s">
        <v>3146</v>
      </c>
      <c r="J8" s="361">
        <f>SUMIF(61:61,I8,62:62)-SUMIF(61:61,C8,62:62)+100</f>
        <v>100</v>
      </c>
      <c r="K8" s="1890"/>
      <c r="L8" s="2664"/>
      <c r="M8" s="2613"/>
      <c r="N8" s="2613"/>
      <c r="O8" s="2613"/>
      <c r="P8" s="3391" t="s">
        <v>2306</v>
      </c>
      <c r="Q8" s="3390"/>
      <c r="R8" s="672" t="s">
        <v>23</v>
      </c>
      <c r="S8" s="673">
        <f t="shared" si="0"/>
        <v>100</v>
      </c>
      <c r="T8" s="672" t="s">
        <v>23</v>
      </c>
      <c r="U8" s="673">
        <f t="shared" si="1"/>
        <v>100</v>
      </c>
      <c r="V8" s="672" t="s">
        <v>23</v>
      </c>
      <c r="W8" s="673">
        <f t="shared" si="2"/>
        <v>100</v>
      </c>
      <c r="X8" s="674"/>
      <c r="Y8" s="3391" t="s">
        <v>2306</v>
      </c>
      <c r="Z8" s="3390"/>
      <c r="AA8" s="53">
        <f t="shared" ref="AA8:AA19" si="3">D8/F8</f>
        <v>1</v>
      </c>
      <c r="AB8" s="53">
        <f t="shared" ref="AB8:AB19" si="4">D8/H8</f>
        <v>1</v>
      </c>
      <c r="AC8" s="53">
        <f t="shared" ref="AC8:AC19" si="5">D8/J8</f>
        <v>1</v>
      </c>
    </row>
    <row r="9" spans="1:29" s="107" customFormat="1">
      <c r="A9" s="365" t="s">
        <v>2307</v>
      </c>
      <c r="B9" s="64" t="s">
        <v>2308</v>
      </c>
      <c r="C9" s="3117" t="s">
        <v>3686</v>
      </c>
      <c r="D9" s="63">
        <v>100</v>
      </c>
      <c r="E9" s="367" t="s">
        <v>3310</v>
      </c>
      <c r="F9" s="64">
        <f>SUMIF(63:63,E9,64:64)-SUMIF(63:63,C9,64:64)+100</f>
        <v>100</v>
      </c>
      <c r="G9" s="367" t="s">
        <v>3310</v>
      </c>
      <c r="H9" s="63">
        <f>SUMIF(63:63,G9,64:64)-SUMIF(63:63,C9,64:64)+100</f>
        <v>100</v>
      </c>
      <c r="I9" s="367" t="s">
        <v>3310</v>
      </c>
      <c r="J9" s="63">
        <f>SUMIF(63:63,I9,64:64)-SUMIF(63:63,C9,64:64)+100</f>
        <v>100</v>
      </c>
      <c r="K9" s="1890"/>
      <c r="L9" s="2664"/>
      <c r="M9" s="2613"/>
      <c r="N9" s="2613"/>
      <c r="O9" s="2613"/>
      <c r="P9" s="3350"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1" t="s">
        <v>3687</v>
      </c>
      <c r="D10" s="124">
        <v>100</v>
      </c>
      <c r="E10" s="371" t="s">
        <v>3687</v>
      </c>
      <c r="F10" s="370">
        <f>SUMIF(65:65,E10,66:66)-SUMIF(65:65,C10,66:66)+100</f>
        <v>100</v>
      </c>
      <c r="G10" s="371" t="s">
        <v>3687</v>
      </c>
      <c r="H10" s="124">
        <f>SUMIF(65:65,G10,66:66)-SUMIF(65:65,C10,66:66)+100</f>
        <v>100</v>
      </c>
      <c r="I10" s="371" t="s">
        <v>3687</v>
      </c>
      <c r="J10" s="124">
        <f>SUMIF(65:65,I10,66:66)-SUMIF(65:65,C10,66:66)+100</f>
        <v>100</v>
      </c>
      <c r="K10" s="373"/>
      <c r="L10" s="2665"/>
      <c r="M10" s="2666"/>
      <c r="N10" s="2666"/>
      <c r="O10" s="2666"/>
      <c r="P10" s="3350"/>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375"/>
      <c r="B11" s="370" t="s">
        <v>2312</v>
      </c>
      <c r="C11" s="376">
        <v>2.5</v>
      </c>
      <c r="D11" s="124">
        <v>100</v>
      </c>
      <c r="E11" s="376">
        <v>2.5</v>
      </c>
      <c r="F11" s="370">
        <f>LOOKUP(E11,68:68,69:69)-LOOKUP(C11,68:68,69:69)+100</f>
        <v>100</v>
      </c>
      <c r="G11" s="376">
        <v>2.5</v>
      </c>
      <c r="H11" s="124">
        <f>LOOKUP(G11,68:68,69:69)-LOOKUP(C11,68:68,69:69)+100</f>
        <v>100</v>
      </c>
      <c r="I11" s="376">
        <v>2.5</v>
      </c>
      <c r="J11" s="124">
        <f>LOOKUP(I11,68:68,69:69)-LOOKUP(C11,68:68,69:69)+100</f>
        <v>100</v>
      </c>
      <c r="K11" s="373"/>
      <c r="L11" s="2667"/>
      <c r="M11" s="2663"/>
      <c r="N11" s="2663"/>
      <c r="O11" s="2663"/>
      <c r="P11" s="3350"/>
      <c r="Q11" s="538" t="str">
        <f t="shared" si="6"/>
        <v>容积率</v>
      </c>
      <c r="R11" s="672" t="s">
        <v>21</v>
      </c>
      <c r="S11" s="673">
        <f t="shared" si="0"/>
        <v>100</v>
      </c>
      <c r="T11" s="672" t="s">
        <v>21</v>
      </c>
      <c r="U11" s="673">
        <f t="shared" si="1"/>
        <v>100</v>
      </c>
      <c r="V11" s="672" t="s">
        <v>21</v>
      </c>
      <c r="W11" s="673">
        <f t="shared" si="2"/>
        <v>100</v>
      </c>
      <c r="X11" s="674"/>
      <c r="Y11" s="3225"/>
      <c r="Z11" s="53" t="str">
        <f t="shared" si="7"/>
        <v>容积率</v>
      </c>
      <c r="AA11" s="53">
        <f t="shared" si="3"/>
        <v>1</v>
      </c>
      <c r="AB11" s="53">
        <f t="shared" si="4"/>
        <v>1</v>
      </c>
      <c r="AC11" s="53">
        <f t="shared" si="5"/>
        <v>1</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2"/>
      <c r="L12" s="2664"/>
      <c r="M12" s="2613"/>
      <c r="N12" s="2613"/>
      <c r="O12" s="2613"/>
      <c r="P12" s="3350"/>
      <c r="Q12" s="538">
        <f t="shared" si="6"/>
        <v>111</v>
      </c>
      <c r="R12" s="672" t="s">
        <v>21</v>
      </c>
      <c r="S12" s="673">
        <f t="shared" si="0"/>
        <v>100</v>
      </c>
      <c r="T12" s="672" t="s">
        <v>21</v>
      </c>
      <c r="U12" s="673">
        <f t="shared" si="1"/>
        <v>100</v>
      </c>
      <c r="V12" s="672" t="s">
        <v>21</v>
      </c>
      <c r="W12" s="673">
        <f t="shared" si="2"/>
        <v>100</v>
      </c>
      <c r="X12" s="674"/>
      <c r="Y12" s="3225"/>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2"/>
      <c r="L13" s="2668"/>
      <c r="M13" s="2663"/>
      <c r="N13" s="2663"/>
      <c r="O13" s="2663"/>
      <c r="P13" s="3350"/>
      <c r="Q13" s="538">
        <f t="shared" si="6"/>
        <v>111</v>
      </c>
      <c r="R13" s="672" t="s">
        <v>21</v>
      </c>
      <c r="S13" s="673">
        <f t="shared" si="0"/>
        <v>100</v>
      </c>
      <c r="T13" s="672" t="s">
        <v>21</v>
      </c>
      <c r="U13" s="673">
        <f t="shared" si="1"/>
        <v>100</v>
      </c>
      <c r="V13" s="672" t="s">
        <v>21</v>
      </c>
      <c r="W13" s="673">
        <f t="shared" si="2"/>
        <v>100</v>
      </c>
      <c r="X13" s="674"/>
      <c r="Y13" s="3225"/>
      <c r="Z13" s="53">
        <f t="shared" si="7"/>
        <v>111</v>
      </c>
      <c r="AA13" s="53">
        <f t="shared" si="3"/>
        <v>1</v>
      </c>
      <c r="AB13" s="53">
        <f t="shared" si="4"/>
        <v>1</v>
      </c>
      <c r="AC13" s="53">
        <f t="shared" si="5"/>
        <v>1</v>
      </c>
    </row>
    <row r="14" spans="1:29" ht="15.75" thickBot="1">
      <c r="A14" s="383"/>
      <c r="B14" s="1893">
        <v>111</v>
      </c>
      <c r="C14" s="384"/>
      <c r="D14" s="385">
        <v>100</v>
      </c>
      <c r="E14" s="384"/>
      <c r="F14" s="386">
        <f>SUMIF(74:74,E14,75:75)-SUMIF(74:74,C14,75:75)+100</f>
        <v>100</v>
      </c>
      <c r="G14" s="384"/>
      <c r="H14" s="385">
        <f>SUMIF(74:74,G14,75:75)-SUMIF(74:74,C14,75:75)+100</f>
        <v>100</v>
      </c>
      <c r="I14" s="384"/>
      <c r="J14" s="385">
        <f>SUMIF(74:74,I14,75:75)-SUMIF(74:74,C14,75:75)+100</f>
        <v>100</v>
      </c>
      <c r="K14" s="1892"/>
      <c r="L14" s="2668"/>
      <c r="M14" s="2663"/>
      <c r="N14" s="2663"/>
      <c r="O14" s="2663"/>
      <c r="P14" s="3350"/>
      <c r="Q14" s="538">
        <f t="shared" si="6"/>
        <v>111</v>
      </c>
      <c r="R14" s="672" t="s">
        <v>21</v>
      </c>
      <c r="S14" s="673">
        <f t="shared" si="0"/>
        <v>100</v>
      </c>
      <c r="T14" s="672" t="s">
        <v>21</v>
      </c>
      <c r="U14" s="673">
        <f t="shared" si="1"/>
        <v>100</v>
      </c>
      <c r="V14" s="672" t="s">
        <v>21</v>
      </c>
      <c r="W14" s="673">
        <f t="shared" si="2"/>
        <v>100</v>
      </c>
      <c r="X14" s="674"/>
      <c r="Y14" s="3225"/>
      <c r="Z14" s="53">
        <f t="shared" si="7"/>
        <v>111</v>
      </c>
      <c r="AA14" s="53">
        <f t="shared" si="3"/>
        <v>1</v>
      </c>
      <c r="AB14" s="53">
        <f t="shared" si="4"/>
        <v>1</v>
      </c>
      <c r="AC14" s="53">
        <f t="shared" si="5"/>
        <v>1</v>
      </c>
    </row>
    <row r="15" spans="1:29" ht="85.5">
      <c r="A15" s="387" t="s">
        <v>2313</v>
      </c>
      <c r="B15" s="62" t="s">
        <v>1881</v>
      </c>
      <c r="C15" s="1894" t="str">
        <f>估价对象房地状况!C3</f>
        <v>周边有金榜园、龙博苑、育新花园、沁春家园等住宅小区，居住社区成熟度较好。</v>
      </c>
      <c r="D15" s="388">
        <v>100</v>
      </c>
      <c r="E15" s="3118" t="s">
        <v>3688</v>
      </c>
      <c r="F15" s="388">
        <f>SUMIF(76:76,E16,77:77)-SUMIF(76:76,C16,77:77)+100</f>
        <v>100</v>
      </c>
      <c r="G15" s="3119" t="s">
        <v>3678</v>
      </c>
      <c r="H15" s="388">
        <f>SUMIF(76:76,G16,77:77)-SUMIF(76:76,C16,77:77)+100</f>
        <v>100</v>
      </c>
      <c r="I15" s="3119" t="s">
        <v>3678</v>
      </c>
      <c r="J15" s="388">
        <f>SUMIF(76:76,I16,77:77)-SUMIF(76:76,C16,77:77)+100</f>
        <v>100</v>
      </c>
      <c r="K15" s="392"/>
      <c r="L15" s="2668"/>
      <c r="M15" s="2663"/>
      <c r="N15" s="2663"/>
      <c r="O15" s="2663"/>
      <c r="P15" s="3356" t="s">
        <v>2314</v>
      </c>
      <c r="Q15" s="1407" t="str">
        <f t="shared" si="6"/>
        <v>居住社区成熟度</v>
      </c>
      <c r="R15" s="675" t="s">
        <v>21</v>
      </c>
      <c r="S15" s="676">
        <f t="shared" si="0"/>
        <v>100</v>
      </c>
      <c r="T15" s="675" t="s">
        <v>21</v>
      </c>
      <c r="U15" s="676">
        <f t="shared" si="1"/>
        <v>100</v>
      </c>
      <c r="V15" s="675" t="s">
        <v>21</v>
      </c>
      <c r="W15" s="676">
        <f t="shared" si="2"/>
        <v>100</v>
      </c>
      <c r="X15" s="1409"/>
      <c r="Y15" s="3358" t="s">
        <v>2314</v>
      </c>
      <c r="Z15" s="1408" t="str">
        <f t="shared" si="7"/>
        <v>居住社区成熟度</v>
      </c>
      <c r="AA15" s="1408">
        <f t="shared" si="3"/>
        <v>1</v>
      </c>
      <c r="AB15" s="1408">
        <f t="shared" si="4"/>
        <v>1</v>
      </c>
      <c r="AC15" s="1408">
        <f t="shared" si="5"/>
        <v>1</v>
      </c>
    </row>
    <row r="16" spans="1:29" ht="15">
      <c r="A16" s="375"/>
      <c r="B16" s="393"/>
      <c r="C16" s="394" t="s">
        <v>3216</v>
      </c>
      <c r="D16" s="395"/>
      <c r="E16" s="394" t="s">
        <v>3216</v>
      </c>
      <c r="F16" s="395"/>
      <c r="G16" s="394" t="s">
        <v>3216</v>
      </c>
      <c r="H16" s="397"/>
      <c r="I16" s="394" t="s">
        <v>3216</v>
      </c>
      <c r="J16" s="395"/>
      <c r="K16" s="1897"/>
      <c r="L16" s="2668"/>
      <c r="M16" s="2663"/>
      <c r="N16" s="2663"/>
      <c r="O16" s="2663"/>
      <c r="P16" s="3357"/>
      <c r="Q16" s="1407"/>
      <c r="R16" s="675"/>
      <c r="S16" s="676"/>
      <c r="T16" s="675"/>
      <c r="U16" s="676"/>
      <c r="V16" s="675"/>
      <c r="W16" s="676"/>
      <c r="X16" s="1409"/>
      <c r="Y16" s="3359"/>
      <c r="Z16" s="1408"/>
      <c r="AA16" s="1408">
        <v>1</v>
      </c>
      <c r="AB16" s="1408">
        <v>1</v>
      </c>
      <c r="AC16" s="1408">
        <v>1</v>
      </c>
    </row>
    <row r="17" spans="1:29" ht="85.5">
      <c r="A17" s="375"/>
      <c r="B17" s="398" t="s">
        <v>1883</v>
      </c>
      <c r="C17" s="1898" t="str">
        <f>估价对象房地状况!C6</f>
        <v>周边有315路、607路、629路等多条公交线路及地铁8号线育新站，综合评价交通便捷度较好</v>
      </c>
      <c r="D17" s="397">
        <v>100</v>
      </c>
      <c r="E17" s="3120" t="s">
        <v>3689</v>
      </c>
      <c r="F17" s="397">
        <f>SUMIF(78:78,E18,79:79)-SUMIF(78:78,C18,79:79)+100</f>
        <v>100</v>
      </c>
      <c r="G17" s="3121" t="s">
        <v>3689</v>
      </c>
      <c r="H17" s="402">
        <f>SUMIF(78:78,G18,79:79)-SUMIF(78:78,C18,79:79)+100</f>
        <v>100</v>
      </c>
      <c r="I17" s="3121" t="s">
        <v>3689</v>
      </c>
      <c r="J17" s="402">
        <f>SUMIF(78:78,I18,79:79)-SUMIF(78:78,C18,79:79)+100</f>
        <v>100</v>
      </c>
      <c r="K17" s="392"/>
      <c r="L17" s="2668"/>
      <c r="M17" s="2663"/>
      <c r="N17" s="2663"/>
      <c r="O17" s="2663"/>
      <c r="P17" s="3357"/>
      <c r="Q17" s="1407" t="str">
        <f>B17</f>
        <v>交通便捷度</v>
      </c>
      <c r="R17" s="675" t="s">
        <v>21</v>
      </c>
      <c r="S17" s="676">
        <f>F17</f>
        <v>100</v>
      </c>
      <c r="T17" s="675" t="s">
        <v>21</v>
      </c>
      <c r="U17" s="676">
        <f>H17</f>
        <v>100</v>
      </c>
      <c r="V17" s="675" t="s">
        <v>21</v>
      </c>
      <c r="W17" s="676">
        <f>J17</f>
        <v>100</v>
      </c>
      <c r="X17" s="1409"/>
      <c r="Y17" s="3359"/>
      <c r="Z17" s="1408" t="str">
        <f>Q17</f>
        <v>交通便捷度</v>
      </c>
      <c r="AA17" s="1408">
        <f t="shared" si="3"/>
        <v>1</v>
      </c>
      <c r="AB17" s="1408">
        <f t="shared" si="4"/>
        <v>1</v>
      </c>
      <c r="AC17" s="1408">
        <f t="shared" si="5"/>
        <v>1</v>
      </c>
    </row>
    <row r="18" spans="1:29" ht="15">
      <c r="A18" s="375"/>
      <c r="B18" s="403"/>
      <c r="C18" s="1899" t="s">
        <v>3216</v>
      </c>
      <c r="D18" s="397"/>
      <c r="E18" s="1899" t="s">
        <v>3216</v>
      </c>
      <c r="F18" s="397"/>
      <c r="G18" s="1899" t="s">
        <v>3216</v>
      </c>
      <c r="H18" s="395"/>
      <c r="I18" s="1899" t="s">
        <v>3216</v>
      </c>
      <c r="J18" s="395"/>
      <c r="K18" s="1897"/>
      <c r="L18" s="2668"/>
      <c r="M18" s="2663"/>
      <c r="N18" s="2663"/>
      <c r="O18" s="2663"/>
      <c r="P18" s="3357"/>
      <c r="Q18" s="1407"/>
      <c r="R18" s="675"/>
      <c r="S18" s="676"/>
      <c r="T18" s="675"/>
      <c r="U18" s="676"/>
      <c r="V18" s="675"/>
      <c r="W18" s="676"/>
      <c r="X18" s="1409"/>
      <c r="Y18" s="3359"/>
      <c r="Z18" s="1408"/>
      <c r="AA18" s="1408">
        <v>1</v>
      </c>
      <c r="AB18" s="1408">
        <v>1</v>
      </c>
      <c r="AC18" s="1408">
        <v>1</v>
      </c>
    </row>
    <row r="19" spans="1:29" ht="256.5">
      <c r="A19" s="375"/>
      <c r="B19" s="398" t="s">
        <v>1882</v>
      </c>
      <c r="C19" s="1898" t="str">
        <f>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9" s="402">
        <v>100</v>
      </c>
      <c r="E19" s="3122" t="s">
        <v>3690</v>
      </c>
      <c r="F19" s="402">
        <f>SUMIF(80:80,E20,81:81)-SUMIF(80:80,C20,81:81)+100</f>
        <v>100</v>
      </c>
      <c r="G19" s="3123" t="s">
        <v>3690</v>
      </c>
      <c r="H19" s="397">
        <f>SUMIF(80:80,G20,81:81)-SUMIF(80:80,C20,81:81)+100</f>
        <v>100</v>
      </c>
      <c r="I19" s="3123" t="s">
        <v>3690</v>
      </c>
      <c r="J19" s="397">
        <f>SUMIF(80:80,I20,81:81)-SUMIF(80:80,C20,81:81)+100</f>
        <v>100</v>
      </c>
      <c r="K19" s="392"/>
      <c r="L19" s="2668"/>
      <c r="M19" s="2663"/>
      <c r="N19" s="2663"/>
      <c r="O19" s="2663"/>
      <c r="P19" s="3357"/>
      <c r="Q19" s="1407" t="str">
        <f>B19</f>
        <v>公共配套设施</v>
      </c>
      <c r="R19" s="675" t="s">
        <v>21</v>
      </c>
      <c r="S19" s="676">
        <f>F19</f>
        <v>100</v>
      </c>
      <c r="T19" s="675" t="s">
        <v>21</v>
      </c>
      <c r="U19" s="676">
        <f>H19</f>
        <v>100</v>
      </c>
      <c r="V19" s="675" t="s">
        <v>21</v>
      </c>
      <c r="W19" s="676">
        <f>J19</f>
        <v>100</v>
      </c>
      <c r="X19" s="1409"/>
      <c r="Y19" s="3359"/>
      <c r="Z19" s="1408" t="str">
        <f>Q19</f>
        <v>公共配套设施</v>
      </c>
      <c r="AA19" s="1408">
        <f t="shared" si="3"/>
        <v>1</v>
      </c>
      <c r="AB19" s="1408">
        <f t="shared" si="4"/>
        <v>1</v>
      </c>
      <c r="AC19" s="1408">
        <f t="shared" si="5"/>
        <v>1</v>
      </c>
    </row>
    <row r="20" spans="1:29" ht="15">
      <c r="A20" s="375"/>
      <c r="B20" s="403"/>
      <c r="C20" s="1899" t="s">
        <v>3216</v>
      </c>
      <c r="D20" s="395"/>
      <c r="E20" s="1899" t="s">
        <v>3216</v>
      </c>
      <c r="F20" s="395"/>
      <c r="G20" s="1899" t="s">
        <v>3216</v>
      </c>
      <c r="H20" s="395"/>
      <c r="I20" s="1899" t="s">
        <v>3216</v>
      </c>
      <c r="J20" s="395"/>
      <c r="K20" s="1897"/>
      <c r="L20" s="2668"/>
      <c r="M20" s="2663"/>
      <c r="N20" s="2663"/>
      <c r="O20" s="2663"/>
      <c r="P20" s="3357"/>
      <c r="Q20" s="1407"/>
      <c r="R20" s="675"/>
      <c r="S20" s="676"/>
      <c r="T20" s="675"/>
      <c r="U20" s="676"/>
      <c r="V20" s="675"/>
      <c r="W20" s="676"/>
      <c r="X20" s="1409"/>
      <c r="Y20" s="3359"/>
      <c r="Z20" s="1408"/>
      <c r="AA20" s="1408">
        <v>1</v>
      </c>
      <c r="AB20" s="1408">
        <v>1</v>
      </c>
      <c r="AC20" s="1408">
        <v>1</v>
      </c>
    </row>
    <row r="21" spans="1:29" ht="15">
      <c r="A21" s="375"/>
      <c r="B21" s="594" t="s">
        <v>1884</v>
      </c>
      <c r="C21" s="1898" t="str">
        <f>估价对象房地状况!C8</f>
        <v>七通</v>
      </c>
      <c r="D21" s="397">
        <v>100</v>
      </c>
      <c r="E21" s="3122" t="s">
        <v>3141</v>
      </c>
      <c r="F21" s="402">
        <f>SUMIF(82:82,E22,83:83)-SUMIF(82:82,C22,83:83)+100</f>
        <v>100</v>
      </c>
      <c r="G21" s="3122" t="s">
        <v>3141</v>
      </c>
      <c r="H21" s="397">
        <f>SUMIF(82:82,G22,83:83)-SUMIF(82:82,C22,83:83)+100</f>
        <v>100</v>
      </c>
      <c r="I21" s="3122" t="s">
        <v>3141</v>
      </c>
      <c r="J21" s="397">
        <f>SUMIF(82:82,I22,83:83)-SUMIF(82:82,C22,83:83)+100</f>
        <v>100</v>
      </c>
      <c r="K21" s="392"/>
      <c r="L21" s="2668"/>
      <c r="M21" s="2663"/>
      <c r="N21" s="2663"/>
      <c r="O21" s="2663"/>
      <c r="P21" s="3357"/>
      <c r="Q21" s="1407" t="str">
        <f>B21</f>
        <v>基础设施水平</v>
      </c>
      <c r="R21" s="675" t="s">
        <v>17</v>
      </c>
      <c r="S21" s="676">
        <f>F21</f>
        <v>100</v>
      </c>
      <c r="T21" s="675" t="s">
        <v>17</v>
      </c>
      <c r="U21" s="676">
        <f>H21</f>
        <v>100</v>
      </c>
      <c r="V21" s="675" t="s">
        <v>17</v>
      </c>
      <c r="W21" s="676">
        <f>J21</f>
        <v>100</v>
      </c>
      <c r="X21" s="1409"/>
      <c r="Y21" s="3359"/>
      <c r="Z21" s="1408" t="str">
        <f>Q21</f>
        <v>基础设施水平</v>
      </c>
      <c r="AA21" s="1408">
        <f t="shared" ref="AA21" si="8">D21/F21</f>
        <v>1</v>
      </c>
      <c r="AB21" s="1408">
        <f t="shared" ref="AB21" si="9">D21/H21</f>
        <v>1</v>
      </c>
      <c r="AC21" s="1408">
        <f t="shared" ref="AC21" si="10">D21/J21</f>
        <v>1</v>
      </c>
    </row>
    <row r="22" spans="1:29" ht="15">
      <c r="A22" s="375"/>
      <c r="B22" s="594"/>
      <c r="C22" s="1899" t="s">
        <v>3691</v>
      </c>
      <c r="D22" s="395"/>
      <c r="E22" s="1899" t="s">
        <v>3691</v>
      </c>
      <c r="F22" s="395"/>
      <c r="G22" s="1899" t="s">
        <v>3691</v>
      </c>
      <c r="H22" s="395"/>
      <c r="I22" s="1899" t="s">
        <v>3691</v>
      </c>
      <c r="J22" s="395"/>
      <c r="K22" s="1903"/>
      <c r="L22" s="2668"/>
      <c r="M22" s="2663"/>
      <c r="N22" s="2663"/>
      <c r="O22" s="2663"/>
      <c r="P22" s="3357"/>
      <c r="Q22" s="1407"/>
      <c r="R22" s="675"/>
      <c r="S22" s="676"/>
      <c r="T22" s="675"/>
      <c r="U22" s="676"/>
      <c r="V22" s="675"/>
      <c r="W22" s="676"/>
      <c r="X22" s="1409"/>
      <c r="Y22" s="3359"/>
      <c r="Z22" s="1408"/>
      <c r="AA22" s="1408">
        <v>1</v>
      </c>
      <c r="AB22" s="1408">
        <v>1</v>
      </c>
      <c r="AC22" s="1408">
        <v>1</v>
      </c>
    </row>
    <row r="23" spans="1:29" ht="42.75">
      <c r="A23" s="375"/>
      <c r="B23" s="398" t="s">
        <v>1885</v>
      </c>
      <c r="C23" s="1898" t="str">
        <f>估价对象房地状况!C9</f>
        <v>周边绿化以街区级绿化为主，一般</v>
      </c>
      <c r="D23" s="397">
        <v>100</v>
      </c>
      <c r="E23" s="3124" t="s">
        <v>3693</v>
      </c>
      <c r="F23" s="397">
        <f>SUMIF(84:84,E24,85:85)-SUMIF(84:84,C24,85:85)+100</f>
        <v>100</v>
      </c>
      <c r="G23" s="3125" t="s">
        <v>3693</v>
      </c>
      <c r="H23" s="397">
        <f>SUMIF(84:84,G24,85:85)-SUMIF(84:84,C24,85:85)+100</f>
        <v>100</v>
      </c>
      <c r="I23" s="3125" t="s">
        <v>3693</v>
      </c>
      <c r="J23" s="397">
        <f>SUMIF(84:84,I24,85:85)-SUMIF(84:84,C24,85:85)+100</f>
        <v>100</v>
      </c>
      <c r="K23" s="392"/>
      <c r="L23" s="2668"/>
      <c r="M23" s="2663"/>
      <c r="N23" s="2663"/>
      <c r="O23" s="2663"/>
      <c r="P23" s="3357"/>
      <c r="Q23" s="1407" t="str">
        <f>B23</f>
        <v>自然及人文环境</v>
      </c>
      <c r="R23" s="675" t="s">
        <v>21</v>
      </c>
      <c r="S23" s="676">
        <f>F23</f>
        <v>100</v>
      </c>
      <c r="T23" s="675" t="s">
        <v>21</v>
      </c>
      <c r="U23" s="676">
        <f>H23</f>
        <v>100</v>
      </c>
      <c r="V23" s="675" t="s">
        <v>21</v>
      </c>
      <c r="W23" s="676">
        <f>J23</f>
        <v>100</v>
      </c>
      <c r="X23" s="1409"/>
      <c r="Y23" s="3359"/>
      <c r="Z23" s="1408" t="str">
        <f>Q23</f>
        <v>自然及人文环境</v>
      </c>
      <c r="AA23" s="1408">
        <f>D23/F23</f>
        <v>1</v>
      </c>
      <c r="AB23" s="1408">
        <f>D23/H23</f>
        <v>1</v>
      </c>
      <c r="AC23" s="1408">
        <f>D23/J23</f>
        <v>1</v>
      </c>
    </row>
    <row r="24" spans="1:29" ht="15">
      <c r="A24" s="375"/>
      <c r="B24" s="403"/>
      <c r="C24" s="394" t="s">
        <v>3217</v>
      </c>
      <c r="D24" s="395"/>
      <c r="E24" s="1895" t="s">
        <v>3217</v>
      </c>
      <c r="F24" s="395"/>
      <c r="G24" s="1895" t="s">
        <v>3217</v>
      </c>
      <c r="H24" s="395"/>
      <c r="I24" s="1895" t="s">
        <v>3217</v>
      </c>
      <c r="J24" s="395"/>
      <c r="K24" s="1897"/>
      <c r="L24" s="2668"/>
      <c r="M24" s="2663"/>
      <c r="N24" s="2663"/>
      <c r="O24" s="2663"/>
      <c r="P24" s="3357"/>
      <c r="Q24" s="1407"/>
      <c r="R24" s="675"/>
      <c r="S24" s="676"/>
      <c r="T24" s="675"/>
      <c r="U24" s="676"/>
      <c r="V24" s="675"/>
      <c r="W24" s="676"/>
      <c r="X24" s="1409"/>
      <c r="Y24" s="3359"/>
      <c r="Z24" s="1408"/>
      <c r="AA24" s="1408">
        <v>1</v>
      </c>
      <c r="AB24" s="1408">
        <v>1</v>
      </c>
      <c r="AC24" s="1408">
        <v>1</v>
      </c>
    </row>
    <row r="25" spans="1:29" ht="15">
      <c r="A25" s="375"/>
      <c r="B25" s="370" t="s">
        <v>2315</v>
      </c>
      <c r="C25" s="407" t="s">
        <v>3700</v>
      </c>
      <c r="D25" s="382">
        <v>100</v>
      </c>
      <c r="E25" s="1904" t="s">
        <v>3722</v>
      </c>
      <c r="F25" s="382">
        <f>SUMIF(86:86,E25,87:87)-SUMIF(86:86,C25,87:87)+100</f>
        <v>101</v>
      </c>
      <c r="G25" s="1904" t="s">
        <v>3722</v>
      </c>
      <c r="H25" s="382">
        <f>SUMIF(86:86,G25,87:87)-SUMIF(86:86,C25,87:87)+100</f>
        <v>101</v>
      </c>
      <c r="I25" s="1904" t="s">
        <v>3722</v>
      </c>
      <c r="J25" s="382">
        <f>SUMIF(86:86,I25,87:87)-SUMIF(86:86,C25,87:87)+100</f>
        <v>101</v>
      </c>
      <c r="K25" s="373"/>
      <c r="L25" s="2668"/>
      <c r="M25" s="2663"/>
      <c r="N25" s="2663"/>
      <c r="O25" s="2663"/>
      <c r="P25" s="3357"/>
      <c r="Q25" s="1407" t="str">
        <f t="shared" ref="Q25:Q46" si="11">B25</f>
        <v>楼层-1</v>
      </c>
      <c r="R25" s="675" t="s">
        <v>21</v>
      </c>
      <c r="S25" s="676">
        <f t="shared" ref="S25:S46" si="12">F25</f>
        <v>101</v>
      </c>
      <c r="T25" s="675" t="s">
        <v>21</v>
      </c>
      <c r="U25" s="676">
        <f t="shared" ref="U25:U46" si="13">H25</f>
        <v>101</v>
      </c>
      <c r="V25" s="675" t="s">
        <v>21</v>
      </c>
      <c r="W25" s="676">
        <f t="shared" ref="W25:W46" si="14">J25</f>
        <v>101</v>
      </c>
      <c r="X25" s="1409"/>
      <c r="Y25" s="3359"/>
      <c r="Z25" s="1408" t="str">
        <f>Q25</f>
        <v>楼层-1</v>
      </c>
      <c r="AA25" s="1408">
        <f t="shared" ref="AA25:AA46" si="15">D25/F25</f>
        <v>0.99009900990099009</v>
      </c>
      <c r="AB25" s="1408">
        <f t="shared" ref="AB25:AB46" si="16">D25/H25</f>
        <v>0.99009900990099009</v>
      </c>
      <c r="AC25" s="1408">
        <f t="shared" ref="AC25:AC46" si="17">D25/J25</f>
        <v>0.99009900990099009</v>
      </c>
    </row>
    <row r="26" spans="1:29" ht="15">
      <c r="A26" s="375"/>
      <c r="B26" s="370" t="s">
        <v>2316</v>
      </c>
      <c r="C26" s="407" t="s">
        <v>3575</v>
      </c>
      <c r="D26" s="382">
        <v>100</v>
      </c>
      <c r="E26" s="407" t="s">
        <v>3575</v>
      </c>
      <c r="F26" s="382">
        <f>SUMIF(88:88,E26,89:89)-SUMIF(88:88,C26,89:89)+100</f>
        <v>100</v>
      </c>
      <c r="G26" s="407" t="s">
        <v>3575</v>
      </c>
      <c r="H26" s="382">
        <f>SUMIF(88:88,G26,89:89)-SUMIF(88:88,C26,89:89)+100</f>
        <v>100</v>
      </c>
      <c r="I26" s="407" t="s">
        <v>3575</v>
      </c>
      <c r="J26" s="382">
        <f>SUMIF(88:88,I26,89:89)-SUMIF(88:88,C26,89:89)+100</f>
        <v>100</v>
      </c>
      <c r="K26" s="373">
        <v>1</v>
      </c>
      <c r="L26" s="2668"/>
      <c r="M26" s="2663"/>
      <c r="N26" s="2663"/>
      <c r="O26" s="2663"/>
      <c r="P26" s="3357"/>
      <c r="Q26" s="1407" t="str">
        <f t="shared" si="11"/>
        <v>朝向</v>
      </c>
      <c r="R26" s="675" t="s">
        <v>21</v>
      </c>
      <c r="S26" s="676">
        <f t="shared" si="12"/>
        <v>100</v>
      </c>
      <c r="T26" s="675" t="s">
        <v>21</v>
      </c>
      <c r="U26" s="676">
        <f t="shared" si="13"/>
        <v>100</v>
      </c>
      <c r="V26" s="675" t="s">
        <v>21</v>
      </c>
      <c r="W26" s="676">
        <f t="shared" si="14"/>
        <v>100</v>
      </c>
      <c r="X26" s="1409"/>
      <c r="Y26" s="3359"/>
      <c r="Z26" s="1408" t="str">
        <f>Q26</f>
        <v>朝向</v>
      </c>
      <c r="AA26" s="1408">
        <f t="shared" si="15"/>
        <v>1</v>
      </c>
      <c r="AB26" s="1408">
        <f t="shared" si="16"/>
        <v>1</v>
      </c>
      <c r="AC26" s="1408">
        <f t="shared" si="17"/>
        <v>1</v>
      </c>
    </row>
    <row r="27" spans="1:29" s="107" customFormat="1" ht="15">
      <c r="A27" s="378"/>
      <c r="B27" s="1193">
        <v>111</v>
      </c>
      <c r="C27" s="379"/>
      <c r="D27" s="409">
        <v>100</v>
      </c>
      <c r="E27" s="411"/>
      <c r="F27" s="409">
        <f>SUMIF(90:90,E27,91:91)-SUMIF(90:90,C27,91:91)+100</f>
        <v>100</v>
      </c>
      <c r="G27" s="410"/>
      <c r="H27" s="409">
        <f>SUMIF(90:90,G27,91:91)-SUMIF(90:90,C27,91:91)+100</f>
        <v>100</v>
      </c>
      <c r="I27" s="410"/>
      <c r="J27" s="409">
        <f>SUMIF(90:90,I27,91:91)-SUMIF(90:90,C27,91:91)+100</f>
        <v>100</v>
      </c>
      <c r="K27" s="1892"/>
      <c r="L27" s="2664"/>
      <c r="M27" s="2613"/>
      <c r="N27" s="2613"/>
      <c r="O27" s="2613"/>
      <c r="P27" s="3357"/>
      <c r="Q27" s="538">
        <f t="shared" si="11"/>
        <v>111</v>
      </c>
      <c r="R27" s="672" t="s">
        <v>21</v>
      </c>
      <c r="S27" s="673">
        <f t="shared" si="12"/>
        <v>100</v>
      </c>
      <c r="T27" s="672" t="s">
        <v>21</v>
      </c>
      <c r="U27" s="673">
        <f t="shared" si="13"/>
        <v>100</v>
      </c>
      <c r="V27" s="672" t="s">
        <v>21</v>
      </c>
      <c r="W27" s="673">
        <f t="shared" si="14"/>
        <v>100</v>
      </c>
      <c r="X27" s="674"/>
      <c r="Y27" s="3359"/>
      <c r="Z27" s="53">
        <f>Q27</f>
        <v>111</v>
      </c>
      <c r="AA27" s="1408">
        <f t="shared" si="15"/>
        <v>1</v>
      </c>
      <c r="AB27" s="1408">
        <f t="shared" si="16"/>
        <v>1</v>
      </c>
      <c r="AC27" s="1408">
        <f t="shared" si="17"/>
        <v>1</v>
      </c>
    </row>
    <row r="28" spans="1:29" ht="15">
      <c r="A28" s="375"/>
      <c r="B28" s="1193">
        <v>111</v>
      </c>
      <c r="C28" s="381"/>
      <c r="D28" s="382">
        <v>100</v>
      </c>
      <c r="E28" s="381"/>
      <c r="F28" s="382">
        <f>SUMIF(92:92,E28,93:93)-SUMIF(92:92,C28,93:93)+100</f>
        <v>100</v>
      </c>
      <c r="G28" s="1906"/>
      <c r="H28" s="382">
        <f>SUMIF(92:92,G28,93:93)-SUMIF(92:92,C28,93:93)+100</f>
        <v>100</v>
      </c>
      <c r="I28" s="381"/>
      <c r="J28" s="382">
        <f>SUMIF(92:92,I28,93:93)-SUMIF(92:92,C28,93:93)+100</f>
        <v>100</v>
      </c>
      <c r="K28" s="1892"/>
      <c r="L28" s="2668"/>
      <c r="M28" s="2663"/>
      <c r="N28" s="2663"/>
      <c r="O28" s="2663"/>
      <c r="P28" s="3357"/>
      <c r="Q28" s="1407">
        <f t="shared" si="11"/>
        <v>111</v>
      </c>
      <c r="R28" s="675" t="s">
        <v>21</v>
      </c>
      <c r="S28" s="676">
        <f t="shared" si="12"/>
        <v>100</v>
      </c>
      <c r="T28" s="675" t="s">
        <v>21</v>
      </c>
      <c r="U28" s="676">
        <f t="shared" si="13"/>
        <v>100</v>
      </c>
      <c r="V28" s="675" t="s">
        <v>21</v>
      </c>
      <c r="W28" s="676">
        <f t="shared" si="14"/>
        <v>100</v>
      </c>
      <c r="X28" s="1409"/>
      <c r="Y28" s="3359"/>
      <c r="Z28" s="1408">
        <f t="shared" ref="Z28:Z46" si="18">Q28</f>
        <v>111</v>
      </c>
      <c r="AA28" s="1408">
        <f t="shared" si="15"/>
        <v>1</v>
      </c>
      <c r="AB28" s="1408">
        <f t="shared" si="16"/>
        <v>1</v>
      </c>
      <c r="AC28" s="1408">
        <f t="shared" si="17"/>
        <v>1</v>
      </c>
    </row>
    <row r="29" spans="1:29" ht="15">
      <c r="A29" s="375"/>
      <c r="B29" s="1193">
        <v>111</v>
      </c>
      <c r="C29" s="381"/>
      <c r="D29" s="382">
        <v>100</v>
      </c>
      <c r="E29" s="381"/>
      <c r="F29" s="382">
        <f>SUMIF(94:94,E29,95:95)-SUMIF(94:94,C29,95:95)+100</f>
        <v>100</v>
      </c>
      <c r="G29" s="1906"/>
      <c r="H29" s="382">
        <f>SUMIF(94:94,G29,95:95)-SUMIF(94:94,C29,95:95)+100</f>
        <v>100</v>
      </c>
      <c r="I29" s="381"/>
      <c r="J29" s="382">
        <f>SUMIF(94:94,I29,95:95)-SUMIF(94:94,C29,95:95)+100</f>
        <v>100</v>
      </c>
      <c r="K29" s="1892"/>
      <c r="L29" s="2668"/>
      <c r="M29" s="2663"/>
      <c r="N29" s="2663"/>
      <c r="O29" s="2663"/>
      <c r="P29" s="3357"/>
      <c r="Q29" s="1407">
        <f t="shared" si="11"/>
        <v>111</v>
      </c>
      <c r="R29" s="675" t="s">
        <v>21</v>
      </c>
      <c r="S29" s="676">
        <f t="shared" si="12"/>
        <v>100</v>
      </c>
      <c r="T29" s="675" t="s">
        <v>21</v>
      </c>
      <c r="U29" s="676">
        <f t="shared" si="13"/>
        <v>100</v>
      </c>
      <c r="V29" s="675" t="s">
        <v>21</v>
      </c>
      <c r="W29" s="676">
        <f t="shared" si="14"/>
        <v>100</v>
      </c>
      <c r="X29" s="1409"/>
      <c r="Y29" s="3359"/>
      <c r="Z29" s="1408">
        <f t="shared" si="18"/>
        <v>111</v>
      </c>
      <c r="AA29" s="1408">
        <f t="shared" si="15"/>
        <v>1</v>
      </c>
      <c r="AB29" s="1408">
        <f t="shared" si="16"/>
        <v>1</v>
      </c>
      <c r="AC29" s="1408">
        <f t="shared" si="17"/>
        <v>1</v>
      </c>
    </row>
    <row r="30" spans="1:29" ht="15">
      <c r="A30" s="375"/>
      <c r="B30" s="1193">
        <v>111</v>
      </c>
      <c r="C30" s="381"/>
      <c r="D30" s="382">
        <v>100</v>
      </c>
      <c r="E30" s="381"/>
      <c r="F30" s="382">
        <f>SUMIF(96:96,E30,97:97)-SUMIF(96:96,C30,97:97)+100</f>
        <v>100</v>
      </c>
      <c r="G30" s="1906"/>
      <c r="H30" s="382">
        <f>SUMIF(96:96,G30,97:97)-SUMIF(96:96,C30,97:97)+100</f>
        <v>100</v>
      </c>
      <c r="I30" s="381"/>
      <c r="J30" s="382">
        <f>SUMIF(96:96,I30,97:97)-SUMIF(96:96,C30,97:97)+100</f>
        <v>100</v>
      </c>
      <c r="K30" s="1892"/>
      <c r="L30" s="2668"/>
      <c r="M30" s="2663"/>
      <c r="N30" s="2663"/>
      <c r="O30" s="2663"/>
      <c r="P30" s="3357"/>
      <c r="Q30" s="1407">
        <f t="shared" si="11"/>
        <v>111</v>
      </c>
      <c r="R30" s="675" t="s">
        <v>21</v>
      </c>
      <c r="S30" s="676">
        <f t="shared" si="12"/>
        <v>100</v>
      </c>
      <c r="T30" s="675" t="s">
        <v>21</v>
      </c>
      <c r="U30" s="676">
        <f t="shared" si="13"/>
        <v>100</v>
      </c>
      <c r="V30" s="675" t="s">
        <v>21</v>
      </c>
      <c r="W30" s="676">
        <f t="shared" si="14"/>
        <v>100</v>
      </c>
      <c r="X30" s="1409"/>
      <c r="Y30" s="3359"/>
      <c r="Z30" s="1408">
        <f t="shared" si="18"/>
        <v>111</v>
      </c>
      <c r="AA30" s="1408">
        <f t="shared" si="15"/>
        <v>1</v>
      </c>
      <c r="AB30" s="1408">
        <f t="shared" si="16"/>
        <v>1</v>
      </c>
      <c r="AC30" s="1408">
        <f t="shared" si="17"/>
        <v>1</v>
      </c>
    </row>
    <row r="31" spans="1:29" ht="15.75" thickBot="1">
      <c r="A31" s="383"/>
      <c r="B31" s="1193">
        <v>111</v>
      </c>
      <c r="C31" s="384"/>
      <c r="D31" s="385">
        <v>100</v>
      </c>
      <c r="E31" s="384"/>
      <c r="F31" s="385">
        <f>SUMIF(98:98,E31,99:99)-SUMIF(98:98,C31,99:99)+100</f>
        <v>100</v>
      </c>
      <c r="G31" s="1907"/>
      <c r="H31" s="385">
        <f>SUMIF(98:98,G31,99:99)-SUMIF(98:98,C31,99:99)+100</f>
        <v>100</v>
      </c>
      <c r="I31" s="384"/>
      <c r="J31" s="385">
        <f>SUMIF(98:98,I31,99:99)-SUMIF(98:98,C31,99:99)+100</f>
        <v>100</v>
      </c>
      <c r="K31" s="1892"/>
      <c r="L31" s="2668"/>
      <c r="M31" s="2663"/>
      <c r="N31" s="2663"/>
      <c r="O31" s="2663"/>
      <c r="P31" s="3357"/>
      <c r="Q31" s="1407">
        <f t="shared" si="11"/>
        <v>111</v>
      </c>
      <c r="R31" s="675" t="s">
        <v>21</v>
      </c>
      <c r="S31" s="676">
        <f t="shared" si="12"/>
        <v>100</v>
      </c>
      <c r="T31" s="675" t="s">
        <v>21</v>
      </c>
      <c r="U31" s="676">
        <f t="shared" si="13"/>
        <v>100</v>
      </c>
      <c r="V31" s="675" t="s">
        <v>21</v>
      </c>
      <c r="W31" s="676">
        <f t="shared" si="14"/>
        <v>100</v>
      </c>
      <c r="X31" s="1409"/>
      <c r="Y31" s="3359"/>
      <c r="Z31" s="1408">
        <f t="shared" si="18"/>
        <v>111</v>
      </c>
      <c r="AA31" s="1408">
        <f t="shared" si="15"/>
        <v>1</v>
      </c>
      <c r="AB31" s="1408">
        <f t="shared" si="16"/>
        <v>1</v>
      </c>
      <c r="AC31" s="1408">
        <f t="shared" si="17"/>
        <v>1</v>
      </c>
    </row>
    <row r="32" spans="1:29" ht="15">
      <c r="A32" s="387" t="s">
        <v>2317</v>
      </c>
      <c r="B32" s="64" t="s">
        <v>2318</v>
      </c>
      <c r="C32" s="1908" t="s">
        <v>3569</v>
      </c>
      <c r="D32" s="413">
        <v>100</v>
      </c>
      <c r="E32" s="1908" t="s">
        <v>3569</v>
      </c>
      <c r="F32" s="408">
        <f>SUMIF(100:100,E32,101:101)-SUMIF(100:100,C32,101:101)+100</f>
        <v>100</v>
      </c>
      <c r="G32" s="1908" t="s">
        <v>3569</v>
      </c>
      <c r="H32" s="413">
        <f>SUMIF(100:100,G32,101:101)-SUMIF(100:100,C32,101:101)+100</f>
        <v>100</v>
      </c>
      <c r="I32" s="1908" t="s">
        <v>3569</v>
      </c>
      <c r="J32" s="382">
        <f>SUMIF(100:100,I32,101:101)-SUMIF(100:100,C32,101:101)+100</f>
        <v>100</v>
      </c>
      <c r="K32" s="373"/>
      <c r="L32" s="2668"/>
      <c r="M32" s="2663"/>
      <c r="N32" s="2663"/>
      <c r="O32" s="2663"/>
      <c r="P32" s="3360" t="s">
        <v>2319</v>
      </c>
      <c r="Q32" s="1407" t="str">
        <f t="shared" si="11"/>
        <v>建筑类型</v>
      </c>
      <c r="R32" s="675" t="s">
        <v>21</v>
      </c>
      <c r="S32" s="676">
        <f t="shared" si="12"/>
        <v>100</v>
      </c>
      <c r="T32" s="675" t="s">
        <v>21</v>
      </c>
      <c r="U32" s="676">
        <f t="shared" si="13"/>
        <v>100</v>
      </c>
      <c r="V32" s="675" t="s">
        <v>21</v>
      </c>
      <c r="W32" s="676">
        <f t="shared" si="14"/>
        <v>100</v>
      </c>
      <c r="X32" s="1409"/>
      <c r="Y32" s="3363" t="s">
        <v>2319</v>
      </c>
      <c r="Z32" s="1408" t="str">
        <f t="shared" si="18"/>
        <v>建筑类型</v>
      </c>
      <c r="AA32" s="1408">
        <f t="shared" si="15"/>
        <v>1</v>
      </c>
      <c r="AB32" s="1408">
        <f t="shared" si="16"/>
        <v>1</v>
      </c>
      <c r="AC32" s="1408">
        <f t="shared" si="17"/>
        <v>1</v>
      </c>
    </row>
    <row r="33" spans="1:29" s="416" customFormat="1" ht="15">
      <c r="A33" s="414"/>
      <c r="B33" s="370" t="s">
        <v>2320</v>
      </c>
      <c r="C33" s="415">
        <f>'数据-基础表'!I13</f>
        <v>69.52</v>
      </c>
      <c r="D33" s="124">
        <v>100</v>
      </c>
      <c r="E33" s="377">
        <f>案例!$L$32</f>
        <v>69.52</v>
      </c>
      <c r="F33" s="370">
        <f>LOOKUP(E33,103:103,104:104)-LOOKUP(C33,103:103,104:104)+100</f>
        <v>100</v>
      </c>
      <c r="G33" s="376">
        <f>案例!$L$33</f>
        <v>69.77</v>
      </c>
      <c r="H33" s="124">
        <f>LOOKUP(G33,103:103,104:104)-LOOKUP(C33,103:103,104:104)+100</f>
        <v>100</v>
      </c>
      <c r="I33" s="377">
        <f>案例!$L$34</f>
        <v>85.98</v>
      </c>
      <c r="J33" s="124">
        <f>H104</f>
        <v>98</v>
      </c>
      <c r="K33" s="1892"/>
      <c r="L33" s="2667"/>
      <c r="M33" s="2669"/>
      <c r="N33" s="2669"/>
      <c r="O33" s="2669"/>
      <c r="P33" s="3361"/>
      <c r="Q33" s="539" t="str">
        <f t="shared" si="11"/>
        <v>项目建筑规模</v>
      </c>
      <c r="R33" s="677" t="s">
        <v>21</v>
      </c>
      <c r="S33" s="678">
        <f t="shared" si="12"/>
        <v>100</v>
      </c>
      <c r="T33" s="677" t="s">
        <v>21</v>
      </c>
      <c r="U33" s="678">
        <f t="shared" si="13"/>
        <v>100</v>
      </c>
      <c r="V33" s="677" t="s">
        <v>21</v>
      </c>
      <c r="W33" s="678">
        <f t="shared" si="14"/>
        <v>98</v>
      </c>
      <c r="X33" s="679"/>
      <c r="Y33" s="3363"/>
      <c r="Z33" s="680" t="str">
        <f t="shared" si="18"/>
        <v>项目建筑规模</v>
      </c>
      <c r="AA33" s="1408">
        <f t="shared" si="15"/>
        <v>1</v>
      </c>
      <c r="AB33" s="1408">
        <f t="shared" si="16"/>
        <v>1</v>
      </c>
      <c r="AC33" s="1408">
        <f t="shared" si="17"/>
        <v>1.0204081632653061</v>
      </c>
    </row>
    <row r="34" spans="1:29" ht="15">
      <c r="A34" s="417"/>
      <c r="B34" s="370" t="s">
        <v>2321</v>
      </c>
      <c r="C34" s="407" t="s">
        <v>3718</v>
      </c>
      <c r="D34" s="382">
        <v>100</v>
      </c>
      <c r="E34" s="407" t="s">
        <v>3718</v>
      </c>
      <c r="F34" s="408">
        <f>SUMIF(105:105,E34,106:106)-SUMIF(105:105,C34,106:106)+100</f>
        <v>100</v>
      </c>
      <c r="G34" s="407" t="s">
        <v>3718</v>
      </c>
      <c r="H34" s="382">
        <f>SUMIF(105:105,G34,106:106)-SUMIF(105:105,C34,106:106)+100</f>
        <v>100</v>
      </c>
      <c r="I34" s="407" t="s">
        <v>3718</v>
      </c>
      <c r="J34" s="382">
        <f>SUMIF(105:105,I34,106:106)-SUMIF(105:105,C34,106:106)+100</f>
        <v>100</v>
      </c>
      <c r="K34" s="373"/>
      <c r="L34" s="2668"/>
      <c r="M34" s="2663"/>
      <c r="N34" s="2663"/>
      <c r="O34" s="2663"/>
      <c r="P34" s="3361"/>
      <c r="Q34" s="1407" t="str">
        <f t="shared" si="11"/>
        <v>建筑结构</v>
      </c>
      <c r="R34" s="675" t="s">
        <v>21</v>
      </c>
      <c r="S34" s="676">
        <f t="shared" si="12"/>
        <v>100</v>
      </c>
      <c r="T34" s="675" t="s">
        <v>21</v>
      </c>
      <c r="U34" s="676">
        <f t="shared" si="13"/>
        <v>100</v>
      </c>
      <c r="V34" s="675" t="s">
        <v>21</v>
      </c>
      <c r="W34" s="676">
        <f t="shared" si="14"/>
        <v>100</v>
      </c>
      <c r="X34" s="1409"/>
      <c r="Y34" s="3363"/>
      <c r="Z34" s="1408" t="str">
        <f t="shared" si="18"/>
        <v>建筑结构</v>
      </c>
      <c r="AA34" s="1408">
        <f t="shared" si="15"/>
        <v>1</v>
      </c>
      <c r="AB34" s="1408">
        <f t="shared" si="16"/>
        <v>1</v>
      </c>
      <c r="AC34" s="1408">
        <f t="shared" si="17"/>
        <v>1</v>
      </c>
    </row>
    <row r="35" spans="1:29" ht="15">
      <c r="A35" s="417"/>
      <c r="B35" s="370" t="s">
        <v>2322</v>
      </c>
      <c r="C35" s="1904"/>
      <c r="D35" s="382">
        <v>100</v>
      </c>
      <c r="E35" s="1905"/>
      <c r="F35" s="408">
        <f>SUMIF(107:107,E35,108:108)-SUMIF(107:107,C35,108:108)+100</f>
        <v>100</v>
      </c>
      <c r="G35" s="1904"/>
      <c r="H35" s="382">
        <f>SUMIF(107:107,G35,108:108)-SUMIF(107:107,C35,108:108)+100</f>
        <v>100</v>
      </c>
      <c r="I35" s="1905"/>
      <c r="J35" s="382">
        <f>SUMIF(107:107,I35,108:108)-SUMIF(107:107,C35,108:108)+100</f>
        <v>100</v>
      </c>
      <c r="K35" s="373"/>
      <c r="L35" s="2668"/>
      <c r="M35" s="2663"/>
      <c r="N35" s="2663"/>
      <c r="O35" s="2663"/>
      <c r="P35" s="3361"/>
      <c r="Q35" s="1407" t="str">
        <f t="shared" si="11"/>
        <v>建筑品质</v>
      </c>
      <c r="R35" s="675" t="s">
        <v>21</v>
      </c>
      <c r="S35" s="676">
        <f t="shared" si="12"/>
        <v>100</v>
      </c>
      <c r="T35" s="675" t="s">
        <v>21</v>
      </c>
      <c r="U35" s="676">
        <f t="shared" si="13"/>
        <v>100</v>
      </c>
      <c r="V35" s="675" t="s">
        <v>21</v>
      </c>
      <c r="W35" s="676">
        <f t="shared" si="14"/>
        <v>100</v>
      </c>
      <c r="X35" s="1409"/>
      <c r="Y35" s="3363"/>
      <c r="Z35" s="1408" t="str">
        <f t="shared" si="18"/>
        <v>建筑品质</v>
      </c>
      <c r="AA35" s="1408">
        <f t="shared" si="15"/>
        <v>1</v>
      </c>
      <c r="AB35" s="1408">
        <f t="shared" si="16"/>
        <v>1</v>
      </c>
      <c r="AC35" s="1408">
        <f t="shared" si="17"/>
        <v>1</v>
      </c>
    </row>
    <row r="36" spans="1:29" ht="15">
      <c r="A36" s="417"/>
      <c r="B36" s="370" t="s">
        <v>2323</v>
      </c>
      <c r="C36" s="1904" t="s">
        <v>3719</v>
      </c>
      <c r="D36" s="382">
        <v>100</v>
      </c>
      <c r="E36" s="1904" t="s">
        <v>3719</v>
      </c>
      <c r="F36" s="408">
        <f>SUMIF(109:109,E36,110:110)-SUMIF(109:109,C36,110:110)+100</f>
        <v>100</v>
      </c>
      <c r="G36" s="1904" t="s">
        <v>3719</v>
      </c>
      <c r="H36" s="382">
        <f>SUMIF(109:109,G36,110:110)-SUMIF(109:109,C36,110:110)+100</f>
        <v>100</v>
      </c>
      <c r="I36" s="1904" t="s">
        <v>3719</v>
      </c>
      <c r="J36" s="382">
        <f>SUMIF(109:109,I36,110:110)-SUMIF(109:109,C36,110:110)+100</f>
        <v>100</v>
      </c>
      <c r="K36" s="373"/>
      <c r="L36" s="2668"/>
      <c r="M36" s="2663"/>
      <c r="N36" s="2663"/>
      <c r="O36" s="2663"/>
      <c r="P36" s="3361"/>
      <c r="Q36" s="1407" t="str">
        <f t="shared" si="11"/>
        <v>公共部分装修</v>
      </c>
      <c r="R36" s="675" t="s">
        <v>21</v>
      </c>
      <c r="S36" s="676">
        <f t="shared" si="12"/>
        <v>100</v>
      </c>
      <c r="T36" s="675" t="s">
        <v>21</v>
      </c>
      <c r="U36" s="676">
        <f t="shared" si="13"/>
        <v>100</v>
      </c>
      <c r="V36" s="675" t="s">
        <v>21</v>
      </c>
      <c r="W36" s="676">
        <f t="shared" si="14"/>
        <v>100</v>
      </c>
      <c r="X36" s="1409"/>
      <c r="Y36" s="3363"/>
      <c r="Z36" s="1408" t="str">
        <f t="shared" si="18"/>
        <v>公共部分装修</v>
      </c>
      <c r="AA36" s="1408">
        <f t="shared" si="15"/>
        <v>1</v>
      </c>
      <c r="AB36" s="1408">
        <f t="shared" si="16"/>
        <v>1</v>
      </c>
      <c r="AC36" s="1408">
        <f t="shared" si="17"/>
        <v>1</v>
      </c>
    </row>
    <row r="37" spans="1:29" s="107" customFormat="1" ht="15">
      <c r="A37" s="418"/>
      <c r="B37" s="3129" t="s">
        <v>3720</v>
      </c>
      <c r="C37" s="3130">
        <v>1994</v>
      </c>
      <c r="D37" s="124">
        <v>100</v>
      </c>
      <c r="E37" s="3130">
        <v>1994</v>
      </c>
      <c r="F37" s="370">
        <f>LOOKUP(E37,112:112,113:113)-LOOKUP(C37,112:112,113:113)+100</f>
        <v>100</v>
      </c>
      <c r="G37" s="3130">
        <v>1996</v>
      </c>
      <c r="H37" s="124">
        <f>C113</f>
        <v>101</v>
      </c>
      <c r="I37" s="3130">
        <v>1996</v>
      </c>
      <c r="J37" s="124">
        <f>H37</f>
        <v>101</v>
      </c>
      <c r="K37" s="373">
        <v>0.5</v>
      </c>
      <c r="L37" s="2664"/>
      <c r="M37" s="2613"/>
      <c r="N37" s="2613"/>
      <c r="O37" s="2613"/>
      <c r="P37" s="3361"/>
      <c r="Q37" s="538" t="str">
        <f t="shared" si="11"/>
        <v>建成年代</v>
      </c>
      <c r="R37" s="672" t="s">
        <v>21</v>
      </c>
      <c r="S37" s="673">
        <f t="shared" si="12"/>
        <v>100</v>
      </c>
      <c r="T37" s="672" t="s">
        <v>21</v>
      </c>
      <c r="U37" s="673">
        <f t="shared" si="13"/>
        <v>101</v>
      </c>
      <c r="V37" s="672" t="s">
        <v>21</v>
      </c>
      <c r="W37" s="673">
        <f t="shared" si="14"/>
        <v>101</v>
      </c>
      <c r="X37" s="674"/>
      <c r="Y37" s="3363"/>
      <c r="Z37" s="53" t="str">
        <f t="shared" si="18"/>
        <v>建成年代</v>
      </c>
      <c r="AA37" s="53">
        <f t="shared" si="15"/>
        <v>1</v>
      </c>
      <c r="AB37" s="53">
        <f t="shared" si="16"/>
        <v>0.99009900990099009</v>
      </c>
      <c r="AC37" s="53">
        <f t="shared" si="17"/>
        <v>0.99009900990099009</v>
      </c>
    </row>
    <row r="38" spans="1:29" ht="15">
      <c r="A38" s="417"/>
      <c r="B38" s="370" t="s">
        <v>2324</v>
      </c>
      <c r="C38" s="1904" t="s">
        <v>3721</v>
      </c>
      <c r="D38" s="382">
        <v>100</v>
      </c>
      <c r="E38" s="1904" t="s">
        <v>3721</v>
      </c>
      <c r="F38" s="408">
        <f>SUMIF(114:114,E38,115:115)-SUMIF(114:114,C38,115:115)+100</f>
        <v>100</v>
      </c>
      <c r="G38" s="1904" t="s">
        <v>3721</v>
      </c>
      <c r="H38" s="382">
        <f>SUMIF(114:114,G38,115:115)-SUMIF(114:114,C38,115:115)+100</f>
        <v>100</v>
      </c>
      <c r="I38" s="1904" t="s">
        <v>3721</v>
      </c>
      <c r="J38" s="382">
        <f>SUMIF(114:114,I38,115:115)-SUMIF(114:114,C38,115:115)+100</f>
        <v>100</v>
      </c>
      <c r="K38" s="373"/>
      <c r="L38" s="2668"/>
      <c r="M38" s="2663"/>
      <c r="N38" s="2663"/>
      <c r="O38" s="2663"/>
      <c r="P38" s="3361" t="s">
        <v>2319</v>
      </c>
      <c r="Q38" s="1407" t="str">
        <f t="shared" si="11"/>
        <v>物业管理</v>
      </c>
      <c r="R38" s="675" t="s">
        <v>21</v>
      </c>
      <c r="S38" s="676">
        <f t="shared" si="12"/>
        <v>100</v>
      </c>
      <c r="T38" s="675" t="s">
        <v>21</v>
      </c>
      <c r="U38" s="676">
        <f t="shared" si="13"/>
        <v>100</v>
      </c>
      <c r="V38" s="675" t="s">
        <v>21</v>
      </c>
      <c r="W38" s="676">
        <f t="shared" si="14"/>
        <v>100</v>
      </c>
      <c r="X38" s="1409"/>
      <c r="Y38" s="3363" t="s">
        <v>2319</v>
      </c>
      <c r="Z38" s="1408" t="str">
        <f t="shared" si="18"/>
        <v>物业管理</v>
      </c>
      <c r="AA38" s="1408">
        <f t="shared" si="15"/>
        <v>1</v>
      </c>
      <c r="AB38" s="1408">
        <f t="shared" si="16"/>
        <v>1</v>
      </c>
      <c r="AC38" s="1408">
        <f t="shared" si="17"/>
        <v>1</v>
      </c>
    </row>
    <row r="39" spans="1:29" ht="15">
      <c r="A39" s="417"/>
      <c r="B39" s="370" t="s">
        <v>2325</v>
      </c>
      <c r="C39" s="1904" t="s">
        <v>3691</v>
      </c>
      <c r="D39" s="382">
        <v>100</v>
      </c>
      <c r="E39" s="1904" t="s">
        <v>3691</v>
      </c>
      <c r="F39" s="408">
        <f>SUMIF(116:116,E39,117:117)-SUMIF(116:116,C39,117:117)+100</f>
        <v>100</v>
      </c>
      <c r="G39" s="1904" t="s">
        <v>3691</v>
      </c>
      <c r="H39" s="382">
        <f>SUMIF(116:116,G39,117:117)-SUMIF(116:116,C39,117:117)+100</f>
        <v>100</v>
      </c>
      <c r="I39" s="1904" t="s">
        <v>3691</v>
      </c>
      <c r="J39" s="382">
        <f>SUMIF(116:116,I39,117:117)-SUMIF(116:116,C39,117:117)+100</f>
        <v>100</v>
      </c>
      <c r="K39" s="373"/>
      <c r="L39" s="2668"/>
      <c r="M39" s="2663"/>
      <c r="N39" s="2663"/>
      <c r="O39" s="2663"/>
      <c r="P39" s="3361"/>
      <c r="Q39" s="1407" t="str">
        <f t="shared" si="11"/>
        <v>市政基础设施</v>
      </c>
      <c r="R39" s="675" t="s">
        <v>21</v>
      </c>
      <c r="S39" s="676">
        <f t="shared" si="12"/>
        <v>100</v>
      </c>
      <c r="T39" s="675" t="s">
        <v>21</v>
      </c>
      <c r="U39" s="676">
        <f t="shared" si="13"/>
        <v>100</v>
      </c>
      <c r="V39" s="675" t="s">
        <v>21</v>
      </c>
      <c r="W39" s="676">
        <f t="shared" si="14"/>
        <v>100</v>
      </c>
      <c r="X39" s="1409"/>
      <c r="Y39" s="3363"/>
      <c r="Z39" s="1408" t="str">
        <f t="shared" si="18"/>
        <v>市政基础设施</v>
      </c>
      <c r="AA39" s="1408">
        <f t="shared" si="15"/>
        <v>1</v>
      </c>
      <c r="AB39" s="1408">
        <f t="shared" si="16"/>
        <v>1</v>
      </c>
      <c r="AC39" s="1408">
        <f t="shared" si="17"/>
        <v>1</v>
      </c>
    </row>
    <row r="40" spans="1:29" ht="15">
      <c r="A40" s="417"/>
      <c r="B40" s="370" t="s">
        <v>2326</v>
      </c>
      <c r="C40" s="1904"/>
      <c r="D40" s="382">
        <v>100</v>
      </c>
      <c r="E40" s="1905"/>
      <c r="F40" s="408">
        <f>SUMIF(118:118,E40,119:119)-SUMIF(118:118,C40,119:119)+100</f>
        <v>100</v>
      </c>
      <c r="G40" s="1904"/>
      <c r="H40" s="382">
        <f>SUMIF(118:118,G40,119:119)-SUMIF(118:118,C40,119:119)+100</f>
        <v>100</v>
      </c>
      <c r="I40" s="1905"/>
      <c r="J40" s="382">
        <f>SUMIF(118:118,I40,119:119)-SUMIF(118:118,C40,119:119)+100</f>
        <v>100</v>
      </c>
      <c r="K40" s="373"/>
      <c r="L40" s="2668"/>
      <c r="M40" s="2663"/>
      <c r="N40" s="2663"/>
      <c r="O40" s="2663"/>
      <c r="P40" s="3361"/>
      <c r="Q40" s="1407" t="str">
        <f t="shared" si="11"/>
        <v>房型</v>
      </c>
      <c r="R40" s="675" t="s">
        <v>21</v>
      </c>
      <c r="S40" s="676">
        <f t="shared" si="12"/>
        <v>100</v>
      </c>
      <c r="T40" s="675" t="s">
        <v>21</v>
      </c>
      <c r="U40" s="676">
        <f t="shared" si="13"/>
        <v>100</v>
      </c>
      <c r="V40" s="675" t="s">
        <v>21</v>
      </c>
      <c r="W40" s="676">
        <f t="shared" si="14"/>
        <v>100</v>
      </c>
      <c r="X40" s="1409"/>
      <c r="Y40" s="3363"/>
      <c r="Z40" s="1408" t="str">
        <f t="shared" si="18"/>
        <v>房型</v>
      </c>
      <c r="AA40" s="1408">
        <f t="shared" si="15"/>
        <v>1</v>
      </c>
      <c r="AB40" s="1408">
        <f t="shared" si="16"/>
        <v>1</v>
      </c>
      <c r="AC40" s="1408">
        <f t="shared" si="17"/>
        <v>1</v>
      </c>
    </row>
    <row r="41" spans="1:29" s="416" customFormat="1" ht="28.5">
      <c r="A41" s="414"/>
      <c r="B41" s="370" t="s">
        <v>2327</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2"/>
      <c r="L41" s="2667"/>
      <c r="M41" s="2669"/>
      <c r="N41" s="2669"/>
      <c r="O41" s="2669"/>
      <c r="P41" s="3361"/>
      <c r="Q41" s="539" t="str">
        <f t="shared" si="11"/>
        <v>单套/主力户型建筑面积</v>
      </c>
      <c r="R41" s="677" t="s">
        <v>21</v>
      </c>
      <c r="S41" s="678">
        <f t="shared" si="12"/>
        <v>100</v>
      </c>
      <c r="T41" s="677" t="s">
        <v>21</v>
      </c>
      <c r="U41" s="678">
        <f t="shared" si="13"/>
        <v>100</v>
      </c>
      <c r="V41" s="677" t="s">
        <v>21</v>
      </c>
      <c r="W41" s="678">
        <f t="shared" si="14"/>
        <v>100</v>
      </c>
      <c r="X41" s="679"/>
      <c r="Y41" s="3363"/>
      <c r="Z41" s="680" t="str">
        <f t="shared" si="18"/>
        <v>单套/主力户型建筑面积</v>
      </c>
      <c r="AA41" s="1408">
        <f t="shared" si="15"/>
        <v>1</v>
      </c>
      <c r="AB41" s="1408">
        <f t="shared" si="16"/>
        <v>1</v>
      </c>
      <c r="AC41" s="1408">
        <f t="shared" si="17"/>
        <v>1</v>
      </c>
    </row>
    <row r="42" spans="1:29" ht="15">
      <c r="A42" s="417"/>
      <c r="B42" s="370" t="s">
        <v>2328</v>
      </c>
      <c r="C42" s="1904" t="s">
        <v>3161</v>
      </c>
      <c r="D42" s="382">
        <v>100</v>
      </c>
      <c r="E42" s="1904" t="s">
        <v>3161</v>
      </c>
      <c r="F42" s="408">
        <f>SUMIF(122:122,E42,123:123)-SUMIF(122:122,C42,123:123)+100</f>
        <v>100</v>
      </c>
      <c r="G42" s="1904" t="s">
        <v>3161</v>
      </c>
      <c r="H42" s="382">
        <f>SUMIF(122:122,G42,123:123)-SUMIF(122:122,C42,123:123)+100</f>
        <v>100</v>
      </c>
      <c r="I42" s="1904" t="s">
        <v>3161</v>
      </c>
      <c r="J42" s="382">
        <f>SUMIF(122:122,I42,123:123)-SUMIF(122:122,C42,123:123)+100</f>
        <v>100</v>
      </c>
      <c r="K42" s="373"/>
      <c r="L42" s="2668"/>
      <c r="M42" s="2663"/>
      <c r="N42" s="2663"/>
      <c r="O42" s="2663"/>
      <c r="P42" s="3361"/>
      <c r="Q42" s="1407" t="str">
        <f t="shared" si="11"/>
        <v>内部装修</v>
      </c>
      <c r="R42" s="675" t="s">
        <v>21</v>
      </c>
      <c r="S42" s="676">
        <f t="shared" si="12"/>
        <v>100</v>
      </c>
      <c r="T42" s="675" t="s">
        <v>21</v>
      </c>
      <c r="U42" s="676">
        <f t="shared" si="13"/>
        <v>100</v>
      </c>
      <c r="V42" s="675" t="s">
        <v>21</v>
      </c>
      <c r="W42" s="676">
        <f t="shared" si="14"/>
        <v>100</v>
      </c>
      <c r="X42" s="1409"/>
      <c r="Y42" s="3363"/>
      <c r="Z42" s="1408" t="str">
        <f t="shared" si="18"/>
        <v>内部装修</v>
      </c>
      <c r="AA42" s="1408">
        <f t="shared" si="15"/>
        <v>1</v>
      </c>
      <c r="AB42" s="1408">
        <f t="shared" si="16"/>
        <v>1</v>
      </c>
      <c r="AC42" s="1408">
        <f t="shared" si="17"/>
        <v>1</v>
      </c>
    </row>
    <row r="43" spans="1:29" ht="15">
      <c r="A43" s="417"/>
      <c r="B43" s="370" t="s">
        <v>2329</v>
      </c>
      <c r="C43" s="1904" t="s">
        <v>3216</v>
      </c>
      <c r="D43" s="382">
        <v>100</v>
      </c>
      <c r="E43" s="1904" t="s">
        <v>3216</v>
      </c>
      <c r="F43" s="408">
        <f>SUMIF(124:124,E43,125:125)-SUMIF(124:124,C43,125:125)+100</f>
        <v>100</v>
      </c>
      <c r="G43" s="1904" t="s">
        <v>3216</v>
      </c>
      <c r="H43" s="382">
        <f>SUMIF(124:124,G43,125:125)-SUMIF(124:124,C43,125:125)+100</f>
        <v>100</v>
      </c>
      <c r="I43" s="1904" t="s">
        <v>3216</v>
      </c>
      <c r="J43" s="382">
        <f>SUMIF(124:124,I43,125:125)-SUMIF(124:124,C43,125:125)+100</f>
        <v>100</v>
      </c>
      <c r="K43" s="373"/>
      <c r="L43" s="2668"/>
      <c r="M43" s="2663"/>
      <c r="N43" s="2663"/>
      <c r="O43" s="2663"/>
      <c r="P43" s="3361"/>
      <c r="Q43" s="1407" t="str">
        <f t="shared" si="11"/>
        <v>内部装修维护情况</v>
      </c>
      <c r="R43" s="675" t="s">
        <v>21</v>
      </c>
      <c r="S43" s="676">
        <f t="shared" si="12"/>
        <v>100</v>
      </c>
      <c r="T43" s="675" t="s">
        <v>21</v>
      </c>
      <c r="U43" s="676">
        <f t="shared" si="13"/>
        <v>100</v>
      </c>
      <c r="V43" s="675" t="s">
        <v>21</v>
      </c>
      <c r="W43" s="676">
        <f t="shared" si="14"/>
        <v>100</v>
      </c>
      <c r="X43" s="1409"/>
      <c r="Y43" s="3363"/>
      <c r="Z43" s="1408" t="str">
        <f t="shared" si="18"/>
        <v>内部装修维护情况</v>
      </c>
      <c r="AA43" s="1408">
        <f t="shared" si="15"/>
        <v>1</v>
      </c>
      <c r="AB43" s="1408">
        <f t="shared" si="16"/>
        <v>1</v>
      </c>
      <c r="AC43" s="1408">
        <f t="shared" si="17"/>
        <v>1</v>
      </c>
    </row>
    <row r="44" spans="1:29" s="107" customFormat="1" ht="15">
      <c r="A44" s="418"/>
      <c r="B44" s="1193">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2"/>
      <c r="L44" s="2664"/>
      <c r="M44" s="2613"/>
      <c r="N44" s="2613"/>
      <c r="O44" s="2613"/>
      <c r="P44" s="3361"/>
      <c r="Q44" s="538">
        <f t="shared" si="11"/>
        <v>111</v>
      </c>
      <c r="R44" s="672" t="s">
        <v>21</v>
      </c>
      <c r="S44" s="673">
        <f t="shared" si="12"/>
        <v>100</v>
      </c>
      <c r="T44" s="672" t="s">
        <v>21</v>
      </c>
      <c r="U44" s="673">
        <f t="shared" si="13"/>
        <v>100</v>
      </c>
      <c r="V44" s="672" t="s">
        <v>21</v>
      </c>
      <c r="W44" s="673">
        <f t="shared" si="14"/>
        <v>100</v>
      </c>
      <c r="X44" s="674"/>
      <c r="Y44" s="3363"/>
      <c r="Z44" s="53">
        <f t="shared" si="18"/>
        <v>111</v>
      </c>
      <c r="AA44" s="53">
        <f t="shared" si="15"/>
        <v>1</v>
      </c>
      <c r="AB44" s="53">
        <f t="shared" si="16"/>
        <v>1</v>
      </c>
      <c r="AC44" s="53">
        <f t="shared" si="17"/>
        <v>1</v>
      </c>
    </row>
    <row r="45" spans="1:29" ht="15">
      <c r="A45" s="417"/>
      <c r="B45" s="1193">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2"/>
      <c r="L45" s="2668"/>
      <c r="M45" s="2663"/>
      <c r="N45" s="2663"/>
      <c r="O45" s="2663"/>
      <c r="P45" s="3361"/>
      <c r="Q45" s="1407">
        <f t="shared" si="11"/>
        <v>111</v>
      </c>
      <c r="R45" s="675" t="s">
        <v>21</v>
      </c>
      <c r="S45" s="676">
        <f t="shared" si="12"/>
        <v>100</v>
      </c>
      <c r="T45" s="675" t="s">
        <v>21</v>
      </c>
      <c r="U45" s="676">
        <f t="shared" si="13"/>
        <v>100</v>
      </c>
      <c r="V45" s="675" t="s">
        <v>21</v>
      </c>
      <c r="W45" s="676">
        <f t="shared" si="14"/>
        <v>100</v>
      </c>
      <c r="X45" s="1409"/>
      <c r="Y45" s="3363"/>
      <c r="Z45" s="1408">
        <f t="shared" si="18"/>
        <v>111</v>
      </c>
      <c r="AA45" s="1408">
        <f t="shared" si="15"/>
        <v>1</v>
      </c>
      <c r="AB45" s="1408">
        <f t="shared" si="16"/>
        <v>1</v>
      </c>
      <c r="AC45" s="1408">
        <f t="shared" si="17"/>
        <v>1</v>
      </c>
    </row>
    <row r="46" spans="1:29" ht="15.75" thickBot="1">
      <c r="A46" s="423"/>
      <c r="B46" s="1893">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2"/>
      <c r="L46" s="2668"/>
      <c r="M46" s="2663"/>
      <c r="N46" s="2663"/>
      <c r="O46" s="2663"/>
      <c r="P46" s="3362"/>
      <c r="Q46" s="1407">
        <f t="shared" si="11"/>
        <v>111</v>
      </c>
      <c r="R46" s="675" t="s">
        <v>20</v>
      </c>
      <c r="S46" s="676">
        <f t="shared" si="12"/>
        <v>100</v>
      </c>
      <c r="T46" s="675" t="s">
        <v>20</v>
      </c>
      <c r="U46" s="676">
        <f t="shared" si="13"/>
        <v>100</v>
      </c>
      <c r="V46" s="675" t="s">
        <v>20</v>
      </c>
      <c r="W46" s="676">
        <f t="shared" si="14"/>
        <v>100</v>
      </c>
      <c r="X46" s="1409"/>
      <c r="Y46" s="3364"/>
      <c r="Z46" s="1408">
        <f t="shared" si="18"/>
        <v>111</v>
      </c>
      <c r="AA46" s="1408">
        <f t="shared" si="15"/>
        <v>1</v>
      </c>
      <c r="AB46" s="1408">
        <f t="shared" si="16"/>
        <v>1</v>
      </c>
      <c r="AC46" s="1408">
        <f t="shared" si="17"/>
        <v>1</v>
      </c>
    </row>
    <row r="47" spans="1:29" ht="15">
      <c r="A47" s="424" t="s">
        <v>2330</v>
      </c>
      <c r="B47" s="425"/>
      <c r="C47" s="1208" t="s">
        <v>19</v>
      </c>
      <c r="D47" s="426"/>
      <c r="E47" s="427">
        <f>案例!$AH$32</f>
        <v>29632</v>
      </c>
      <c r="F47" s="428"/>
      <c r="G47" s="429">
        <f>案例!$AH$33</f>
        <v>31102</v>
      </c>
      <c r="H47" s="430"/>
      <c r="I47" s="427">
        <f>案例!$AH$34</f>
        <v>30240</v>
      </c>
      <c r="J47" s="430"/>
      <c r="K47" s="1909"/>
      <c r="L47" s="2670"/>
      <c r="M47" s="2663"/>
      <c r="N47" s="2663"/>
      <c r="O47" s="2663"/>
      <c r="P47" s="3351" t="str">
        <f>A47</f>
        <v>成交单价（元/平方米）</v>
      </c>
      <c r="Q47" s="3351"/>
      <c r="R47" s="3352">
        <f>E47</f>
        <v>29632</v>
      </c>
      <c r="S47" s="3352"/>
      <c r="T47" s="3352">
        <f>G47</f>
        <v>31102</v>
      </c>
      <c r="U47" s="3352"/>
      <c r="V47" s="3352">
        <f>I47</f>
        <v>30240</v>
      </c>
      <c r="W47" s="3352"/>
      <c r="X47" s="393"/>
      <c r="Y47" s="681"/>
      <c r="Z47" s="393"/>
      <c r="AA47" s="393"/>
      <c r="AB47" s="393"/>
      <c r="AC47" s="393"/>
    </row>
    <row r="48" spans="1:29" ht="15.75" thickBot="1">
      <c r="A48" s="431" t="s">
        <v>2331</v>
      </c>
      <c r="B48" s="432"/>
      <c r="C48" s="1209">
        <f>R49</f>
        <v>29936</v>
      </c>
      <c r="D48" s="2312" t="s">
        <v>2807</v>
      </c>
      <c r="E48" s="1210">
        <f>R48</f>
        <v>29222</v>
      </c>
      <c r="F48" s="2313"/>
      <c r="G48" s="1209">
        <f>T48</f>
        <v>30368</v>
      </c>
      <c r="H48" s="2313"/>
      <c r="I48" s="1210">
        <f>V48</f>
        <v>30219</v>
      </c>
      <c r="J48" s="2313"/>
      <c r="K48" s="2314">
        <f>F48+H48+J48</f>
        <v>0</v>
      </c>
      <c r="L48" s="2670"/>
      <c r="M48" s="2663"/>
      <c r="N48" s="2663"/>
      <c r="O48" s="2663"/>
      <c r="P48" s="3351" t="str">
        <f>A48</f>
        <v>比较价值（元/平方米）</v>
      </c>
      <c r="Q48" s="3351"/>
      <c r="R48" s="3352">
        <f>IF(F1="售价",ROUND(PRODUCT(R47,AA7:AA46),0),ROUND(PRODUCT(R47,AA7:AA46),1))</f>
        <v>29222</v>
      </c>
      <c r="S48" s="3352"/>
      <c r="T48" s="3352">
        <f>IF(F1="售价",ROUND(PRODUCT(T47,AB7:AB46),0),ROUND(PRODUCT(T47,AB7:AB46),1))</f>
        <v>30368</v>
      </c>
      <c r="U48" s="3352"/>
      <c r="V48" s="3352">
        <f>IF(F1="售价",ROUND(PRODUCT(V47,AC7:AC46),0),ROUND(PRODUCT(V47,AC7:AC46),1))</f>
        <v>30219</v>
      </c>
      <c r="W48" s="3352"/>
      <c r="X48" s="393"/>
      <c r="Y48" s="393"/>
      <c r="Z48" s="393"/>
      <c r="AA48" s="393"/>
      <c r="AB48" s="393"/>
      <c r="AC48" s="393"/>
    </row>
    <row r="49" spans="1:29" ht="15.75" thickBot="1">
      <c r="A49" s="435" t="s">
        <v>2332</v>
      </c>
      <c r="B49" s="436"/>
      <c r="C49" s="1211">
        <f>R49</f>
        <v>29936</v>
      </c>
      <c r="D49" s="357"/>
      <c r="E49" s="357"/>
      <c r="F49" s="357"/>
      <c r="G49" s="357"/>
      <c r="H49" s="357"/>
      <c r="I49" s="357"/>
      <c r="J49" s="357"/>
      <c r="K49" s="1910"/>
      <c r="L49" s="2670"/>
      <c r="M49" s="2663"/>
      <c r="N49" s="2663"/>
      <c r="O49" s="2663"/>
      <c r="P49" s="3444" t="str">
        <f>A49</f>
        <v>估价对象XX用房的比较价值（楼面单价，元/平方米）</v>
      </c>
      <c r="Q49" s="3445"/>
      <c r="R49" s="3446">
        <f>IF(F1="售价",ROUND(IF(D48="简单平均",AVERAGE(R48:V48),R48*F48+T48*H48+V48*J48),0),ROUND(IF(D48="简单平均",AVERAGE(R48:V48),R48*F48+T48*H48+V48*J48),1))</f>
        <v>29936</v>
      </c>
      <c r="S49" s="3446"/>
      <c r="T49" s="3446"/>
      <c r="U49" s="3446"/>
      <c r="V49" s="3446"/>
      <c r="W49" s="3446"/>
      <c r="X49" s="393"/>
      <c r="Y49" s="393"/>
      <c r="Z49" s="393"/>
      <c r="AA49" s="393"/>
      <c r="AB49" s="393"/>
      <c r="AC49" s="393"/>
    </row>
    <row r="50" spans="1:29">
      <c r="A50" s="2663"/>
      <c r="B50" s="2663"/>
      <c r="C50" s="2663"/>
      <c r="D50" s="2663"/>
      <c r="E50" s="2663"/>
      <c r="F50" s="2663"/>
      <c r="G50" s="2674"/>
      <c r="H50" s="2663"/>
      <c r="I50" s="2663"/>
      <c r="J50" s="2663"/>
      <c r="K50" s="2675"/>
      <c r="L50" s="2671"/>
      <c r="M50" s="2663"/>
      <c r="N50" s="2663"/>
      <c r="O50" s="2663"/>
    </row>
    <row r="51" spans="1:29">
      <c r="A51" s="2663"/>
      <c r="B51" s="2663"/>
      <c r="C51" s="2663"/>
      <c r="D51" s="2663"/>
      <c r="E51" s="2663"/>
      <c r="F51" s="2663"/>
      <c r="G51" s="2663"/>
      <c r="H51" s="2663"/>
      <c r="I51" s="2663"/>
      <c r="J51" s="2663"/>
      <c r="K51" s="2675"/>
      <c r="L51" s="2671"/>
      <c r="M51" s="2663"/>
      <c r="N51" s="2663"/>
      <c r="O51" s="2663"/>
    </row>
    <row r="52" spans="1:29" ht="13.5" customHeight="1">
      <c r="A52" s="2663"/>
      <c r="B52" s="2663"/>
      <c r="C52" s="440" t="s">
        <v>2333</v>
      </c>
      <c r="D52" s="441"/>
      <c r="E52" s="442">
        <f>IF(E47&lt;E48,E48/E47-1,E47/E48-1)</f>
        <v>1.4030524946957668E-2</v>
      </c>
      <c r="F52" s="443" t="str">
        <f>IF(OR(E52&gt;=0.3,E52&lt;=-0.3),"超过30%","")</f>
        <v/>
      </c>
      <c r="G52" s="442">
        <f>IF(G47&lt;G48,G48/G47-1,G47/G48-1)</f>
        <v>2.4170179135932557E-2</v>
      </c>
      <c r="H52" s="443" t="str">
        <f>IF(OR(G52&gt;=0.3,G52&lt;=-0.3),"超过30%","")</f>
        <v/>
      </c>
      <c r="I52" s="442">
        <f>IF(I47&lt;I48,I48/I47-1,I47/I48-1)</f>
        <v>6.9492703266149647E-4</v>
      </c>
      <c r="J52" s="443" t="str">
        <f>IF(OR(I52&gt;=0.3,I52&lt;=-0.3),"超过30%","")</f>
        <v/>
      </c>
      <c r="K52" s="2675"/>
      <c r="L52" s="2671"/>
      <c r="M52" s="2663"/>
      <c r="N52" s="2663"/>
      <c r="O52" s="2663"/>
    </row>
    <row r="53" spans="1:29" ht="13.5" customHeight="1">
      <c r="A53" s="2663"/>
      <c r="B53" s="2663"/>
      <c r="C53" s="440" t="s">
        <v>2334</v>
      </c>
      <c r="D53" s="444"/>
      <c r="E53" s="442">
        <f>IF(E48&lt;G48,G48/E48-1,E48/G48-1)</f>
        <v>3.9217028266374632E-2</v>
      </c>
      <c r="F53" s="443" t="str">
        <f>IF(OR(E53&gt;=0.2,E53&lt;=-0.2),"超过20%","")</f>
        <v/>
      </c>
      <c r="G53" s="442">
        <f>IF(G48&lt;I48,I48/G48-1,G48/I48-1)</f>
        <v>4.9306727555511465E-3</v>
      </c>
      <c r="H53" s="443" t="str">
        <f>IF(OR(G53&gt;=0.2,G53&lt;=-0.2),"超过20%","")</f>
        <v/>
      </c>
      <c r="I53" s="442">
        <f>IF(I48&lt;E48,E48/I48-1,I48/E48-1)</f>
        <v>3.4118130175894823E-2</v>
      </c>
      <c r="J53" s="443" t="str">
        <f>IF(OR(I53&gt;=0.2,I53&lt;=-0.2),"超过20%","")</f>
        <v/>
      </c>
      <c r="K53" s="2675"/>
      <c r="L53" s="2671"/>
      <c r="M53" s="2663"/>
      <c r="N53" s="2663"/>
      <c r="O53" s="2663"/>
    </row>
    <row r="54" spans="1:29" s="445" customFormat="1" ht="13.5" customHeight="1">
      <c r="A54" s="2673"/>
      <c r="B54" s="2673"/>
      <c r="C54" s="440" t="s">
        <v>2335</v>
      </c>
      <c r="D54" s="444"/>
      <c r="E54" s="442">
        <f>IF(E47&lt;G47,G47/E47-1,E47/G47-1)</f>
        <v>4.9608531317494542E-2</v>
      </c>
      <c r="F54" s="443" t="str">
        <f>IF(OR(E54&gt;=0.3,E54&lt;=-0.3),"超过30%","")</f>
        <v/>
      </c>
      <c r="G54" s="442">
        <f>IF(G47&lt;I47,I47/G47-1,G47/I47-1)</f>
        <v>2.8505291005290978E-2</v>
      </c>
      <c r="H54" s="443" t="str">
        <f>IF(OR(G54&gt;=0.3,G54&lt;=-0.3),"超过30%","")</f>
        <v/>
      </c>
      <c r="I54" s="442">
        <f>IF(I47&lt;E47,E47/I47-1,I47/E47-1)</f>
        <v>2.051835853131756E-2</v>
      </c>
      <c r="J54" s="443" t="str">
        <f>IF(OR(I54&gt;=0.3,I54&lt;=-0.3),"超过30%","")</f>
        <v/>
      </c>
      <c r="K54" s="2678"/>
      <c r="L54" s="2672"/>
      <c r="M54" s="2673"/>
      <c r="N54" s="2673"/>
      <c r="O54" s="2673"/>
      <c r="P54" s="1912"/>
    </row>
    <row r="55" spans="1:29" s="445" customFormat="1">
      <c r="A55" s="2673"/>
      <c r="B55" s="2676"/>
      <c r="C55" s="2677"/>
      <c r="D55" s="2673"/>
      <c r="E55" s="2673"/>
      <c r="F55" s="2673"/>
      <c r="G55" s="2673"/>
      <c r="H55" s="2673"/>
      <c r="I55" s="2673"/>
      <c r="J55" s="2673"/>
      <c r="K55" s="2678"/>
      <c r="L55" s="2672"/>
      <c r="M55" s="2673"/>
      <c r="N55" s="2673"/>
      <c r="O55" s="2673"/>
      <c r="P55" s="1912"/>
    </row>
    <row r="56" spans="1:29">
      <c r="A56" s="2663"/>
      <c r="B56" s="2676"/>
      <c r="C56" s="2677"/>
      <c r="D56" s="2663"/>
      <c r="E56" s="2663"/>
      <c r="F56" s="2663"/>
      <c r="G56" s="2663"/>
      <c r="H56" s="2663"/>
      <c r="I56" s="2663"/>
      <c r="J56" s="2663"/>
      <c r="K56" s="2675"/>
      <c r="L56" s="2671"/>
      <c r="M56" s="2663"/>
      <c r="N56" s="2663"/>
      <c r="O56" s="2663"/>
    </row>
    <row r="57" spans="1:29" ht="21.75" thickBot="1">
      <c r="A57" s="666" t="s">
        <v>2336</v>
      </c>
      <c r="B57" s="393"/>
      <c r="C57" s="667"/>
      <c r="D57" s="667"/>
      <c r="E57" s="667"/>
      <c r="F57" s="668"/>
      <c r="G57" s="668"/>
      <c r="H57" s="667"/>
      <c r="I57" s="667"/>
      <c r="J57" s="667"/>
      <c r="K57" s="1010"/>
      <c r="L57" s="1011"/>
      <c r="M57" s="1009"/>
      <c r="N57" s="1009"/>
      <c r="O57" s="1009"/>
      <c r="P57" s="1913"/>
      <c r="Q57" s="447"/>
    </row>
    <row r="58" spans="1:29" s="450" customFormat="1" ht="15">
      <c r="A58" s="448" t="s">
        <v>2337</v>
      </c>
      <c r="B58" s="449"/>
      <c r="C58" s="1232" t="str">
        <f>YEAR(C7)&amp;"-"&amp;MONTH(C7)</f>
        <v>2014-2</v>
      </c>
      <c r="D58" s="1231">
        <f>EDATE(C58,-1)</f>
        <v>41640</v>
      </c>
      <c r="E58" s="1231">
        <f>EDATE(D58,-1)</f>
        <v>41609</v>
      </c>
      <c r="F58" s="1231">
        <f t="shared" ref="F58:O58" si="19">EDATE(E58,-1)</f>
        <v>41579</v>
      </c>
      <c r="G58" s="1231">
        <f t="shared" si="19"/>
        <v>41548</v>
      </c>
      <c r="H58" s="1231">
        <f t="shared" si="19"/>
        <v>41518</v>
      </c>
      <c r="I58" s="1231">
        <f t="shared" si="19"/>
        <v>41487</v>
      </c>
      <c r="J58" s="1231">
        <f t="shared" si="19"/>
        <v>41456</v>
      </c>
      <c r="K58" s="1231">
        <f t="shared" si="19"/>
        <v>41426</v>
      </c>
      <c r="L58" s="1231">
        <f t="shared" si="19"/>
        <v>41395</v>
      </c>
      <c r="M58" s="1231">
        <f t="shared" si="19"/>
        <v>41365</v>
      </c>
      <c r="N58" s="1231">
        <f t="shared" si="19"/>
        <v>41334</v>
      </c>
      <c r="O58" s="1231">
        <f t="shared" si="19"/>
        <v>41306</v>
      </c>
      <c r="P58" s="1227"/>
    </row>
    <row r="59" spans="1:29" s="107" customFormat="1" ht="15">
      <c r="A59" s="451"/>
      <c r="B59" s="1914"/>
      <c r="C59" s="1229">
        <v>100</v>
      </c>
      <c r="D59" s="453">
        <f>C59+$C$60</f>
        <v>100.1</v>
      </c>
      <c r="E59" s="453">
        <f t="shared" ref="E59:H59" si="20">D59+$C$60</f>
        <v>100.19999999999999</v>
      </c>
      <c r="F59" s="453">
        <f t="shared" si="20"/>
        <v>100.29999999999998</v>
      </c>
      <c r="G59" s="453">
        <f t="shared" si="20"/>
        <v>100.39999999999998</v>
      </c>
      <c r="H59" s="453">
        <f t="shared" si="20"/>
        <v>100.49999999999997</v>
      </c>
      <c r="I59" s="454"/>
      <c r="J59" s="454"/>
      <c r="K59" s="454"/>
      <c r="L59" s="454"/>
      <c r="M59" s="455"/>
      <c r="N59" s="454"/>
      <c r="O59" s="455"/>
      <c r="P59" s="1915"/>
    </row>
    <row r="60" spans="1:29" s="107" customFormat="1" ht="15.75" thickBot="1">
      <c r="A60" s="457" t="s">
        <v>2338</v>
      </c>
      <c r="B60" s="458"/>
      <c r="C60" s="459">
        <v>0.1</v>
      </c>
      <c r="D60" s="460"/>
      <c r="E60" s="460"/>
      <c r="F60" s="460"/>
      <c r="G60" s="460"/>
      <c r="H60" s="460"/>
      <c r="I60" s="460"/>
      <c r="J60" s="460"/>
      <c r="K60" s="460"/>
      <c r="L60" s="460"/>
      <c r="M60" s="461"/>
      <c r="N60" s="460"/>
      <c r="O60" s="461"/>
      <c r="P60" s="1915"/>
      <c r="Q60" s="447"/>
    </row>
    <row r="61" spans="1:29" s="107" customFormat="1" ht="15">
      <c r="A61" s="463" t="s">
        <v>2339</v>
      </c>
      <c r="B61" s="452"/>
      <c r="C61" s="464" t="s">
        <v>2340</v>
      </c>
      <c r="D61" s="34"/>
      <c r="E61" s="34"/>
      <c r="F61" s="34"/>
      <c r="G61" s="34"/>
      <c r="H61" s="34"/>
      <c r="I61" s="34"/>
      <c r="J61" s="34"/>
      <c r="K61" s="34"/>
      <c r="L61" s="465"/>
      <c r="M61" s="466"/>
      <c r="N61" s="1001"/>
      <c r="O61" s="1001"/>
      <c r="P61" s="1916"/>
      <c r="Q61" s="447"/>
    </row>
    <row r="62" spans="1:29" s="107" customFormat="1" ht="15.75" thickBot="1">
      <c r="A62" s="463"/>
      <c r="B62" s="452"/>
      <c r="C62" s="453">
        <v>100</v>
      </c>
      <c r="D62" s="454"/>
      <c r="E62" s="454"/>
      <c r="F62" s="454"/>
      <c r="G62" s="454"/>
      <c r="H62" s="454"/>
      <c r="I62" s="454"/>
      <c r="J62" s="454"/>
      <c r="K62" s="454"/>
      <c r="L62" s="454"/>
      <c r="M62" s="456"/>
      <c r="N62" s="1001"/>
      <c r="O62" s="1001"/>
      <c r="P62" s="1915"/>
      <c r="Q62" s="447"/>
    </row>
    <row r="63" spans="1:29">
      <c r="A63" s="387" t="s">
        <v>2341</v>
      </c>
      <c r="B63" s="468" t="s">
        <v>2308</v>
      </c>
      <c r="C63" s="469" t="str">
        <f>C9</f>
        <v>住宅</v>
      </c>
      <c r="D63" s="470"/>
      <c r="E63" s="470"/>
      <c r="F63" s="470"/>
      <c r="G63" s="470"/>
      <c r="H63" s="470"/>
      <c r="I63" s="470"/>
      <c r="J63" s="470"/>
      <c r="K63" s="471"/>
      <c r="L63" s="472"/>
      <c r="M63" s="473"/>
      <c r="N63" s="1002"/>
      <c r="O63" s="1002"/>
      <c r="P63" s="1917"/>
      <c r="Q63" s="447"/>
    </row>
    <row r="64" spans="1:29" ht="15.75" thickBot="1">
      <c r="A64" s="375"/>
      <c r="B64" s="474"/>
      <c r="C64" s="475">
        <v>100</v>
      </c>
      <c r="D64" s="475"/>
      <c r="E64" s="475"/>
      <c r="F64" s="475"/>
      <c r="G64" s="475"/>
      <c r="H64" s="475"/>
      <c r="I64" s="475"/>
      <c r="J64" s="475"/>
      <c r="K64" s="475"/>
      <c r="L64" s="475"/>
      <c r="M64" s="476"/>
      <c r="N64" s="1003"/>
      <c r="O64" s="1003"/>
      <c r="P64" s="1917"/>
      <c r="Q64" s="447"/>
    </row>
    <row r="65" spans="1:17" ht="27.75" thickTop="1">
      <c r="A65" s="375"/>
      <c r="B65" s="477" t="s">
        <v>2311</v>
      </c>
      <c r="C65" s="478" t="s">
        <v>2342</v>
      </c>
      <c r="D65" s="478" t="s">
        <v>2343</v>
      </c>
      <c r="E65" s="478" t="s">
        <v>2344</v>
      </c>
      <c r="F65" s="478" t="s">
        <v>2345</v>
      </c>
      <c r="G65" s="478" t="s">
        <v>2346</v>
      </c>
      <c r="H65" s="478" t="s">
        <v>2347</v>
      </c>
      <c r="I65" s="478" t="s">
        <v>2348</v>
      </c>
      <c r="J65" s="478"/>
      <c r="K65" s="479"/>
      <c r="L65" s="480"/>
      <c r="M65" s="481"/>
      <c r="N65" s="1002"/>
      <c r="O65" s="1002"/>
      <c r="P65" s="1917"/>
      <c r="Q65" s="447"/>
    </row>
    <row r="66" spans="1:17" ht="15.75" thickBot="1">
      <c r="A66" s="375"/>
      <c r="B66" s="482"/>
      <c r="C66" s="483">
        <v>100</v>
      </c>
      <c r="D66" s="483">
        <f t="shared" ref="D66:I66" si="21">C66-$K10</f>
        <v>100</v>
      </c>
      <c r="E66" s="483">
        <f t="shared" si="21"/>
        <v>100</v>
      </c>
      <c r="F66" s="483">
        <f t="shared" si="21"/>
        <v>100</v>
      </c>
      <c r="G66" s="483">
        <f t="shared" si="21"/>
        <v>100</v>
      </c>
      <c r="H66" s="483">
        <f t="shared" si="21"/>
        <v>100</v>
      </c>
      <c r="I66" s="483">
        <f t="shared" si="21"/>
        <v>100</v>
      </c>
      <c r="J66" s="483"/>
      <c r="K66" s="483"/>
      <c r="L66" s="483"/>
      <c r="M66" s="484"/>
      <c r="N66" s="1003"/>
      <c r="O66" s="1003"/>
      <c r="P66" s="1917"/>
      <c r="Q66" s="447"/>
    </row>
    <row r="67" spans="1:17" ht="15.75" thickTop="1">
      <c r="A67" s="375"/>
      <c r="B67" s="485" t="s">
        <v>2312</v>
      </c>
      <c r="C67" s="486" t="str">
        <f>C68&amp;"（含）"&amp;"-"&amp;D68</f>
        <v>0（含）-3</v>
      </c>
      <c r="D67" s="486" t="str">
        <f t="shared" ref="D67:L67" si="22">D68&amp;"（含）"&amp;"-"&amp;E68</f>
        <v>3（含）-5</v>
      </c>
      <c r="E67" s="486" t="str">
        <f t="shared" si="22"/>
        <v>5（含）-</v>
      </c>
      <c r="F67" s="486" t="str">
        <f t="shared" si="22"/>
        <v>（含）-</v>
      </c>
      <c r="G67" s="486" t="str">
        <f t="shared" si="22"/>
        <v>（含）-</v>
      </c>
      <c r="H67" s="486" t="str">
        <f t="shared" si="22"/>
        <v>（含）-</v>
      </c>
      <c r="I67" s="486" t="str">
        <f t="shared" si="22"/>
        <v>（含）-</v>
      </c>
      <c r="J67" s="486" t="str">
        <f t="shared" si="22"/>
        <v>（含）-</v>
      </c>
      <c r="K67" s="486" t="str">
        <f>K68&amp;"（含）"&amp;"-"&amp;L68</f>
        <v>（含）-</v>
      </c>
      <c r="L67" s="486" t="str">
        <f t="shared" si="22"/>
        <v>（含）-</v>
      </c>
      <c r="M67" s="395" t="str">
        <f>M68&amp;"（含）"&amp;"-"&amp;P68</f>
        <v>（含）-</v>
      </c>
      <c r="N67" s="1003"/>
      <c r="O67" s="1003"/>
      <c r="P67" s="1917"/>
      <c r="Q67" s="447"/>
    </row>
    <row r="68" spans="1:17" ht="15">
      <c r="A68" s="375"/>
      <c r="B68" s="487"/>
      <c r="C68" s="488">
        <v>0</v>
      </c>
      <c r="D68" s="488">
        <v>3</v>
      </c>
      <c r="E68" s="488">
        <v>5</v>
      </c>
      <c r="F68" s="488"/>
      <c r="G68" s="488"/>
      <c r="H68" s="488"/>
      <c r="I68" s="488"/>
      <c r="J68" s="488"/>
      <c r="K68" s="489"/>
      <c r="L68" s="490"/>
      <c r="M68" s="491"/>
      <c r="N68" s="1002"/>
      <c r="O68" s="1002"/>
      <c r="P68" s="1917"/>
      <c r="Q68" s="447"/>
    </row>
    <row r="69" spans="1:17" ht="15.75" thickBot="1">
      <c r="A69" s="375"/>
      <c r="B69" s="474"/>
      <c r="C69" s="483">
        <v>100</v>
      </c>
      <c r="D69" s="483">
        <f t="shared" ref="D69:M69" si="23">C69-$K11</f>
        <v>100</v>
      </c>
      <c r="E69" s="483">
        <f t="shared" si="23"/>
        <v>100</v>
      </c>
      <c r="F69" s="483">
        <f t="shared" si="23"/>
        <v>100</v>
      </c>
      <c r="G69" s="483">
        <f t="shared" si="23"/>
        <v>100</v>
      </c>
      <c r="H69" s="483">
        <f t="shared" si="23"/>
        <v>100</v>
      </c>
      <c r="I69" s="483">
        <f t="shared" si="23"/>
        <v>100</v>
      </c>
      <c r="J69" s="483">
        <f t="shared" si="23"/>
        <v>100</v>
      </c>
      <c r="K69" s="483">
        <f t="shared" si="23"/>
        <v>100</v>
      </c>
      <c r="L69" s="483">
        <f t="shared" si="23"/>
        <v>100</v>
      </c>
      <c r="M69" s="484">
        <f t="shared" si="23"/>
        <v>100</v>
      </c>
      <c r="N69" s="1003"/>
      <c r="O69" s="1003"/>
      <c r="P69" s="1917"/>
      <c r="Q69" s="447"/>
    </row>
    <row r="70" spans="1:17" s="416" customFormat="1" ht="15.75" thickTop="1">
      <c r="A70" s="492"/>
      <c r="B70" s="477">
        <f>B12</f>
        <v>111</v>
      </c>
      <c r="C70" s="493"/>
      <c r="D70" s="493"/>
      <c r="E70" s="493"/>
      <c r="F70" s="493"/>
      <c r="G70" s="493"/>
      <c r="H70" s="494"/>
      <c r="I70" s="494"/>
      <c r="J70" s="494"/>
      <c r="K70" s="494"/>
      <c r="L70" s="495"/>
      <c r="M70" s="496"/>
      <c r="N70" s="1004"/>
      <c r="O70" s="1004"/>
      <c r="P70" s="1918"/>
      <c r="Q70" s="498"/>
    </row>
    <row r="71" spans="1:17" s="416" customFormat="1" ht="15.75" thickBot="1">
      <c r="A71" s="492"/>
      <c r="B71" s="482"/>
      <c r="C71" s="499"/>
      <c r="D71" s="475"/>
      <c r="E71" s="475"/>
      <c r="F71" s="475"/>
      <c r="G71" s="475"/>
      <c r="H71" s="475"/>
      <c r="I71" s="475"/>
      <c r="J71" s="475"/>
      <c r="K71" s="475"/>
      <c r="L71" s="475"/>
      <c r="M71" s="476"/>
      <c r="N71" s="1003"/>
      <c r="O71" s="1003"/>
      <c r="P71" s="1918"/>
      <c r="Q71" s="498"/>
    </row>
    <row r="72" spans="1:17" s="416" customFormat="1" ht="15.75" thickTop="1">
      <c r="A72" s="492"/>
      <c r="B72" s="477">
        <f>B13</f>
        <v>111</v>
      </c>
      <c r="C72" s="493"/>
      <c r="D72" s="493"/>
      <c r="E72" s="493"/>
      <c r="F72" s="493"/>
      <c r="G72" s="493"/>
      <c r="H72" s="494"/>
      <c r="I72" s="494"/>
      <c r="J72" s="494"/>
      <c r="K72" s="494"/>
      <c r="L72" s="495"/>
      <c r="M72" s="496"/>
      <c r="N72" s="1004"/>
      <c r="O72" s="1004"/>
      <c r="P72" s="1919"/>
      <c r="Q72" s="500"/>
    </row>
    <row r="73" spans="1:17" s="416" customFormat="1" ht="15.75" thickBot="1">
      <c r="A73" s="492"/>
      <c r="B73" s="482"/>
      <c r="C73" s="499"/>
      <c r="D73" s="499"/>
      <c r="E73" s="499"/>
      <c r="F73" s="499"/>
      <c r="G73" s="499"/>
      <c r="H73" s="501"/>
      <c r="I73" s="501"/>
      <c r="J73" s="501"/>
      <c r="K73" s="501"/>
      <c r="L73" s="501"/>
      <c r="M73" s="502"/>
      <c r="N73" s="1004"/>
      <c r="O73" s="1004"/>
      <c r="P73" s="1918"/>
      <c r="Q73" s="498"/>
    </row>
    <row r="74" spans="1:17" s="416" customFormat="1" ht="15.75" thickTop="1">
      <c r="A74" s="492"/>
      <c r="B74" s="485">
        <f>B14</f>
        <v>111</v>
      </c>
      <c r="C74" s="493"/>
      <c r="D74" s="493"/>
      <c r="E74" s="493"/>
      <c r="F74" s="493"/>
      <c r="G74" s="34"/>
      <c r="H74" s="503"/>
      <c r="I74" s="503"/>
      <c r="J74" s="503"/>
      <c r="K74" s="503"/>
      <c r="L74" s="504"/>
      <c r="M74" s="505"/>
      <c r="N74" s="1004"/>
      <c r="O74" s="1004"/>
      <c r="P74" s="1920"/>
      <c r="Q74" s="498"/>
    </row>
    <row r="75" spans="1:17" s="416" customFormat="1" ht="15.75" thickBot="1">
      <c r="A75" s="507"/>
      <c r="B75" s="508"/>
      <c r="C75" s="509"/>
      <c r="D75" s="509"/>
      <c r="E75" s="509"/>
      <c r="F75" s="509"/>
      <c r="G75" s="509"/>
      <c r="H75" s="510"/>
      <c r="I75" s="510"/>
      <c r="J75" s="510"/>
      <c r="K75" s="510"/>
      <c r="L75" s="510"/>
      <c r="M75" s="511"/>
      <c r="N75" s="1004"/>
      <c r="O75" s="1004"/>
      <c r="P75" s="1918"/>
      <c r="Q75" s="498"/>
    </row>
    <row r="76" spans="1:17">
      <c r="A76" s="387" t="s">
        <v>2313</v>
      </c>
      <c r="B76" s="468" t="s">
        <v>2349</v>
      </c>
      <c r="C76" s="512" t="s">
        <v>2350</v>
      </c>
      <c r="D76" s="512" t="s">
        <v>2351</v>
      </c>
      <c r="E76" s="512" t="s">
        <v>2352</v>
      </c>
      <c r="F76" s="512" t="s">
        <v>2353</v>
      </c>
      <c r="G76" s="512" t="s">
        <v>2354</v>
      </c>
      <c r="H76" s="469"/>
      <c r="I76" s="469"/>
      <c r="J76" s="469"/>
      <c r="K76" s="513"/>
      <c r="L76" s="514"/>
      <c r="M76" s="515"/>
      <c r="N76" s="1002"/>
      <c r="O76" s="1002"/>
      <c r="P76" s="1921"/>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1003"/>
      <c r="O77" s="1003"/>
      <c r="P77" s="1917"/>
      <c r="Q77" s="447"/>
    </row>
    <row r="78" spans="1:17" ht="15.75" thickTop="1">
      <c r="A78" s="375"/>
      <c r="B78" s="477" t="s">
        <v>2355</v>
      </c>
      <c r="C78" s="517" t="s">
        <v>2350</v>
      </c>
      <c r="D78" s="517" t="s">
        <v>2351</v>
      </c>
      <c r="E78" s="517" t="s">
        <v>2352</v>
      </c>
      <c r="F78" s="517" t="s">
        <v>2353</v>
      </c>
      <c r="G78" s="517" t="s">
        <v>2354</v>
      </c>
      <c r="H78" s="478"/>
      <c r="I78" s="478"/>
      <c r="J78" s="478"/>
      <c r="K78" s="479"/>
      <c r="L78" s="480"/>
      <c r="M78" s="481"/>
      <c r="N78" s="1002"/>
      <c r="O78" s="1002"/>
      <c r="P78" s="1917"/>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1003"/>
      <c r="O79" s="1003"/>
      <c r="P79" s="1917"/>
      <c r="Q79" s="447"/>
    </row>
    <row r="80" spans="1:17" ht="15.75" thickTop="1">
      <c r="A80" s="375"/>
      <c r="B80" s="477" t="s">
        <v>2356</v>
      </c>
      <c r="C80" s="517" t="s">
        <v>2350</v>
      </c>
      <c r="D80" s="517" t="s">
        <v>2351</v>
      </c>
      <c r="E80" s="517" t="s">
        <v>2352</v>
      </c>
      <c r="F80" s="517" t="s">
        <v>2353</v>
      </c>
      <c r="G80" s="517" t="s">
        <v>2354</v>
      </c>
      <c r="H80" s="478"/>
      <c r="I80" s="478"/>
      <c r="J80" s="478"/>
      <c r="K80" s="479"/>
      <c r="L80" s="480"/>
      <c r="M80" s="481"/>
      <c r="N80" s="1002"/>
      <c r="O80" s="1002"/>
      <c r="P80" s="1917"/>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1003"/>
      <c r="O81" s="1003"/>
      <c r="P81" s="1917"/>
      <c r="Q81" s="447"/>
    </row>
    <row r="82" spans="1:17" ht="15.75" thickTop="1">
      <c r="A82" s="375"/>
      <c r="B82" s="485" t="s">
        <v>1884</v>
      </c>
      <c r="C82" s="478" t="s">
        <v>2357</v>
      </c>
      <c r="D82" s="478" t="s">
        <v>2358</v>
      </c>
      <c r="E82" s="478" t="s">
        <v>2359</v>
      </c>
      <c r="F82" s="478" t="s">
        <v>2360</v>
      </c>
      <c r="G82" s="478" t="s">
        <v>2361</v>
      </c>
      <c r="H82" s="478"/>
      <c r="I82" s="478"/>
      <c r="J82" s="478"/>
      <c r="K82" s="478"/>
      <c r="L82" s="478"/>
      <c r="M82" s="1190"/>
      <c r="N82" s="1003"/>
      <c r="O82" s="1003"/>
      <c r="P82" s="1917"/>
      <c r="Q82" s="447"/>
    </row>
    <row r="83" spans="1:17" ht="15.75" thickBot="1">
      <c r="A83" s="375"/>
      <c r="B83" s="485"/>
      <c r="C83" s="589">
        <v>100</v>
      </c>
      <c r="D83" s="589">
        <f>C83-$K21</f>
        <v>100</v>
      </c>
      <c r="E83" s="589">
        <f t="shared" ref="E83:G83" si="24">D83-$K21</f>
        <v>100</v>
      </c>
      <c r="F83" s="589">
        <f t="shared" si="24"/>
        <v>100</v>
      </c>
      <c r="G83" s="589">
        <f t="shared" si="24"/>
        <v>100</v>
      </c>
      <c r="H83" s="589"/>
      <c r="I83" s="589"/>
      <c r="J83" s="589"/>
      <c r="K83" s="589"/>
      <c r="L83" s="589"/>
      <c r="M83" s="397"/>
      <c r="N83" s="1003"/>
      <c r="O83" s="1003"/>
      <c r="P83" s="1917"/>
      <c r="Q83" s="447"/>
    </row>
    <row r="84" spans="1:17" ht="15.75" thickTop="1">
      <c r="A84" s="375"/>
      <c r="B84" s="477" t="s">
        <v>2362</v>
      </c>
      <c r="C84" s="517" t="s">
        <v>2350</v>
      </c>
      <c r="D84" s="517" t="s">
        <v>2351</v>
      </c>
      <c r="E84" s="517" t="s">
        <v>2352</v>
      </c>
      <c r="F84" s="517" t="s">
        <v>2353</v>
      </c>
      <c r="G84" s="517" t="s">
        <v>2354</v>
      </c>
      <c r="H84" s="478"/>
      <c r="I84" s="478"/>
      <c r="J84" s="478"/>
      <c r="K84" s="479"/>
      <c r="L84" s="480"/>
      <c r="M84" s="481"/>
      <c r="N84" s="1002"/>
      <c r="O84" s="1002"/>
      <c r="P84" s="1917"/>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1003"/>
      <c r="O85" s="1003"/>
      <c r="P85" s="1917"/>
      <c r="Q85" s="447"/>
    </row>
    <row r="86" spans="1:17" s="107" customFormat="1" ht="15.75" thickTop="1">
      <c r="A86" s="378"/>
      <c r="B86" s="477" t="s">
        <v>2363</v>
      </c>
      <c r="C86" s="3126" t="s">
        <v>3694</v>
      </c>
      <c r="D86" s="3126" t="s">
        <v>3695</v>
      </c>
      <c r="E86" s="3126" t="s">
        <v>3696</v>
      </c>
      <c r="F86" s="3126" t="s">
        <v>3697</v>
      </c>
      <c r="G86" s="3126" t="s">
        <v>3698</v>
      </c>
      <c r="H86" s="3126" t="s">
        <v>3699</v>
      </c>
      <c r="I86" s="494"/>
      <c r="J86" s="494"/>
      <c r="K86" s="493"/>
      <c r="L86" s="518"/>
      <c r="M86" s="519"/>
      <c r="N86" s="1001"/>
      <c r="O86" s="1001"/>
      <c r="P86" s="1917"/>
      <c r="Q86" s="447"/>
    </row>
    <row r="87" spans="1:17" s="107" customFormat="1" ht="15.75" thickBot="1">
      <c r="A87" s="378"/>
      <c r="B87" s="482"/>
      <c r="C87" s="499">
        <f t="shared" ref="C87:E87" si="25">D87+$J$87</f>
        <v>102</v>
      </c>
      <c r="D87" s="499">
        <f t="shared" si="25"/>
        <v>101.5</v>
      </c>
      <c r="E87" s="499">
        <f t="shared" si="25"/>
        <v>101</v>
      </c>
      <c r="F87" s="499">
        <f>G87+$J$87</f>
        <v>100.5</v>
      </c>
      <c r="G87" s="499">
        <v>100</v>
      </c>
      <c r="H87" s="416">
        <f>G87-$J$87</f>
        <v>99.5</v>
      </c>
      <c r="I87" s="501"/>
      <c r="J87" s="501">
        <v>0.5</v>
      </c>
      <c r="K87" s="483">
        <f t="shared" ref="K87:M87" si="26">$C$87-($C$86-K86)*$K$25</f>
        <v>102</v>
      </c>
      <c r="L87" s="483">
        <f t="shared" si="26"/>
        <v>102</v>
      </c>
      <c r="M87" s="483">
        <f t="shared" si="26"/>
        <v>102</v>
      </c>
      <c r="N87" s="1003"/>
      <c r="O87" s="1003"/>
      <c r="P87" s="1917"/>
      <c r="Q87" s="447"/>
    </row>
    <row r="88" spans="1:17" s="107" customFormat="1" ht="15.75" thickTop="1">
      <c r="A88" s="378"/>
      <c r="B88" s="477" t="s">
        <v>2364</v>
      </c>
      <c r="C88" s="3127" t="s">
        <v>3701</v>
      </c>
      <c r="D88" s="2939" t="s">
        <v>3702</v>
      </c>
      <c r="E88" s="2939" t="s">
        <v>3703</v>
      </c>
      <c r="F88" s="2939" t="s">
        <v>3704</v>
      </c>
      <c r="G88" s="2939" t="s">
        <v>3705</v>
      </c>
      <c r="H88" s="2939" t="s">
        <v>3706</v>
      </c>
      <c r="I88" s="3128" t="s">
        <v>3707</v>
      </c>
      <c r="J88" s="3128" t="s">
        <v>3708</v>
      </c>
      <c r="K88" s="2939" t="s">
        <v>3709</v>
      </c>
      <c r="L88" s="2939" t="s">
        <v>3710</v>
      </c>
      <c r="M88" s="519"/>
      <c r="N88" s="1001"/>
      <c r="O88" s="1001"/>
      <c r="P88" s="1917"/>
      <c r="Q88" s="447"/>
    </row>
    <row r="89" spans="1:17" s="107" customFormat="1" ht="15.75" thickBot="1">
      <c r="A89" s="378"/>
      <c r="B89" s="482"/>
      <c r="C89" s="520">
        <v>100</v>
      </c>
      <c r="D89" s="483">
        <f t="shared" ref="D89:M89" si="27">C89-$K26</f>
        <v>99</v>
      </c>
      <c r="E89" s="483">
        <f t="shared" si="27"/>
        <v>98</v>
      </c>
      <c r="F89" s="483">
        <f t="shared" si="27"/>
        <v>97</v>
      </c>
      <c r="G89" s="483">
        <f t="shared" si="27"/>
        <v>96</v>
      </c>
      <c r="H89" s="483">
        <f t="shared" si="27"/>
        <v>95</v>
      </c>
      <c r="I89" s="483">
        <f t="shared" si="27"/>
        <v>94</v>
      </c>
      <c r="J89" s="483">
        <f t="shared" si="27"/>
        <v>93</v>
      </c>
      <c r="K89" s="483">
        <f t="shared" si="27"/>
        <v>92</v>
      </c>
      <c r="L89" s="483">
        <f>K89-$K26</f>
        <v>91</v>
      </c>
      <c r="M89" s="483">
        <f t="shared" si="27"/>
        <v>90</v>
      </c>
      <c r="N89" s="1003"/>
      <c r="O89" s="1003"/>
      <c r="P89" s="1917"/>
      <c r="Q89" s="447"/>
    </row>
    <row r="90" spans="1:17" s="416" customFormat="1" ht="15.75" thickTop="1">
      <c r="A90" s="492"/>
      <c r="B90" s="477">
        <f>B27</f>
        <v>111</v>
      </c>
      <c r="C90" s="493"/>
      <c r="D90" s="493"/>
      <c r="E90" s="493"/>
      <c r="F90" s="493"/>
      <c r="G90" s="493"/>
      <c r="H90" s="494"/>
      <c r="I90" s="494"/>
      <c r="J90" s="494"/>
      <c r="K90" s="494"/>
      <c r="L90" s="495"/>
      <c r="M90" s="496"/>
      <c r="N90" s="1004"/>
      <c r="O90" s="1004"/>
      <c r="P90" s="1918"/>
      <c r="Q90" s="498"/>
    </row>
    <row r="91" spans="1:17" s="416" customFormat="1" ht="15.75" thickBot="1">
      <c r="A91" s="492"/>
      <c r="B91" s="482"/>
      <c r="C91" s="499"/>
      <c r="D91" s="499"/>
      <c r="E91" s="499"/>
      <c r="F91" s="499"/>
      <c r="G91" s="499"/>
      <c r="H91" s="501"/>
      <c r="I91" s="501"/>
      <c r="J91" s="501"/>
      <c r="K91" s="501"/>
      <c r="L91" s="501"/>
      <c r="M91" s="502"/>
      <c r="N91" s="1004"/>
      <c r="O91" s="1004"/>
      <c r="P91" s="1918"/>
      <c r="Q91" s="498"/>
    </row>
    <row r="92" spans="1:17" ht="15.75" thickTop="1">
      <c r="A92" s="375"/>
      <c r="B92" s="477">
        <f>B28</f>
        <v>111</v>
      </c>
      <c r="C92" s="493"/>
      <c r="D92" s="493"/>
      <c r="E92" s="493"/>
      <c r="F92" s="493"/>
      <c r="G92" s="521"/>
      <c r="H92" s="521"/>
      <c r="I92" s="521"/>
      <c r="J92" s="521"/>
      <c r="K92" s="522"/>
      <c r="L92" s="523"/>
      <c r="M92" s="524"/>
      <c r="N92" s="1002"/>
      <c r="O92" s="1002"/>
      <c r="P92" s="1917"/>
      <c r="Q92" s="447"/>
    </row>
    <row r="93" spans="1:17" ht="15.75" thickBot="1">
      <c r="A93" s="375"/>
      <c r="B93" s="482"/>
      <c r="C93" s="499"/>
      <c r="D93" s="475"/>
      <c r="E93" s="475"/>
      <c r="F93" s="475"/>
      <c r="G93" s="475"/>
      <c r="H93" s="475"/>
      <c r="I93" s="475"/>
      <c r="J93" s="475"/>
      <c r="K93" s="475"/>
      <c r="L93" s="475"/>
      <c r="M93" s="476"/>
      <c r="N93" s="1003"/>
      <c r="O93" s="1003"/>
      <c r="P93" s="1917"/>
      <c r="Q93" s="447"/>
    </row>
    <row r="94" spans="1:17" ht="15.75" thickTop="1">
      <c r="A94" s="375"/>
      <c r="B94" s="477">
        <f>B29</f>
        <v>111</v>
      </c>
      <c r="C94" s="493"/>
      <c r="D94" s="493"/>
      <c r="E94" s="493"/>
      <c r="F94" s="493"/>
      <c r="G94" s="521"/>
      <c r="H94" s="521"/>
      <c r="I94" s="521"/>
      <c r="J94" s="521"/>
      <c r="K94" s="522"/>
      <c r="L94" s="523"/>
      <c r="M94" s="524"/>
      <c r="N94" s="1002"/>
      <c r="O94" s="1002"/>
      <c r="P94" s="1917"/>
      <c r="Q94" s="447"/>
    </row>
    <row r="95" spans="1:17" ht="15.75" thickBot="1">
      <c r="A95" s="375"/>
      <c r="B95" s="482"/>
      <c r="C95" s="499"/>
      <c r="D95" s="499"/>
      <c r="E95" s="499"/>
      <c r="F95" s="499"/>
      <c r="G95" s="475"/>
      <c r="H95" s="475"/>
      <c r="I95" s="475"/>
      <c r="J95" s="475"/>
      <c r="K95" s="475"/>
      <c r="L95" s="475"/>
      <c r="M95" s="476"/>
      <c r="N95" s="1003"/>
      <c r="O95" s="1003"/>
      <c r="P95" s="1917"/>
      <c r="Q95" s="447"/>
    </row>
    <row r="96" spans="1:17" ht="15.75" thickTop="1">
      <c r="A96" s="375"/>
      <c r="B96" s="477">
        <f>B30</f>
        <v>111</v>
      </c>
      <c r="C96" s="493"/>
      <c r="D96" s="493"/>
      <c r="E96" s="493"/>
      <c r="F96" s="493"/>
      <c r="G96" s="521"/>
      <c r="H96" s="521"/>
      <c r="I96" s="521"/>
      <c r="J96" s="521"/>
      <c r="K96" s="522"/>
      <c r="L96" s="523"/>
      <c r="M96" s="524"/>
      <c r="N96" s="1002"/>
      <c r="O96" s="1002"/>
      <c r="P96" s="1917"/>
      <c r="Q96" s="447"/>
    </row>
    <row r="97" spans="1:17" ht="15.75" thickBot="1">
      <c r="A97" s="375"/>
      <c r="B97" s="482"/>
      <c r="C97" s="509"/>
      <c r="D97" s="509"/>
      <c r="E97" s="509"/>
      <c r="F97" s="509"/>
      <c r="G97" s="475"/>
      <c r="H97" s="475"/>
      <c r="I97" s="475"/>
      <c r="J97" s="475"/>
      <c r="K97" s="475"/>
      <c r="L97" s="475"/>
      <c r="M97" s="476"/>
      <c r="N97" s="1003"/>
      <c r="O97" s="1003"/>
      <c r="P97" s="1917"/>
      <c r="Q97" s="447"/>
    </row>
    <row r="98" spans="1:17" ht="15.75" thickTop="1">
      <c r="A98" s="375"/>
      <c r="B98" s="485">
        <f>B31</f>
        <v>111</v>
      </c>
      <c r="C98" s="525"/>
      <c r="D98" s="525"/>
      <c r="E98" s="525"/>
      <c r="F98" s="525"/>
      <c r="G98" s="525"/>
      <c r="H98" s="525"/>
      <c r="I98" s="525"/>
      <c r="J98" s="525"/>
      <c r="K98" s="526"/>
      <c r="L98" s="527"/>
      <c r="M98" s="528"/>
      <c r="N98" s="1002"/>
      <c r="O98" s="1002"/>
      <c r="P98" s="1917"/>
      <c r="Q98" s="447"/>
    </row>
    <row r="99" spans="1:17" ht="15.75" thickBot="1">
      <c r="A99" s="383"/>
      <c r="B99" s="508"/>
      <c r="C99" s="529"/>
      <c r="D99" s="529"/>
      <c r="E99" s="529"/>
      <c r="F99" s="529"/>
      <c r="G99" s="529"/>
      <c r="H99" s="529"/>
      <c r="I99" s="529"/>
      <c r="J99" s="529"/>
      <c r="K99" s="529"/>
      <c r="L99" s="529"/>
      <c r="M99" s="530"/>
      <c r="N99" s="1003"/>
      <c r="O99" s="1003"/>
      <c r="P99" s="1917"/>
      <c r="Q99" s="447"/>
    </row>
    <row r="100" spans="1:17">
      <c r="A100" s="387" t="s">
        <v>2317</v>
      </c>
      <c r="B100" s="468" t="s">
        <v>2365</v>
      </c>
      <c r="C100" s="2937" t="s">
        <v>3711</v>
      </c>
      <c r="D100" s="2937" t="s">
        <v>3712</v>
      </c>
      <c r="E100" s="2937" t="s">
        <v>3168</v>
      </c>
      <c r="F100" s="470"/>
      <c r="G100" s="470"/>
      <c r="H100" s="470"/>
      <c r="I100" s="470"/>
      <c r="J100" s="470"/>
      <c r="K100" s="471"/>
      <c r="L100" s="472"/>
      <c r="M100" s="473"/>
      <c r="N100" s="1002"/>
      <c r="O100" s="1002"/>
      <c r="P100" s="1917"/>
      <c r="Q100" s="447"/>
    </row>
    <row r="101" spans="1:17" ht="15.75" thickBot="1">
      <c r="A101" s="375"/>
      <c r="B101" s="482"/>
      <c r="C101" s="483">
        <v>100</v>
      </c>
      <c r="D101" s="483">
        <f t="shared" ref="D101:M101" si="28">C101-$K32</f>
        <v>100</v>
      </c>
      <c r="E101" s="483">
        <f t="shared" si="28"/>
        <v>100</v>
      </c>
      <c r="F101" s="483">
        <f t="shared" si="28"/>
        <v>100</v>
      </c>
      <c r="G101" s="483">
        <f t="shared" si="28"/>
        <v>100</v>
      </c>
      <c r="H101" s="483">
        <f t="shared" si="28"/>
        <v>100</v>
      </c>
      <c r="I101" s="483">
        <f t="shared" si="28"/>
        <v>100</v>
      </c>
      <c r="J101" s="483">
        <f t="shared" si="28"/>
        <v>100</v>
      </c>
      <c r="K101" s="483">
        <f t="shared" si="28"/>
        <v>100</v>
      </c>
      <c r="L101" s="483">
        <f t="shared" si="28"/>
        <v>100</v>
      </c>
      <c r="M101" s="483">
        <f t="shared" si="28"/>
        <v>100</v>
      </c>
      <c r="N101" s="1003"/>
      <c r="O101" s="1003"/>
      <c r="P101" s="1917"/>
      <c r="Q101" s="447"/>
    </row>
    <row r="102" spans="1:17" ht="15.75" thickTop="1">
      <c r="A102" s="375"/>
      <c r="B102" s="477" t="s">
        <v>2366</v>
      </c>
      <c r="C102" s="517" t="str">
        <f>C103&amp;"(含)"&amp;"-"&amp;D103</f>
        <v>0(含)-40</v>
      </c>
      <c r="D102" s="517" t="str">
        <f t="shared" ref="D102:L102" si="29">D103&amp;"(含)"&amp;"-"&amp;E103</f>
        <v>40(含)-50</v>
      </c>
      <c r="E102" s="517" t="str">
        <f t="shared" si="29"/>
        <v>50(含)-60</v>
      </c>
      <c r="F102" s="517" t="str">
        <f t="shared" si="29"/>
        <v>60(含)-70</v>
      </c>
      <c r="G102" s="517" t="str">
        <f t="shared" si="29"/>
        <v>70(含)-80</v>
      </c>
      <c r="H102" s="517" t="str">
        <f t="shared" si="29"/>
        <v>80(含)-90</v>
      </c>
      <c r="I102" s="517" t="str">
        <f t="shared" si="29"/>
        <v>90(含)-</v>
      </c>
      <c r="J102" s="517" t="str">
        <f t="shared" si="29"/>
        <v>(含)-1</v>
      </c>
      <c r="K102" s="517" t="str">
        <f>K103&amp;"(含)"&amp;"-"&amp;L103</f>
        <v>1(含)-</v>
      </c>
      <c r="L102" s="517" t="str">
        <f t="shared" si="29"/>
        <v>(含)-</v>
      </c>
      <c r="M102" s="517" t="str">
        <f>M103&amp;"(含)"&amp;"-"&amp;P103</f>
        <v>(含)-</v>
      </c>
      <c r="N102" s="1001"/>
      <c r="O102" s="1001"/>
      <c r="P102" s="1917"/>
      <c r="Q102" s="447"/>
    </row>
    <row r="103" spans="1:17" s="416" customFormat="1">
      <c r="A103" s="414"/>
      <c r="B103" s="531"/>
      <c r="C103" s="9">
        <v>0</v>
      </c>
      <c r="D103" s="9">
        <v>40</v>
      </c>
      <c r="E103" s="9">
        <v>50</v>
      </c>
      <c r="F103" s="9">
        <v>60</v>
      </c>
      <c r="G103" s="9">
        <v>70</v>
      </c>
      <c r="H103" s="9">
        <v>80</v>
      </c>
      <c r="I103" s="9">
        <v>90</v>
      </c>
      <c r="J103" s="532"/>
      <c r="K103" s="532">
        <v>1</v>
      </c>
      <c r="L103" s="533"/>
      <c r="M103" s="534"/>
      <c r="N103" s="1004"/>
      <c r="O103" s="1004"/>
      <c r="P103" s="1918"/>
      <c r="Q103" s="498"/>
    </row>
    <row r="104" spans="1:17" s="416" customFormat="1" ht="15.75" thickBot="1">
      <c r="A104" s="492"/>
      <c r="B104" s="482"/>
      <c r="C104" s="475">
        <f t="shared" ref="C104:D104" si="30">D104+$K$103</f>
        <v>103</v>
      </c>
      <c r="D104" s="475">
        <f t="shared" si="30"/>
        <v>102</v>
      </c>
      <c r="E104" s="475">
        <f>F104+$K$103</f>
        <v>101</v>
      </c>
      <c r="F104" s="475">
        <v>100</v>
      </c>
      <c r="G104" s="475">
        <f>F104-$K$103</f>
        <v>99</v>
      </c>
      <c r="H104" s="475">
        <f>G104-$K$103</f>
        <v>98</v>
      </c>
      <c r="I104" s="475">
        <f>H104-$K$103</f>
        <v>97</v>
      </c>
      <c r="J104" s="475"/>
      <c r="K104" s="475"/>
      <c r="L104" s="475"/>
      <c r="M104" s="475"/>
      <c r="N104" s="1003"/>
      <c r="O104" s="1003"/>
      <c r="P104" s="1918"/>
      <c r="Q104" s="498"/>
    </row>
    <row r="105" spans="1:17" ht="15" thickTop="1">
      <c r="A105" s="417"/>
      <c r="B105" s="477" t="s">
        <v>2367</v>
      </c>
      <c r="C105" s="2938" t="s">
        <v>3169</v>
      </c>
      <c r="D105" s="2938" t="s">
        <v>3713</v>
      </c>
      <c r="E105" s="521"/>
      <c r="F105" s="521"/>
      <c r="G105" s="521"/>
      <c r="H105" s="521"/>
      <c r="I105" s="521"/>
      <c r="J105" s="521"/>
      <c r="K105" s="522"/>
      <c r="L105" s="523"/>
      <c r="M105" s="524"/>
      <c r="N105" s="1002"/>
      <c r="O105" s="1002"/>
      <c r="P105" s="1917"/>
      <c r="Q105" s="447"/>
    </row>
    <row r="106" spans="1:17" ht="15.75" thickBot="1">
      <c r="A106" s="375"/>
      <c r="B106" s="482"/>
      <c r="C106" s="483">
        <v>100</v>
      </c>
      <c r="D106" s="483">
        <f t="shared" ref="D106:M106" si="31">C106-$K34</f>
        <v>100</v>
      </c>
      <c r="E106" s="483">
        <f t="shared" si="31"/>
        <v>100</v>
      </c>
      <c r="F106" s="483">
        <f t="shared" si="31"/>
        <v>100</v>
      </c>
      <c r="G106" s="483">
        <f t="shared" si="31"/>
        <v>100</v>
      </c>
      <c r="H106" s="483">
        <f t="shared" si="31"/>
        <v>100</v>
      </c>
      <c r="I106" s="483">
        <f t="shared" si="31"/>
        <v>100</v>
      </c>
      <c r="J106" s="483">
        <f t="shared" si="31"/>
        <v>100</v>
      </c>
      <c r="K106" s="483">
        <f t="shared" si="31"/>
        <v>100</v>
      </c>
      <c r="L106" s="483">
        <f t="shared" si="31"/>
        <v>100</v>
      </c>
      <c r="M106" s="483">
        <f t="shared" si="31"/>
        <v>100</v>
      </c>
      <c r="N106" s="1003"/>
      <c r="O106" s="1003"/>
      <c r="P106" s="1917"/>
      <c r="Q106" s="447"/>
    </row>
    <row r="107" spans="1:17" ht="15" thickTop="1">
      <c r="A107" s="417"/>
      <c r="B107" s="477" t="s">
        <v>2368</v>
      </c>
      <c r="C107" s="521"/>
      <c r="D107" s="521"/>
      <c r="E107" s="521"/>
      <c r="F107" s="521"/>
      <c r="G107" s="521"/>
      <c r="H107" s="521"/>
      <c r="I107" s="521"/>
      <c r="J107" s="521"/>
      <c r="K107" s="522"/>
      <c r="L107" s="523"/>
      <c r="M107" s="524"/>
      <c r="N107" s="1002"/>
      <c r="O107" s="1002"/>
      <c r="P107" s="1917"/>
      <c r="Q107" s="447"/>
    </row>
    <row r="108" spans="1:17" ht="15.75" thickBot="1">
      <c r="A108" s="375"/>
      <c r="B108" s="482"/>
      <c r="C108" s="483">
        <v>100</v>
      </c>
      <c r="D108" s="483">
        <f t="shared" ref="D108:M108" si="32">C108-$K35</f>
        <v>100</v>
      </c>
      <c r="E108" s="483">
        <f t="shared" si="32"/>
        <v>100</v>
      </c>
      <c r="F108" s="483">
        <f t="shared" si="32"/>
        <v>100</v>
      </c>
      <c r="G108" s="483">
        <f t="shared" si="32"/>
        <v>100</v>
      </c>
      <c r="H108" s="483">
        <f t="shared" si="32"/>
        <v>100</v>
      </c>
      <c r="I108" s="483">
        <f t="shared" si="32"/>
        <v>100</v>
      </c>
      <c r="J108" s="483">
        <f t="shared" si="32"/>
        <v>100</v>
      </c>
      <c r="K108" s="483">
        <f t="shared" si="32"/>
        <v>100</v>
      </c>
      <c r="L108" s="483">
        <f t="shared" si="32"/>
        <v>100</v>
      </c>
      <c r="M108" s="483">
        <f t="shared" si="32"/>
        <v>100</v>
      </c>
      <c r="N108" s="1003"/>
      <c r="O108" s="1003"/>
      <c r="P108" s="1917"/>
      <c r="Q108" s="447"/>
    </row>
    <row r="109" spans="1:17" ht="15" thickTop="1">
      <c r="A109" s="417"/>
      <c r="B109" s="477" t="s">
        <v>2369</v>
      </c>
      <c r="C109" s="2938" t="s">
        <v>3183</v>
      </c>
      <c r="D109" s="2938" t="s">
        <v>3184</v>
      </c>
      <c r="E109" s="493"/>
      <c r="F109" s="521"/>
      <c r="G109" s="521"/>
      <c r="H109" s="521"/>
      <c r="I109" s="521"/>
      <c r="J109" s="521"/>
      <c r="K109" s="522"/>
      <c r="L109" s="523"/>
      <c r="M109" s="524"/>
      <c r="N109" s="1002"/>
      <c r="O109" s="1002"/>
      <c r="P109" s="1917"/>
      <c r="Q109" s="447"/>
    </row>
    <row r="110" spans="1:17" ht="15.75" thickBot="1">
      <c r="A110" s="375"/>
      <c r="B110" s="482"/>
      <c r="C110" s="483">
        <v>100</v>
      </c>
      <c r="D110" s="483">
        <f t="shared" ref="D110:M110" si="33">C110-$K36</f>
        <v>100</v>
      </c>
      <c r="E110" s="483">
        <f t="shared" si="33"/>
        <v>100</v>
      </c>
      <c r="F110" s="483">
        <f t="shared" si="33"/>
        <v>100</v>
      </c>
      <c r="G110" s="483">
        <f t="shared" si="33"/>
        <v>100</v>
      </c>
      <c r="H110" s="483">
        <f t="shared" si="33"/>
        <v>100</v>
      </c>
      <c r="I110" s="483">
        <f t="shared" si="33"/>
        <v>100</v>
      </c>
      <c r="J110" s="483">
        <f t="shared" si="33"/>
        <v>100</v>
      </c>
      <c r="K110" s="483">
        <f t="shared" si="33"/>
        <v>100</v>
      </c>
      <c r="L110" s="483">
        <f t="shared" si="33"/>
        <v>100</v>
      </c>
      <c r="M110" s="483">
        <f t="shared" si="33"/>
        <v>100</v>
      </c>
      <c r="N110" s="1003"/>
      <c r="O110" s="1003"/>
      <c r="P110" s="1917"/>
      <c r="Q110" s="447"/>
    </row>
    <row r="111" spans="1:17" s="416" customFormat="1" ht="29.25" thickTop="1">
      <c r="A111" s="414"/>
      <c r="B111" s="477" t="s">
        <v>1814</v>
      </c>
      <c r="C111" s="517" t="str">
        <f>C112&amp;"(含)"&amp;"-"&amp;D112</f>
        <v>1996(含)-1995</v>
      </c>
      <c r="D111" s="517" t="str">
        <f>D112&amp;"(含)"&amp;"-"&amp;E112</f>
        <v>1995(含)-1994</v>
      </c>
      <c r="E111" s="517" t="str">
        <f>E112&amp;"(含)"&amp;"-"&amp;F112</f>
        <v>1994(含)-0.8</v>
      </c>
      <c r="F111" s="517" t="str">
        <f>F112&amp;"(含)"&amp;"-"&amp;G112</f>
        <v>0.8(含)-0.9</v>
      </c>
      <c r="G111" s="517" t="str">
        <f>G112&amp;"(含)"&amp;"-"&amp;ROUND(H112,0)&amp;"(含)"</f>
        <v>0.9(含)-1(含)</v>
      </c>
      <c r="H111" s="517" t="str">
        <f>ROUND(H112,0)&amp;"(含)"&amp;"-"&amp;I112</f>
        <v>1(含)-</v>
      </c>
      <c r="I111" s="517"/>
      <c r="J111" s="535"/>
      <c r="K111" s="535"/>
      <c r="L111" s="536"/>
      <c r="M111" s="537"/>
      <c r="N111" s="1004"/>
      <c r="O111" s="1004"/>
      <c r="P111" s="1918"/>
      <c r="Q111" s="498"/>
    </row>
    <row r="112" spans="1:17" s="416" customFormat="1">
      <c r="A112" s="414"/>
      <c r="B112" s="485"/>
      <c r="C112" s="538">
        <v>1996</v>
      </c>
      <c r="D112" s="538">
        <v>1995</v>
      </c>
      <c r="E112" s="538">
        <v>1994</v>
      </c>
      <c r="F112" s="538">
        <v>0.8</v>
      </c>
      <c r="G112" s="538">
        <v>0.9</v>
      </c>
      <c r="H112" s="538">
        <v>1.0001</v>
      </c>
      <c r="I112" s="538"/>
      <c r="J112" s="539"/>
      <c r="K112" s="539"/>
      <c r="L112" s="540"/>
      <c r="M112" s="541"/>
      <c r="N112" s="1004"/>
      <c r="O112" s="1004"/>
      <c r="P112" s="1918"/>
      <c r="Q112" s="498"/>
    </row>
    <row r="113" spans="1:17" s="416" customFormat="1" ht="15.75" thickBot="1">
      <c r="A113" s="492"/>
      <c r="B113" s="482"/>
      <c r="C113" s="483">
        <f>D113+$K$37</f>
        <v>101</v>
      </c>
      <c r="D113" s="483">
        <f>E113+$K$37</f>
        <v>100.5</v>
      </c>
      <c r="E113" s="483">
        <v>100</v>
      </c>
      <c r="F113" s="483">
        <f>E113+$K37</f>
        <v>100.5</v>
      </c>
      <c r="G113" s="483">
        <f>F113+$K37</f>
        <v>101</v>
      </c>
      <c r="H113" s="483">
        <f>G113+$K37</f>
        <v>101.5</v>
      </c>
      <c r="I113" s="520"/>
      <c r="J113" s="542"/>
      <c r="K113" s="542"/>
      <c r="L113" s="542"/>
      <c r="M113" s="543"/>
      <c r="N113" s="1004"/>
      <c r="O113" s="1004"/>
      <c r="P113" s="1918"/>
      <c r="Q113" s="498"/>
    </row>
    <row r="114" spans="1:17" ht="15" thickTop="1">
      <c r="A114" s="417"/>
      <c r="B114" s="477" t="s">
        <v>2370</v>
      </c>
      <c r="C114" s="2938" t="s">
        <v>3714</v>
      </c>
      <c r="D114" s="2938" t="s">
        <v>3715</v>
      </c>
      <c r="E114" s="521"/>
      <c r="F114" s="521"/>
      <c r="G114" s="521"/>
      <c r="H114" s="521"/>
      <c r="I114" s="521"/>
      <c r="J114" s="521"/>
      <c r="K114" s="522"/>
      <c r="L114" s="523"/>
      <c r="M114" s="524"/>
      <c r="N114" s="1002"/>
      <c r="O114" s="1002"/>
      <c r="P114" s="1917"/>
      <c r="Q114" s="447"/>
    </row>
    <row r="115" spans="1:17" ht="15.75" thickBot="1">
      <c r="A115" s="375"/>
      <c r="B115" s="482"/>
      <c r="C115" s="483">
        <v>100</v>
      </c>
      <c r="D115" s="483">
        <f t="shared" ref="D115:M115" si="34">C115-$K38</f>
        <v>100</v>
      </c>
      <c r="E115" s="483">
        <f t="shared" si="34"/>
        <v>100</v>
      </c>
      <c r="F115" s="483">
        <f t="shared" si="34"/>
        <v>100</v>
      </c>
      <c r="G115" s="483">
        <f t="shared" si="34"/>
        <v>100</v>
      </c>
      <c r="H115" s="483">
        <f t="shared" si="34"/>
        <v>100</v>
      </c>
      <c r="I115" s="483">
        <f t="shared" si="34"/>
        <v>100</v>
      </c>
      <c r="J115" s="483">
        <f t="shared" si="34"/>
        <v>100</v>
      </c>
      <c r="K115" s="483">
        <f t="shared" si="34"/>
        <v>100</v>
      </c>
      <c r="L115" s="483">
        <f t="shared" si="34"/>
        <v>100</v>
      </c>
      <c r="M115" s="483">
        <f t="shared" si="34"/>
        <v>100</v>
      </c>
      <c r="N115" s="1003"/>
      <c r="O115" s="1003"/>
      <c r="P115" s="1917"/>
      <c r="Q115" s="447"/>
    </row>
    <row r="116" spans="1:17" ht="15" thickTop="1">
      <c r="A116" s="417"/>
      <c r="B116" s="477" t="s">
        <v>2371</v>
      </c>
      <c r="C116" s="2938" t="s">
        <v>3716</v>
      </c>
      <c r="D116" s="2938" t="s">
        <v>3717</v>
      </c>
      <c r="E116" s="493"/>
      <c r="F116" s="493"/>
      <c r="G116" s="493"/>
      <c r="H116" s="521"/>
      <c r="I116" s="521"/>
      <c r="J116" s="521"/>
      <c r="K116" s="522"/>
      <c r="L116" s="523"/>
      <c r="M116" s="524"/>
      <c r="N116" s="1002"/>
      <c r="O116" s="1002"/>
      <c r="P116" s="1917"/>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1003"/>
      <c r="O117" s="1003"/>
      <c r="P117" s="1917"/>
      <c r="Q117" s="447"/>
    </row>
    <row r="118" spans="1:17" ht="15" thickTop="1">
      <c r="A118" s="417"/>
      <c r="B118" s="477" t="s">
        <v>2372</v>
      </c>
      <c r="C118" s="521"/>
      <c r="D118" s="521"/>
      <c r="E118" s="521"/>
      <c r="F118" s="521"/>
      <c r="G118" s="521"/>
      <c r="H118" s="521"/>
      <c r="I118" s="521"/>
      <c r="J118" s="521"/>
      <c r="K118" s="522"/>
      <c r="L118" s="523"/>
      <c r="M118" s="524"/>
      <c r="N118" s="1002"/>
      <c r="O118" s="1002"/>
      <c r="P118" s="1917"/>
      <c r="Q118" s="447"/>
    </row>
    <row r="119" spans="1:17" ht="15.75" thickBot="1">
      <c r="A119" s="375"/>
      <c r="B119" s="482"/>
      <c r="C119" s="483">
        <v>100</v>
      </c>
      <c r="D119" s="483">
        <f t="shared" ref="D119:M119" si="35">C119-$K40</f>
        <v>100</v>
      </c>
      <c r="E119" s="483">
        <f t="shared" si="35"/>
        <v>100</v>
      </c>
      <c r="F119" s="483">
        <f t="shared" si="35"/>
        <v>100</v>
      </c>
      <c r="G119" s="483">
        <f t="shared" si="35"/>
        <v>100</v>
      </c>
      <c r="H119" s="483">
        <f t="shared" si="35"/>
        <v>100</v>
      </c>
      <c r="I119" s="483">
        <f t="shared" si="35"/>
        <v>100</v>
      </c>
      <c r="J119" s="483">
        <f t="shared" si="35"/>
        <v>100</v>
      </c>
      <c r="K119" s="483">
        <f t="shared" si="35"/>
        <v>100</v>
      </c>
      <c r="L119" s="483">
        <f t="shared" si="35"/>
        <v>100</v>
      </c>
      <c r="M119" s="483">
        <f t="shared" si="35"/>
        <v>100</v>
      </c>
      <c r="N119" s="1003"/>
      <c r="O119" s="1003"/>
      <c r="P119" s="1917"/>
      <c r="Q119" s="447"/>
    </row>
    <row r="120" spans="1:17" s="416" customFormat="1" ht="28.5" thickTop="1">
      <c r="A120" s="414"/>
      <c r="B120" s="477" t="s">
        <v>2327</v>
      </c>
      <c r="C120" s="493"/>
      <c r="D120" s="493"/>
      <c r="E120" s="493"/>
      <c r="F120" s="493"/>
      <c r="G120" s="493"/>
      <c r="H120" s="493"/>
      <c r="I120" s="493"/>
      <c r="J120" s="493"/>
      <c r="K120" s="493"/>
      <c r="L120" s="518"/>
      <c r="M120" s="519"/>
      <c r="N120" s="1004"/>
      <c r="O120" s="1004"/>
      <c r="P120" s="1918"/>
      <c r="Q120" s="498"/>
    </row>
    <row r="121" spans="1:17" s="416" customFormat="1" ht="15.75" thickBot="1">
      <c r="A121" s="492"/>
      <c r="B121" s="474"/>
      <c r="C121" s="499"/>
      <c r="D121" s="475"/>
      <c r="E121" s="475"/>
      <c r="F121" s="475"/>
      <c r="G121" s="475"/>
      <c r="H121" s="475"/>
      <c r="I121" s="475"/>
      <c r="J121" s="475"/>
      <c r="K121" s="475"/>
      <c r="L121" s="475"/>
      <c r="M121" s="475"/>
      <c r="N121" s="1004"/>
      <c r="O121" s="1004"/>
      <c r="P121" s="1918"/>
      <c r="Q121" s="498"/>
    </row>
    <row r="122" spans="1:17" ht="15" thickTop="1">
      <c r="A122" s="417"/>
      <c r="B122" s="477" t="s">
        <v>2373</v>
      </c>
      <c r="C122" s="2938" t="s">
        <v>3170</v>
      </c>
      <c r="D122" s="2938" t="s">
        <v>3183</v>
      </c>
      <c r="E122" s="2938" t="s">
        <v>3184</v>
      </c>
      <c r="F122" s="521"/>
      <c r="G122" s="521"/>
      <c r="H122" s="521"/>
      <c r="I122" s="521"/>
      <c r="J122" s="521"/>
      <c r="K122" s="522"/>
      <c r="L122" s="523"/>
      <c r="M122" s="524"/>
      <c r="N122" s="1002"/>
      <c r="O122" s="1002"/>
      <c r="P122" s="1917"/>
      <c r="Q122" s="447"/>
    </row>
    <row r="123" spans="1:17" ht="15.75" thickBot="1">
      <c r="A123" s="375"/>
      <c r="B123" s="482"/>
      <c r="C123" s="483">
        <v>100</v>
      </c>
      <c r="D123" s="483">
        <f t="shared" ref="D123:M123" si="36">C123-$K42</f>
        <v>100</v>
      </c>
      <c r="E123" s="483">
        <f t="shared" si="36"/>
        <v>100</v>
      </c>
      <c r="F123" s="483">
        <f t="shared" si="36"/>
        <v>100</v>
      </c>
      <c r="G123" s="483">
        <f t="shared" si="36"/>
        <v>100</v>
      </c>
      <c r="H123" s="483">
        <f t="shared" si="36"/>
        <v>100</v>
      </c>
      <c r="I123" s="483">
        <f t="shared" si="36"/>
        <v>100</v>
      </c>
      <c r="J123" s="483">
        <f t="shared" si="36"/>
        <v>100</v>
      </c>
      <c r="K123" s="483">
        <f t="shared" si="36"/>
        <v>100</v>
      </c>
      <c r="L123" s="483">
        <f t="shared" si="36"/>
        <v>100</v>
      </c>
      <c r="M123" s="483">
        <f t="shared" si="36"/>
        <v>100</v>
      </c>
      <c r="N123" s="1003"/>
      <c r="O123" s="1003"/>
      <c r="P123" s="1917"/>
      <c r="Q123" s="447"/>
    </row>
    <row r="124" spans="1:17" ht="15" thickTop="1">
      <c r="A124" s="417"/>
      <c r="B124" s="477" t="s">
        <v>2374</v>
      </c>
      <c r="C124" s="517" t="s">
        <v>2350</v>
      </c>
      <c r="D124" s="517" t="s">
        <v>2351</v>
      </c>
      <c r="E124" s="517" t="s">
        <v>2352</v>
      </c>
      <c r="F124" s="517" t="s">
        <v>2353</v>
      </c>
      <c r="G124" s="517" t="s">
        <v>2354</v>
      </c>
      <c r="H124" s="478"/>
      <c r="I124" s="478"/>
      <c r="J124" s="478"/>
      <c r="K124" s="479"/>
      <c r="L124" s="480"/>
      <c r="M124" s="481"/>
      <c r="N124" s="1002"/>
      <c r="O124" s="1002"/>
      <c r="P124" s="1918"/>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1003"/>
      <c r="O125" s="1003"/>
      <c r="P125" s="1917"/>
      <c r="Q125" s="447"/>
    </row>
    <row r="126" spans="1:17" s="416" customFormat="1" ht="15" thickTop="1">
      <c r="A126" s="414"/>
      <c r="B126" s="477">
        <f>B44</f>
        <v>111</v>
      </c>
      <c r="C126" s="493"/>
      <c r="D126" s="493"/>
      <c r="E126" s="493"/>
      <c r="F126" s="493"/>
      <c r="G126" s="493"/>
      <c r="H126" s="494"/>
      <c r="I126" s="494"/>
      <c r="J126" s="494"/>
      <c r="K126" s="494"/>
      <c r="L126" s="495"/>
      <c r="M126" s="496"/>
      <c r="N126" s="1004"/>
      <c r="O126" s="1004"/>
      <c r="P126" s="1918"/>
      <c r="Q126" s="498"/>
    </row>
    <row r="127" spans="1:17" s="416" customFormat="1" ht="15.75" thickBot="1">
      <c r="A127" s="492"/>
      <c r="B127" s="482"/>
      <c r="C127" s="499"/>
      <c r="D127" s="475"/>
      <c r="E127" s="475"/>
      <c r="F127" s="475"/>
      <c r="G127" s="499"/>
      <c r="H127" s="501"/>
      <c r="I127" s="501"/>
      <c r="J127" s="501"/>
      <c r="K127" s="501"/>
      <c r="L127" s="501"/>
      <c r="M127" s="502"/>
      <c r="N127" s="1004"/>
      <c r="O127" s="1004"/>
      <c r="P127" s="1918"/>
      <c r="Q127" s="498"/>
    </row>
    <row r="128" spans="1:17" ht="15" thickTop="1">
      <c r="A128" s="417"/>
      <c r="B128" s="477">
        <f>B45</f>
        <v>111</v>
      </c>
      <c r="C128" s="493"/>
      <c r="D128" s="493"/>
      <c r="E128" s="493"/>
      <c r="F128" s="493"/>
      <c r="G128" s="521"/>
      <c r="H128" s="521"/>
      <c r="I128" s="521"/>
      <c r="J128" s="521"/>
      <c r="K128" s="522"/>
      <c r="L128" s="523"/>
      <c r="M128" s="524"/>
      <c r="N128" s="1002"/>
      <c r="O128" s="1002"/>
      <c r="P128" s="1917"/>
      <c r="Q128" s="447"/>
    </row>
    <row r="129" spans="1:17" ht="15.75" thickBot="1">
      <c r="A129" s="375"/>
      <c r="B129" s="482"/>
      <c r="C129" s="499"/>
      <c r="D129" s="499"/>
      <c r="E129" s="499"/>
      <c r="F129" s="499"/>
      <c r="G129" s="475"/>
      <c r="H129" s="475"/>
      <c r="I129" s="475"/>
      <c r="J129" s="475"/>
      <c r="K129" s="475"/>
      <c r="L129" s="475"/>
      <c r="M129" s="476"/>
      <c r="N129" s="1003"/>
      <c r="O129" s="1003"/>
      <c r="P129" s="1917"/>
      <c r="Q129" s="447"/>
    </row>
    <row r="130" spans="1:17" ht="15" thickTop="1">
      <c r="A130" s="417"/>
      <c r="B130" s="485">
        <f>B46</f>
        <v>111</v>
      </c>
      <c r="C130" s="493"/>
      <c r="D130" s="493"/>
      <c r="E130" s="493"/>
      <c r="F130" s="493"/>
      <c r="G130" s="525"/>
      <c r="H130" s="525"/>
      <c r="I130" s="525"/>
      <c r="J130" s="525"/>
      <c r="K130" s="34"/>
      <c r="L130" s="465"/>
      <c r="M130" s="528"/>
      <c r="N130" s="1002"/>
      <c r="O130" s="1002"/>
      <c r="P130" s="1917"/>
      <c r="Q130" s="447"/>
    </row>
    <row r="131" spans="1:17" ht="15.75" thickBot="1">
      <c r="A131" s="383"/>
      <c r="B131" s="508"/>
      <c r="C131" s="509"/>
      <c r="D131" s="509"/>
      <c r="E131" s="509"/>
      <c r="F131" s="509"/>
      <c r="G131" s="529"/>
      <c r="H131" s="529"/>
      <c r="I131" s="529"/>
      <c r="J131" s="529"/>
      <c r="K131" s="529"/>
      <c r="L131" s="529"/>
      <c r="M131" s="530"/>
      <c r="N131" s="1003"/>
      <c r="O131" s="1003"/>
      <c r="P131" s="1917"/>
      <c r="Q131" s="447"/>
    </row>
    <row r="136" spans="1:17" ht="15" thickBot="1">
      <c r="B136" s="1923" t="s">
        <v>2375</v>
      </c>
    </row>
    <row r="137" spans="1:17" ht="15">
      <c r="B137" s="1924" t="s">
        <v>2376</v>
      </c>
      <c r="C137" s="1925"/>
      <c r="D137" s="1925"/>
      <c r="E137" s="1925"/>
      <c r="F137" s="1925"/>
      <c r="G137" s="1926"/>
      <c r="H137" s="1927"/>
      <c r="I137" s="1928" t="s">
        <v>2377</v>
      </c>
      <c r="J137" s="1925"/>
      <c r="K137" s="1929"/>
    </row>
    <row r="138" spans="1:17" ht="15">
      <c r="B138" s="1930"/>
      <c r="C138" s="134" t="s">
        <v>2378</v>
      </c>
      <c r="D138" s="134" t="s">
        <v>2379</v>
      </c>
      <c r="E138" s="1931" t="s">
        <v>2380</v>
      </c>
      <c r="F138" s="1932" t="s">
        <v>2381</v>
      </c>
      <c r="G138" s="134" t="s">
        <v>2379</v>
      </c>
      <c r="H138" s="135" t="s">
        <v>2380</v>
      </c>
      <c r="I138" s="1933"/>
      <c r="J138" s="134" t="s">
        <v>2382</v>
      </c>
      <c r="K138" s="135" t="s">
        <v>2383</v>
      </c>
    </row>
    <row r="139" spans="1:17" ht="15">
      <c r="B139" s="938">
        <v>6</v>
      </c>
      <c r="C139" s="939">
        <v>96</v>
      </c>
      <c r="D139" s="1934" t="s">
        <v>2384</v>
      </c>
      <c r="E139" s="940">
        <v>100</v>
      </c>
      <c r="F139" s="941">
        <v>102.5</v>
      </c>
      <c r="G139" s="1934" t="s">
        <v>2384</v>
      </c>
      <c r="H139" s="942">
        <v>105</v>
      </c>
      <c r="I139" s="1935" t="s">
        <v>2385</v>
      </c>
      <c r="J139" s="939">
        <v>20</v>
      </c>
      <c r="K139" s="943">
        <f>C145/(J139-2)</f>
        <v>4.0555555555555553E-3</v>
      </c>
    </row>
    <row r="140" spans="1:17" ht="15">
      <c r="B140" s="944">
        <v>5</v>
      </c>
      <c r="C140" s="945">
        <v>100</v>
      </c>
      <c r="D140" s="945"/>
      <c r="E140" s="946"/>
      <c r="F140" s="947">
        <v>102</v>
      </c>
      <c r="G140" s="945"/>
      <c r="H140" s="948"/>
      <c r="I140" s="1936" t="s">
        <v>2386</v>
      </c>
      <c r="J140" s="269">
        <f>ROUNDUP((J139-1)/2,0)</f>
        <v>10</v>
      </c>
      <c r="K140" s="949">
        <v>100</v>
      </c>
    </row>
    <row r="141" spans="1:17" ht="15">
      <c r="B141" s="944">
        <v>4</v>
      </c>
      <c r="C141" s="945">
        <v>102</v>
      </c>
      <c r="D141" s="945"/>
      <c r="E141" s="946"/>
      <c r="F141" s="947">
        <v>101.5</v>
      </c>
      <c r="G141" s="945"/>
      <c r="H141" s="948"/>
      <c r="I141" s="1936" t="s">
        <v>2387</v>
      </c>
      <c r="J141" s="269">
        <v>1</v>
      </c>
      <c r="K141" s="950">
        <f>ROUND(100+(J141-J140)*K139*100,1)</f>
        <v>96.4</v>
      </c>
    </row>
    <row r="142" spans="1:17" ht="15">
      <c r="B142" s="944">
        <v>3</v>
      </c>
      <c r="C142" s="945">
        <v>103</v>
      </c>
      <c r="D142" s="945"/>
      <c r="E142" s="946"/>
      <c r="F142" s="947">
        <v>101</v>
      </c>
      <c r="G142" s="945"/>
      <c r="H142" s="948"/>
      <c r="I142" s="1936" t="s">
        <v>2388</v>
      </c>
      <c r="J142" s="269">
        <f>J139</f>
        <v>20</v>
      </c>
      <c r="K142" s="951">
        <v>95</v>
      </c>
    </row>
    <row r="143" spans="1:17" ht="15">
      <c r="B143" s="944">
        <v>2</v>
      </c>
      <c r="C143" s="945">
        <v>100</v>
      </c>
      <c r="D143" s="945"/>
      <c r="E143" s="946"/>
      <c r="F143" s="947">
        <v>100.5</v>
      </c>
      <c r="G143" s="945"/>
      <c r="H143" s="948"/>
      <c r="I143" s="1936" t="s">
        <v>2389</v>
      </c>
      <c r="J143" s="945">
        <v>15</v>
      </c>
      <c r="K143" s="950">
        <f>ROUND(100+(J143-J140)*K139*100,1)</f>
        <v>102</v>
      </c>
    </row>
    <row r="144" spans="1:17" ht="15">
      <c r="B144" s="944">
        <v>1</v>
      </c>
      <c r="C144" s="945">
        <v>98</v>
      </c>
      <c r="D144" s="1937" t="s">
        <v>2390</v>
      </c>
      <c r="E144" s="946">
        <v>102</v>
      </c>
      <c r="F144" s="952">
        <v>100</v>
      </c>
      <c r="G144" s="1937" t="s">
        <v>2390</v>
      </c>
      <c r="H144" s="948">
        <v>105</v>
      </c>
      <c r="I144" s="1936" t="s">
        <v>2389</v>
      </c>
      <c r="J144" s="945">
        <v>18</v>
      </c>
      <c r="K144" s="950">
        <f>ROUND(100+(J144-J140)*K139*100,1)</f>
        <v>103.2</v>
      </c>
    </row>
    <row r="145" spans="2:11" ht="15.75" thickBot="1">
      <c r="B145" s="1938" t="s">
        <v>2391</v>
      </c>
      <c r="C145" s="953">
        <f>ROUND(MAX(C139:C144)/MIN(C139:C144)-1,3)</f>
        <v>7.2999999999999995E-2</v>
      </c>
      <c r="D145" s="954"/>
      <c r="E145" s="954"/>
      <c r="F145" s="1939" t="s">
        <v>2392</v>
      </c>
      <c r="G145" s="1940"/>
      <c r="H145" s="1941"/>
      <c r="I145" s="1942" t="s">
        <v>2389</v>
      </c>
      <c r="J145" s="955">
        <v>8</v>
      </c>
      <c r="K145" s="956">
        <f>ROUND(100+(J145-J140)*K139*100,1)</f>
        <v>99.2</v>
      </c>
    </row>
    <row r="147" spans="2:11">
      <c r="B147" s="1923" t="s">
        <v>2393</v>
      </c>
    </row>
    <row r="148" spans="2:11">
      <c r="B148" s="1923" t="s">
        <v>2394</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C24 I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C25 G25 I25" xr:uid="{00000000-0002-0000-1E00-000004000000}">
      <formula1>住宅楼层</formula1>
    </dataValidation>
    <dataValidation type="list" allowBlank="1" showInputMessage="1" showErrorMessage="1" sqref="C26 E26 G26 I26" xr:uid="{00000000-0002-0000-1E00-000005000000}">
      <formula1>住宅朝向</formula1>
    </dataValidation>
    <dataValidation type="list" allowBlank="1" showInputMessage="1" showErrorMessage="1" sqref="C32 E32 G32 I32" xr:uid="{00000000-0002-0000-1E00-000006000000}">
      <formula1>住宅建筑类型</formula1>
    </dataValidation>
    <dataValidation type="list" allowBlank="1" showInputMessage="1" showErrorMessage="1" sqref="C34 E34 G34 I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C36 E36 G36 I36" xr:uid="{00000000-0002-0000-1E00-000009000000}">
      <formula1>住宅公共部分装修</formula1>
    </dataValidation>
    <dataValidation type="list" allowBlank="1" showInputMessage="1" showErrorMessage="1" sqref="C38 E38 G38 I38" xr:uid="{00000000-0002-0000-1E00-00000A000000}">
      <formula1>住宅物业管理</formula1>
    </dataValidation>
    <dataValidation type="list" allowBlank="1" showInputMessage="1" showErrorMessage="1" sqref="C39 E39 G39 I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C42 E42 G42 I42" xr:uid="{00000000-0002-0000-1E00-00000D000000}">
      <formula1>住宅内部装修</formula1>
    </dataValidation>
    <dataValidation type="list" allowBlank="1" showInputMessage="1" showErrorMessage="1" sqref="C43 E43 G43 I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G22 E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911"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878" t="s">
        <v>2395</v>
      </c>
      <c r="C1" s="1287" t="s">
        <v>2285</v>
      </c>
      <c r="D1" s="1274"/>
      <c r="E1" s="2316"/>
      <c r="F1" s="1879"/>
      <c r="G1" s="1284" t="s">
        <v>2396</v>
      </c>
      <c r="H1" s="1283"/>
      <c r="I1" s="1283"/>
      <c r="J1" s="1283"/>
      <c r="K1" s="1285"/>
      <c r="L1" s="1286"/>
      <c r="M1" s="1287"/>
      <c r="N1" s="1287"/>
      <c r="O1" s="1287"/>
      <c r="P1" s="1943"/>
      <c r="Q1" s="1944"/>
      <c r="R1" s="1944"/>
      <c r="S1" s="1944"/>
      <c r="T1" s="1944"/>
      <c r="U1" s="1944"/>
      <c r="V1" s="1944"/>
      <c r="W1" s="1944"/>
      <c r="X1" s="1944"/>
      <c r="Y1" s="1944"/>
      <c r="Z1" s="1944"/>
      <c r="AA1" s="1944"/>
      <c r="AB1" s="1944"/>
      <c r="AC1" s="1945"/>
    </row>
    <row r="2" spans="1:29" s="348" customFormat="1" ht="28.5" customHeight="1" thickTop="1">
      <c r="A2" s="1270" t="s">
        <v>2082</v>
      </c>
      <c r="B2" s="1212" t="e">
        <f ca="1">IF(C2="——",ROUND(C49*D3/10000,0),ROUND(C49*D3/10000,0)-D2)</f>
        <v>#DIV/0!</v>
      </c>
      <c r="C2" s="1881"/>
      <c r="D2" s="1177" t="e">
        <f ca="1">SUMIF(INDIRECT("'"&amp;F2&amp;"'"&amp;"!A:A"),"承租人权益价值",INDIRECT("'"&amp;F2&amp;"'"&amp;"!c:c"))</f>
        <v>#REF!</v>
      </c>
      <c r="E2" s="1882" t="s">
        <v>2083</v>
      </c>
      <c r="F2" s="1883"/>
      <c r="G2" s="978"/>
      <c r="H2" s="978"/>
      <c r="I2" s="978"/>
      <c r="J2" s="978"/>
      <c r="K2" s="978"/>
      <c r="L2" s="2679"/>
      <c r="M2" s="2680"/>
      <c r="N2" s="2680"/>
      <c r="O2" s="2680"/>
      <c r="P2" s="1946"/>
      <c r="Q2" s="982"/>
      <c r="R2" s="982"/>
      <c r="S2" s="982"/>
      <c r="T2" s="982"/>
      <c r="U2" s="982"/>
      <c r="V2" s="982"/>
      <c r="W2" s="982"/>
      <c r="X2" s="982"/>
      <c r="Y2" s="982"/>
      <c r="Z2" s="982"/>
      <c r="AA2" s="982"/>
      <c r="AB2" s="982"/>
      <c r="AC2" s="1947"/>
    </row>
    <row r="3" spans="1:29" s="348" customFormat="1" ht="28.5" customHeight="1" thickBot="1">
      <c r="A3" s="201" t="s">
        <v>2084</v>
      </c>
      <c r="B3" s="544" t="e">
        <f ca="1">IF(C2="——",C49,ROUND(B2*10000/D3,0))</f>
        <v>#DIV/0!</v>
      </c>
      <c r="C3" s="350" t="s">
        <v>2397</v>
      </c>
      <c r="D3" s="349">
        <f>IF(D1="",'数据-汇总表'!E3,SUMIF('数据-汇总表'!$C19:$C33,D1,'数据-汇总表'!$E19:$E33))</f>
        <v>69.52</v>
      </c>
      <c r="E3" s="1947"/>
      <c r="F3" s="979"/>
      <c r="G3" s="978"/>
      <c r="H3" s="978"/>
      <c r="I3" s="978"/>
      <c r="J3" s="978"/>
      <c r="K3" s="980"/>
      <c r="L3" s="2679"/>
      <c r="M3" s="2680"/>
      <c r="N3" s="2680"/>
      <c r="O3" s="2680"/>
      <c r="P3" s="1946"/>
      <c r="Q3" s="982"/>
      <c r="R3" s="982"/>
      <c r="S3" s="982"/>
      <c r="T3" s="982"/>
      <c r="U3" s="982"/>
      <c r="V3" s="982"/>
      <c r="W3" s="982"/>
      <c r="X3" s="982"/>
      <c r="Y3" s="982"/>
      <c r="Z3" s="982"/>
      <c r="AA3" s="982"/>
      <c r="AB3" s="982"/>
      <c r="AC3" s="1947"/>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52"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52"/>
      <c r="AC5" s="339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451"/>
      <c r="Q6" s="3377"/>
      <c r="R6" s="3380"/>
      <c r="S6" s="3381"/>
      <c r="T6" s="3382"/>
      <c r="U6" s="3383"/>
      <c r="V6" s="3352"/>
      <c r="W6" s="3352"/>
      <c r="X6" s="1409"/>
      <c r="Y6" s="3382"/>
      <c r="Z6" s="3383"/>
      <c r="AA6" s="3397"/>
      <c r="AB6" s="3352"/>
      <c r="AC6" s="3397"/>
    </row>
    <row r="7" spans="1:29" s="107" customFormat="1" ht="15.75" thickBot="1">
      <c r="A7" s="358" t="s">
        <v>2302</v>
      </c>
      <c r="B7" s="359"/>
      <c r="C7" s="360">
        <f>'数据-取费表'!B2</f>
        <v>41685</v>
      </c>
      <c r="D7" s="361">
        <v>100</v>
      </c>
      <c r="E7" s="362"/>
      <c r="F7" s="363">
        <f>SUMIF(58:58,YEAR(E7)&amp;"-"&amp;MONTH(E7),59:59)</f>
        <v>0</v>
      </c>
      <c r="G7" s="362"/>
      <c r="H7" s="361">
        <f>SUMIF(58:58,YEAR(G7)&amp;"-"&amp;MONTH(G7),59:59)</f>
        <v>0</v>
      </c>
      <c r="I7" s="362"/>
      <c r="J7" s="361">
        <f>SUMIF(58:58,YEAR(I7)&amp;"-"&amp;MONTH(I7),59:59)</f>
        <v>0</v>
      </c>
      <c r="K7" s="41"/>
      <c r="L7" s="2664"/>
      <c r="M7" s="2613"/>
      <c r="N7" s="2613"/>
      <c r="O7" s="2613"/>
      <c r="P7" s="3391"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53" t="e">
        <f>D7/J7</f>
        <v>#DIV/0!</v>
      </c>
    </row>
    <row r="8" spans="1:29" s="107" customFormat="1" ht="15.75" thickBot="1">
      <c r="A8" s="358" t="s">
        <v>2304</v>
      </c>
      <c r="B8" s="359"/>
      <c r="C8" s="364" t="s">
        <v>2405</v>
      </c>
      <c r="D8" s="361">
        <v>100</v>
      </c>
      <c r="E8" s="364"/>
      <c r="F8" s="363">
        <f>SUMIF(61:61,E8,62:62)-SUMIF(61:61,C8,62:62)+100</f>
        <v>0</v>
      </c>
      <c r="G8" s="364"/>
      <c r="H8" s="361">
        <f>SUMIF(61:61,G8,62:62)-SUMIF(61:61,C8,62:62)+100</f>
        <v>0</v>
      </c>
      <c r="I8" s="364"/>
      <c r="J8" s="361">
        <f>SUMIF(61:61,I8,62:62)-SUMIF(61:61,C8,62:62)+100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46" si="3">D8/F8</f>
        <v>#DIV/0!</v>
      </c>
      <c r="AB8" s="53" t="e">
        <f t="shared" ref="AB8:AB46" si="4">D8/H8</f>
        <v>#DIV/0!</v>
      </c>
      <c r="AC8" s="53" t="e">
        <f t="shared" ref="AC8:AC46" si="5">D8/J8</f>
        <v>#DIV/0!</v>
      </c>
    </row>
    <row r="9" spans="1:29" s="107" customFormat="1">
      <c r="A9" s="365" t="s">
        <v>2307</v>
      </c>
      <c r="B9" s="64" t="s">
        <v>2308</v>
      </c>
      <c r="C9" s="366"/>
      <c r="D9" s="63">
        <v>100</v>
      </c>
      <c r="E9" s="367"/>
      <c r="F9" s="64">
        <f>SUMIF(63:63,E9,64:64)-SUMIF(63:63,C9,64:64)+100</f>
        <v>100</v>
      </c>
      <c r="G9" s="367"/>
      <c r="H9" s="63">
        <f>SUMIF(63:63,G9,64:64)-SUMIF(63:63,C9,64:64)+100</f>
        <v>100</v>
      </c>
      <c r="I9" s="367"/>
      <c r="J9" s="63">
        <f>SUMIF(63:63,I9,64:64)-SUMIF(63:63,C9,64:64)+100</f>
        <v>100</v>
      </c>
      <c r="K9" s="41"/>
      <c r="L9" s="2664"/>
      <c r="M9" s="2613"/>
      <c r="N9" s="2613"/>
      <c r="O9" s="2613"/>
      <c r="P9" s="3350"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1"/>
      <c r="D10" s="124">
        <v>100</v>
      </c>
      <c r="E10" s="372"/>
      <c r="F10" s="370">
        <f>SUMIF(65:65,E10,66:66)-SUMIF(65:65,C10,66:66)+100</f>
        <v>100</v>
      </c>
      <c r="G10" s="371"/>
      <c r="H10" s="124">
        <f>SUMIF(65:65,G10,66:66)-SUMIF(65:65,C10,66:66)+100</f>
        <v>100</v>
      </c>
      <c r="I10" s="371"/>
      <c r="J10" s="124">
        <f>SUMIF(65:65,I10,66:66)-SUMIF(65:65,C10,66:66)+100</f>
        <v>100</v>
      </c>
      <c r="K10" s="546"/>
      <c r="L10" s="2665"/>
      <c r="M10" s="2666"/>
      <c r="N10" s="2666"/>
      <c r="O10" s="2666"/>
      <c r="P10" s="3350"/>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375"/>
      <c r="B11" s="370" t="s">
        <v>2312</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67"/>
      <c r="M11" s="2663"/>
      <c r="N11" s="2663"/>
      <c r="O11" s="2663"/>
      <c r="P11" s="3350"/>
      <c r="Q11" s="538" t="str">
        <f t="shared" si="6"/>
        <v>容积率</v>
      </c>
      <c r="R11" s="672" t="s">
        <v>17</v>
      </c>
      <c r="S11" s="673" t="e">
        <f t="shared" si="0"/>
        <v>#N/A</v>
      </c>
      <c r="T11" s="672" t="s">
        <v>17</v>
      </c>
      <c r="U11" s="673" t="e">
        <f t="shared" si="1"/>
        <v>#N/A</v>
      </c>
      <c r="V11" s="672" t="s">
        <v>17</v>
      </c>
      <c r="W11" s="673" t="e">
        <f t="shared" si="2"/>
        <v>#N/A</v>
      </c>
      <c r="X11" s="674"/>
      <c r="Y11" s="3225"/>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64"/>
      <c r="M12" s="2613"/>
      <c r="N12" s="2613"/>
      <c r="O12" s="2613"/>
      <c r="P12" s="3350"/>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68"/>
      <c r="M13" s="2663"/>
      <c r="N13" s="2663"/>
      <c r="O13" s="2663"/>
      <c r="P13" s="3350"/>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15.75" thickBot="1">
      <c r="A14" s="383"/>
      <c r="B14" s="1893">
        <v>111</v>
      </c>
      <c r="C14" s="384"/>
      <c r="D14" s="385">
        <v>100</v>
      </c>
      <c r="E14" s="381"/>
      <c r="F14" s="386">
        <f>SUMIF(74:74,E14,75:75)-SUMIF(74:74,C14,75:75)+100</f>
        <v>100</v>
      </c>
      <c r="G14" s="381"/>
      <c r="H14" s="385">
        <f>SUMIF(74:74,G14,75:75)-SUMIF(74:74,C14,75:75)+100</f>
        <v>100</v>
      </c>
      <c r="I14" s="381"/>
      <c r="J14" s="385">
        <f>SUMIF(74:74,I14,75:75)-SUMIF(74:74,C14,75:75)+100</f>
        <v>100</v>
      </c>
      <c r="K14" s="547"/>
      <c r="L14" s="2668"/>
      <c r="M14" s="2663"/>
      <c r="N14" s="2663"/>
      <c r="O14" s="2663"/>
      <c r="P14" s="3350"/>
      <c r="Q14" s="538">
        <f t="shared" si="6"/>
        <v>111</v>
      </c>
      <c r="R14" s="672" t="s">
        <v>17</v>
      </c>
      <c r="S14" s="673">
        <f t="shared" si="0"/>
        <v>100</v>
      </c>
      <c r="T14" s="672" t="s">
        <v>17</v>
      </c>
      <c r="U14" s="673">
        <f t="shared" si="1"/>
        <v>100</v>
      </c>
      <c r="V14" s="672" t="s">
        <v>17</v>
      </c>
      <c r="W14" s="673">
        <f t="shared" si="2"/>
        <v>100</v>
      </c>
      <c r="X14" s="674"/>
      <c r="Y14" s="3225"/>
      <c r="Z14" s="53">
        <f t="shared" si="7"/>
        <v>111</v>
      </c>
      <c r="AA14" s="53">
        <f t="shared" si="3"/>
        <v>1</v>
      </c>
      <c r="AB14" s="53">
        <f t="shared" si="4"/>
        <v>1</v>
      </c>
      <c r="AC14" s="53">
        <f t="shared" si="5"/>
        <v>1</v>
      </c>
    </row>
    <row r="15" spans="1:29" ht="15">
      <c r="A15" s="387" t="s">
        <v>2313</v>
      </c>
      <c r="B15" s="62" t="s">
        <v>2406</v>
      </c>
      <c r="C15" s="1894" t="str">
        <f>估价对象房地状况!C4</f>
        <v>好</v>
      </c>
      <c r="D15" s="388">
        <v>100</v>
      </c>
      <c r="E15" s="389"/>
      <c r="F15" s="390">
        <f>SUMIF(76:76,E16,77:77)-SUMIF(76:76,C16,77:77)+100</f>
        <v>100</v>
      </c>
      <c r="G15" s="391"/>
      <c r="H15" s="388">
        <f>SUMIF(76:76,G16,77:77)-SUMIF(76:76,C16,77:77)+100</f>
        <v>100</v>
      </c>
      <c r="I15" s="389"/>
      <c r="J15" s="388">
        <f>SUMIF(76:76,I16,77:77)-SUMIF(76:76,C16,77:77)+100</f>
        <v>100</v>
      </c>
      <c r="K15" s="548"/>
      <c r="L15" s="2668"/>
      <c r="M15" s="2663"/>
      <c r="N15" s="2663"/>
      <c r="O15" s="2663"/>
      <c r="P15" s="3356" t="s">
        <v>2314</v>
      </c>
      <c r="Q15" s="1407" t="str">
        <f t="shared" si="6"/>
        <v>商业繁华度</v>
      </c>
      <c r="R15" s="675" t="s">
        <v>17</v>
      </c>
      <c r="S15" s="676">
        <f t="shared" si="0"/>
        <v>100</v>
      </c>
      <c r="T15" s="675" t="s">
        <v>17</v>
      </c>
      <c r="U15" s="676">
        <f t="shared" si="1"/>
        <v>100</v>
      </c>
      <c r="V15" s="675" t="s">
        <v>17</v>
      </c>
      <c r="W15" s="676">
        <f t="shared" si="2"/>
        <v>100</v>
      </c>
      <c r="X15" s="1409"/>
      <c r="Y15" s="3358" t="s">
        <v>2314</v>
      </c>
      <c r="Z15" s="1408" t="str">
        <f t="shared" si="7"/>
        <v>商业繁华度</v>
      </c>
      <c r="AA15" s="1408">
        <f t="shared" si="3"/>
        <v>1</v>
      </c>
      <c r="AB15" s="1408">
        <f t="shared" si="4"/>
        <v>1</v>
      </c>
      <c r="AC15" s="1408">
        <f t="shared" si="5"/>
        <v>1</v>
      </c>
    </row>
    <row r="16" spans="1:29" ht="15">
      <c r="A16" s="375"/>
      <c r="B16" s="393"/>
      <c r="C16" s="394"/>
      <c r="D16" s="395"/>
      <c r="E16" s="394"/>
      <c r="F16" s="396"/>
      <c r="G16" s="394"/>
      <c r="H16" s="397"/>
      <c r="I16" s="394"/>
      <c r="J16" s="395"/>
      <c r="K16" s="549"/>
      <c r="L16" s="2668"/>
      <c r="M16" s="2663"/>
      <c r="N16" s="2663"/>
      <c r="O16" s="2663"/>
      <c r="P16" s="3357"/>
      <c r="Q16" s="1407"/>
      <c r="R16" s="675"/>
      <c r="S16" s="676"/>
      <c r="T16" s="675"/>
      <c r="U16" s="676"/>
      <c r="V16" s="675"/>
      <c r="W16" s="676"/>
      <c r="X16" s="1409"/>
      <c r="Y16" s="3359"/>
      <c r="Z16" s="1408"/>
      <c r="AA16" s="1408">
        <v>1</v>
      </c>
      <c r="AB16" s="1408">
        <v>1</v>
      </c>
      <c r="AC16" s="1408">
        <v>1</v>
      </c>
    </row>
    <row r="17" spans="1:29" ht="85.5">
      <c r="A17" s="375"/>
      <c r="B17" s="398" t="s">
        <v>1883</v>
      </c>
      <c r="C17" s="1898" t="str">
        <f>估价对象房地状况!C6</f>
        <v>周边有315路、607路、629路等多条公交线路及地铁8号线育新站，综合评价交通便捷度较好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68"/>
      <c r="M17" s="2663"/>
      <c r="N17" s="2663"/>
      <c r="O17" s="2663"/>
      <c r="P17" s="3357"/>
      <c r="Q17" s="1407" t="str">
        <f>B17</f>
        <v>交通便捷度</v>
      </c>
      <c r="R17" s="675" t="s">
        <v>17</v>
      </c>
      <c r="S17" s="676">
        <f>F17</f>
        <v>100</v>
      </c>
      <c r="T17" s="675" t="s">
        <v>17</v>
      </c>
      <c r="U17" s="676">
        <f>H17</f>
        <v>100</v>
      </c>
      <c r="V17" s="675" t="s">
        <v>17</v>
      </c>
      <c r="W17" s="676">
        <f>J17</f>
        <v>100</v>
      </c>
      <c r="X17" s="1409"/>
      <c r="Y17" s="3359"/>
      <c r="Z17" s="1408" t="str">
        <f>Q17</f>
        <v>交通便捷度</v>
      </c>
      <c r="AA17" s="1408">
        <f t="shared" si="3"/>
        <v>1</v>
      </c>
      <c r="AB17" s="1408">
        <f t="shared" si="4"/>
        <v>1</v>
      </c>
      <c r="AC17" s="1408">
        <f t="shared" si="5"/>
        <v>1</v>
      </c>
    </row>
    <row r="18" spans="1:29" ht="15">
      <c r="A18" s="375"/>
      <c r="B18" s="403"/>
      <c r="C18" s="1899"/>
      <c r="D18" s="397"/>
      <c r="E18" s="1901"/>
      <c r="F18" s="400"/>
      <c r="G18" s="1900"/>
      <c r="H18" s="395"/>
      <c r="I18" s="1901"/>
      <c r="J18" s="395"/>
      <c r="K18" s="549"/>
      <c r="L18" s="2668"/>
      <c r="M18" s="2663"/>
      <c r="N18" s="2663"/>
      <c r="O18" s="2663"/>
      <c r="P18" s="3357"/>
      <c r="Q18" s="1407"/>
      <c r="R18" s="675"/>
      <c r="S18" s="676"/>
      <c r="T18" s="675"/>
      <c r="U18" s="676"/>
      <c r="V18" s="675"/>
      <c r="W18" s="676"/>
      <c r="X18" s="1409"/>
      <c r="Y18" s="3359"/>
      <c r="Z18" s="1408"/>
      <c r="AA18" s="1408">
        <v>1</v>
      </c>
      <c r="AB18" s="1408">
        <v>1</v>
      </c>
      <c r="AC18" s="1408">
        <v>1</v>
      </c>
    </row>
    <row r="19" spans="1:29" ht="256.5">
      <c r="A19" s="375"/>
      <c r="B19" s="398" t="s">
        <v>2407</v>
      </c>
      <c r="C19" s="1898" t="str">
        <f>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9" s="402">
        <v>100</v>
      </c>
      <c r="E19" s="404"/>
      <c r="F19" s="405">
        <f>SUMIF(80:80,E20,81:81)-SUMIF(80:80,C20,81:81)+100</f>
        <v>100</v>
      </c>
      <c r="G19" s="406"/>
      <c r="H19" s="397">
        <f>SUMIF(80:80,G20,81:81)-SUMIF(80:80,C20,81:81)+100</f>
        <v>100</v>
      </c>
      <c r="I19" s="404"/>
      <c r="J19" s="397">
        <f>SUMIF(80:80,I20,81:81)-SUMIF(80:80,C20,81:81)+100</f>
        <v>100</v>
      </c>
      <c r="K19" s="548"/>
      <c r="L19" s="2668"/>
      <c r="M19" s="2663"/>
      <c r="N19" s="2663"/>
      <c r="O19" s="2663"/>
      <c r="P19" s="3357"/>
      <c r="Q19" s="1407" t="str">
        <f>B19</f>
        <v>公共配套设施</v>
      </c>
      <c r="R19" s="675" t="s">
        <v>17</v>
      </c>
      <c r="S19" s="676">
        <f>F19</f>
        <v>100</v>
      </c>
      <c r="T19" s="675" t="s">
        <v>17</v>
      </c>
      <c r="U19" s="676">
        <f>H19</f>
        <v>100</v>
      </c>
      <c r="V19" s="675" t="s">
        <v>17</v>
      </c>
      <c r="W19" s="676">
        <f>J19</f>
        <v>100</v>
      </c>
      <c r="X19" s="1409"/>
      <c r="Y19" s="3359"/>
      <c r="Z19" s="1408" t="str">
        <f>Q19</f>
        <v>公共配套设施</v>
      </c>
      <c r="AA19" s="1408">
        <f t="shared" si="3"/>
        <v>1</v>
      </c>
      <c r="AB19" s="1408">
        <f t="shared" si="4"/>
        <v>1</v>
      </c>
      <c r="AC19" s="1408">
        <f t="shared" si="5"/>
        <v>1</v>
      </c>
    </row>
    <row r="20" spans="1:29" ht="15">
      <c r="A20" s="375"/>
      <c r="B20" s="403"/>
      <c r="C20" s="394"/>
      <c r="D20" s="395"/>
      <c r="E20" s="1896"/>
      <c r="F20" s="396"/>
      <c r="G20" s="1895"/>
      <c r="H20" s="395"/>
      <c r="I20" s="1896"/>
      <c r="J20" s="395"/>
      <c r="K20" s="549"/>
      <c r="L20" s="2668"/>
      <c r="M20" s="2663"/>
      <c r="N20" s="2663"/>
      <c r="O20" s="2663"/>
      <c r="P20" s="3357"/>
      <c r="Q20" s="1407"/>
      <c r="R20" s="675"/>
      <c r="S20" s="676"/>
      <c r="T20" s="675"/>
      <c r="U20" s="676"/>
      <c r="V20" s="675"/>
      <c r="W20" s="676"/>
      <c r="X20" s="1409"/>
      <c r="Y20" s="3359"/>
      <c r="Z20" s="1408"/>
      <c r="AA20" s="1408">
        <v>1</v>
      </c>
      <c r="AB20" s="1408">
        <v>1</v>
      </c>
      <c r="AC20" s="1408">
        <v>1</v>
      </c>
    </row>
    <row r="21" spans="1:29" ht="15">
      <c r="A21" s="375"/>
      <c r="B21" s="594" t="s">
        <v>2408</v>
      </c>
      <c r="C21" s="1898" t="str">
        <f>估价对象房地状况!C8</f>
        <v>七通</v>
      </c>
      <c r="D21" s="402">
        <v>100</v>
      </c>
      <c r="E21" s="404"/>
      <c r="F21" s="405">
        <f>SUMIF(82:82,E22,83:83)-SUMIF(82:82,C22,83:83)+100</f>
        <v>100</v>
      </c>
      <c r="G21" s="406"/>
      <c r="H21" s="397">
        <f>SUMIF(82:82,G22,83:83)-SUMIF(82:82,C22,83:83)+100</f>
        <v>100</v>
      </c>
      <c r="I21" s="404"/>
      <c r="J21" s="397">
        <f>SUMIF(82:82,I22,83:83)-SUMIF(82:82,C22,83:83)+100</f>
        <v>100</v>
      </c>
      <c r="K21" s="548"/>
      <c r="L21" s="2668"/>
      <c r="M21" s="2663"/>
      <c r="N21" s="2663"/>
      <c r="O21" s="2663"/>
      <c r="P21" s="3357"/>
      <c r="Q21" s="1407" t="str">
        <f>B21</f>
        <v>基础设施水平</v>
      </c>
      <c r="R21" s="675" t="s">
        <v>17</v>
      </c>
      <c r="S21" s="676">
        <f>F21</f>
        <v>100</v>
      </c>
      <c r="T21" s="675" t="s">
        <v>17</v>
      </c>
      <c r="U21" s="676">
        <f>H21</f>
        <v>100</v>
      </c>
      <c r="V21" s="675" t="s">
        <v>17</v>
      </c>
      <c r="W21" s="676">
        <f>J21</f>
        <v>100</v>
      </c>
      <c r="X21" s="1409"/>
      <c r="Y21" s="3359"/>
      <c r="Z21" s="1408" t="str">
        <f>Q21</f>
        <v>基础设施水平</v>
      </c>
      <c r="AA21" s="1408">
        <f t="shared" ref="AA21" si="8">D21/F21</f>
        <v>1</v>
      </c>
      <c r="AB21" s="1408">
        <f t="shared" ref="AB21" si="9">D21/H21</f>
        <v>1</v>
      </c>
      <c r="AC21" s="1408">
        <f t="shared" ref="AC21" si="10">D21/J21</f>
        <v>1</v>
      </c>
    </row>
    <row r="22" spans="1:29" ht="15">
      <c r="A22" s="375"/>
      <c r="B22" s="594"/>
      <c r="C22" s="1899"/>
      <c r="D22" s="395"/>
      <c r="E22" s="394"/>
      <c r="F22" s="396"/>
      <c r="G22" s="394"/>
      <c r="H22" s="395"/>
      <c r="I22" s="394"/>
      <c r="J22" s="395"/>
      <c r="K22" s="1191"/>
      <c r="L22" s="2668"/>
      <c r="M22" s="2663"/>
      <c r="N22" s="2663"/>
      <c r="O22" s="2663"/>
      <c r="P22" s="3357"/>
      <c r="Q22" s="1407"/>
      <c r="R22" s="675"/>
      <c r="S22" s="676"/>
      <c r="T22" s="675"/>
      <c r="U22" s="676"/>
      <c r="V22" s="675"/>
      <c r="W22" s="676"/>
      <c r="X22" s="1409"/>
      <c r="Y22" s="3359"/>
      <c r="Z22" s="1408"/>
      <c r="AA22" s="1408">
        <v>1</v>
      </c>
      <c r="AB22" s="1408">
        <v>1</v>
      </c>
      <c r="AC22" s="1408">
        <v>1</v>
      </c>
    </row>
    <row r="23" spans="1:29" ht="42.75">
      <c r="A23" s="375"/>
      <c r="B23" s="398" t="s">
        <v>1885</v>
      </c>
      <c r="C23" s="1948" t="str">
        <f>估价对象房地状况!C9</f>
        <v>周边绿化以街区级绿化为主，一般</v>
      </c>
      <c r="D23" s="397">
        <v>100</v>
      </c>
      <c r="E23" s="399"/>
      <c r="F23" s="400">
        <f>SUMIF(84:84,E24,85:85)-SUMIF(84:84,C24,85:85)+100</f>
        <v>100</v>
      </c>
      <c r="G23" s="401"/>
      <c r="H23" s="397">
        <f>SUMIF(84:84,G24,85:85)-SUMIF(84:84,C24,85:85)+100</f>
        <v>100</v>
      </c>
      <c r="I23" s="399"/>
      <c r="J23" s="397">
        <f>SUMIF(84:84,I24,85:85)-SUMIF(84:84,C24,85:85)+100</f>
        <v>100</v>
      </c>
      <c r="K23" s="548"/>
      <c r="L23" s="2668"/>
      <c r="M23" s="2663"/>
      <c r="N23" s="2663"/>
      <c r="O23" s="2663"/>
      <c r="P23" s="3357"/>
      <c r="Q23" s="1407" t="str">
        <f>B23</f>
        <v>自然及人文环境</v>
      </c>
      <c r="R23" s="675" t="s">
        <v>17</v>
      </c>
      <c r="S23" s="676">
        <f>F23</f>
        <v>100</v>
      </c>
      <c r="T23" s="675" t="s">
        <v>17</v>
      </c>
      <c r="U23" s="676">
        <f>H23</f>
        <v>100</v>
      </c>
      <c r="V23" s="675" t="s">
        <v>17</v>
      </c>
      <c r="W23" s="676">
        <f>J23</f>
        <v>100</v>
      </c>
      <c r="X23" s="1409"/>
      <c r="Y23" s="3359"/>
      <c r="Z23" s="1408" t="str">
        <f>Q23</f>
        <v>自然及人文环境</v>
      </c>
      <c r="AA23" s="1408">
        <f t="shared" si="3"/>
        <v>1</v>
      </c>
      <c r="AB23" s="1408">
        <f t="shared" si="4"/>
        <v>1</v>
      </c>
      <c r="AC23" s="1408">
        <f t="shared" si="5"/>
        <v>1</v>
      </c>
    </row>
    <row r="24" spans="1:29" ht="15">
      <c r="A24" s="375"/>
      <c r="B24" s="403"/>
      <c r="C24" s="394"/>
      <c r="D24" s="395"/>
      <c r="E24" s="1896"/>
      <c r="F24" s="396"/>
      <c r="G24" s="1895"/>
      <c r="H24" s="395"/>
      <c r="I24" s="1896"/>
      <c r="J24" s="395"/>
      <c r="K24" s="549"/>
      <c r="L24" s="2668"/>
      <c r="M24" s="2663"/>
      <c r="N24" s="2663"/>
      <c r="O24" s="2663"/>
      <c r="P24" s="3357"/>
      <c r="Q24" s="1407"/>
      <c r="R24" s="675"/>
      <c r="S24" s="676"/>
      <c r="T24" s="675"/>
      <c r="U24" s="676"/>
      <c r="V24" s="675"/>
      <c r="W24" s="676"/>
      <c r="X24" s="1409"/>
      <c r="Y24" s="3359"/>
      <c r="Z24" s="1408"/>
      <c r="AA24" s="1408">
        <v>1</v>
      </c>
      <c r="AB24" s="1408">
        <v>1</v>
      </c>
      <c r="AC24" s="1408">
        <v>1</v>
      </c>
    </row>
    <row r="25" spans="1:29" ht="15">
      <c r="A25" s="375"/>
      <c r="B25" s="370" t="s">
        <v>2409</v>
      </c>
      <c r="C25" s="550"/>
      <c r="D25" s="382">
        <v>100</v>
      </c>
      <c r="E25" s="550"/>
      <c r="F25" s="408">
        <f>SUMIF(86:86,E25,87:87)-SUMIF(86:86,C25,87:87)+100</f>
        <v>100</v>
      </c>
      <c r="G25" s="550"/>
      <c r="H25" s="382">
        <f>SUMIF(86:86,G25,87:87)-SUMIF(86:86,C25,87:87)+100</f>
        <v>100</v>
      </c>
      <c r="I25" s="550"/>
      <c r="J25" s="382">
        <f>SUMIF(86:86,I25,87:87)-SUMIF(86:86,C25,87:87)+100</f>
        <v>100</v>
      </c>
      <c r="K25" s="546"/>
      <c r="L25" s="2668"/>
      <c r="M25" s="2663"/>
      <c r="N25" s="2663"/>
      <c r="O25" s="2663"/>
      <c r="P25" s="3357"/>
      <c r="Q25" s="1407" t="str">
        <f t="shared" ref="Q25:Q46" si="11">B25</f>
        <v>临街状况</v>
      </c>
      <c r="R25" s="675" t="s">
        <v>17</v>
      </c>
      <c r="S25" s="676">
        <f>F25</f>
        <v>100</v>
      </c>
      <c r="T25" s="675" t="s">
        <v>17</v>
      </c>
      <c r="U25" s="676">
        <f>H25</f>
        <v>100</v>
      </c>
      <c r="V25" s="675" t="s">
        <v>17</v>
      </c>
      <c r="W25" s="676">
        <f>J25</f>
        <v>100</v>
      </c>
      <c r="X25" s="1409"/>
      <c r="Y25" s="3359"/>
      <c r="Z25" s="1408" t="str">
        <f>Q25</f>
        <v>临街状况</v>
      </c>
      <c r="AA25" s="1408">
        <f t="shared" si="3"/>
        <v>1</v>
      </c>
      <c r="AB25" s="1408">
        <f t="shared" si="4"/>
        <v>1</v>
      </c>
      <c r="AC25" s="1408">
        <f t="shared" si="5"/>
        <v>1</v>
      </c>
    </row>
    <row r="26" spans="1:29" ht="15">
      <c r="A26" s="375"/>
      <c r="B26" s="1193" t="s">
        <v>2410</v>
      </c>
      <c r="C26" s="381"/>
      <c r="D26" s="382">
        <v>100</v>
      </c>
      <c r="E26" s="381"/>
      <c r="F26" s="408">
        <f>SUMIF(88:88,E26,89:89)-SUMIF(88:88,C26,89:89)+100</f>
        <v>100</v>
      </c>
      <c r="G26" s="381"/>
      <c r="H26" s="382">
        <f>SUMIF(88:88,G26,89:89)-SUMIF(88:88,C26,89:89)+100</f>
        <v>100</v>
      </c>
      <c r="I26" s="381"/>
      <c r="J26" s="382">
        <f>SUMIF(88:88,I26,89:89)-SUMIF(88:88,C26,89:89)+100</f>
        <v>100</v>
      </c>
      <c r="K26" s="547"/>
      <c r="L26" s="2668"/>
      <c r="M26" s="2663"/>
      <c r="N26" s="2663"/>
      <c r="O26" s="2663"/>
      <c r="P26" s="3357"/>
      <c r="Q26" s="1407" t="str">
        <f t="shared" si="11"/>
        <v>平面位置/可视性</v>
      </c>
      <c r="R26" s="675" t="s">
        <v>17</v>
      </c>
      <c r="S26" s="676">
        <f>F26</f>
        <v>100</v>
      </c>
      <c r="T26" s="675" t="s">
        <v>17</v>
      </c>
      <c r="U26" s="676">
        <f>H26</f>
        <v>100</v>
      </c>
      <c r="V26" s="675" t="s">
        <v>17</v>
      </c>
      <c r="W26" s="676">
        <f>J26</f>
        <v>100</v>
      </c>
      <c r="X26" s="1409"/>
      <c r="Y26" s="3359"/>
      <c r="Z26" s="1408" t="str">
        <f>Q26</f>
        <v>平面位置/可视性</v>
      </c>
      <c r="AA26" s="1408">
        <f t="shared" si="3"/>
        <v>1</v>
      </c>
      <c r="AB26" s="1408">
        <f t="shared" si="4"/>
        <v>1</v>
      </c>
      <c r="AC26" s="1408">
        <f t="shared" si="5"/>
        <v>1</v>
      </c>
    </row>
    <row r="27" spans="1:29" s="107" customFormat="1" ht="15">
      <c r="A27" s="378"/>
      <c r="B27" s="398" t="s">
        <v>2411</v>
      </c>
      <c r="C27" s="1949"/>
      <c r="D27" s="409">
        <v>100</v>
      </c>
      <c r="E27" s="1949"/>
      <c r="F27" s="403">
        <f>SUMIF(90:90,E27,91:91)-SUMIF(90:90,C27,91:91)+100</f>
        <v>100</v>
      </c>
      <c r="G27" s="1949"/>
      <c r="H27" s="409">
        <f>SUMIF(90:90,G27,91:91)-SUMIF(90:90,C27,91:91)+100</f>
        <v>100</v>
      </c>
      <c r="I27" s="1949"/>
      <c r="J27" s="409">
        <f>SUMIF(90:90,I27,91:91)-SUMIF(90:90,C27,91:91)+100</f>
        <v>100</v>
      </c>
      <c r="K27" s="546"/>
      <c r="L27" s="2664"/>
      <c r="M27" s="2613"/>
      <c r="N27" s="2613"/>
      <c r="O27" s="2613"/>
      <c r="P27" s="3357"/>
      <c r="Q27" s="538" t="str">
        <f t="shared" si="11"/>
        <v>人流量</v>
      </c>
      <c r="R27" s="672" t="s">
        <v>17</v>
      </c>
      <c r="S27" s="673">
        <f>F27</f>
        <v>100</v>
      </c>
      <c r="T27" s="672" t="s">
        <v>17</v>
      </c>
      <c r="U27" s="673">
        <f>H27</f>
        <v>100</v>
      </c>
      <c r="V27" s="672" t="s">
        <v>17</v>
      </c>
      <c r="W27" s="673">
        <f>J27</f>
        <v>100</v>
      </c>
      <c r="X27" s="674"/>
      <c r="Y27" s="3359"/>
      <c r="Z27" s="53" t="str">
        <f>Q27</f>
        <v>人流量</v>
      </c>
      <c r="AA27" s="1408">
        <f>D27/F27</f>
        <v>1</v>
      </c>
      <c r="AB27" s="1408">
        <f>D27/H27</f>
        <v>1</v>
      </c>
      <c r="AC27" s="1408">
        <f>D27/J27</f>
        <v>1</v>
      </c>
    </row>
    <row r="28" spans="1:29" ht="15">
      <c r="A28" s="375"/>
      <c r="B28" s="370" t="s">
        <v>2412</v>
      </c>
      <c r="C28" s="550"/>
      <c r="D28" s="382">
        <v>100</v>
      </c>
      <c r="E28" s="550"/>
      <c r="F28" s="408">
        <f>SUMIF(92:92,E28,93:93)-SUMIF(92:92,C28,93:93)+100</f>
        <v>100</v>
      </c>
      <c r="G28" s="550"/>
      <c r="H28" s="382">
        <f>SUMIF(92:92,G28,93:93)-SUMIF(92:92,C28,93:93)+100</f>
        <v>100</v>
      </c>
      <c r="I28" s="550"/>
      <c r="J28" s="382">
        <f>SUMIF(92:92,I28,93:93)-SUMIF(92:92,C28,93:93)+100</f>
        <v>100</v>
      </c>
      <c r="K28" s="547"/>
      <c r="L28" s="2668"/>
      <c r="M28" s="2663"/>
      <c r="N28" s="2663"/>
      <c r="O28" s="2663"/>
      <c r="P28" s="3357"/>
      <c r="Q28" s="1407" t="str">
        <f t="shared" si="11"/>
        <v>楼层</v>
      </c>
      <c r="R28" s="675" t="s">
        <v>17</v>
      </c>
      <c r="S28" s="676">
        <f t="shared" ref="S28:S46" si="12">F28</f>
        <v>100</v>
      </c>
      <c r="T28" s="675" t="s">
        <v>17</v>
      </c>
      <c r="U28" s="676">
        <f t="shared" ref="U28:U46" si="13">H28</f>
        <v>100</v>
      </c>
      <c r="V28" s="675" t="s">
        <v>17</v>
      </c>
      <c r="W28" s="676">
        <f t="shared" ref="W28:W46" si="14">J28</f>
        <v>100</v>
      </c>
      <c r="X28" s="1409"/>
      <c r="Y28" s="3359"/>
      <c r="Z28" s="1408" t="str">
        <f t="shared" ref="Z28:Z46" si="15">Q28</f>
        <v>楼层</v>
      </c>
      <c r="AA28" s="1408">
        <f t="shared" si="3"/>
        <v>1</v>
      </c>
      <c r="AB28" s="1408">
        <f t="shared" si="4"/>
        <v>1</v>
      </c>
      <c r="AC28" s="1408">
        <f t="shared" si="5"/>
        <v>1</v>
      </c>
    </row>
    <row r="29" spans="1:29" ht="15">
      <c r="A29" s="375"/>
      <c r="B29" s="1193">
        <v>111</v>
      </c>
      <c r="C29" s="381"/>
      <c r="D29" s="382">
        <v>100</v>
      </c>
      <c r="E29" s="381"/>
      <c r="F29" s="408">
        <f>SUMIF(94:94,E29,95:95)-SUMIF(94:94,C29,95:95)+100</f>
        <v>100</v>
      </c>
      <c r="G29" s="381"/>
      <c r="H29" s="382">
        <f>SUMIF(94:94,G29,95:95)-SUMIF(94:94,C29,95:95)+100</f>
        <v>100</v>
      </c>
      <c r="I29" s="381"/>
      <c r="J29" s="382">
        <f>SUMIF(94:94,I29,95:95)-SUMIF(94:94,C29,95:95)+100</f>
        <v>100</v>
      </c>
      <c r="K29" s="547"/>
      <c r="L29" s="2668"/>
      <c r="M29" s="2663"/>
      <c r="N29" s="2663"/>
      <c r="O29" s="2663"/>
      <c r="P29" s="3357"/>
      <c r="Q29" s="1407">
        <f t="shared" si="11"/>
        <v>111</v>
      </c>
      <c r="R29" s="675" t="s">
        <v>17</v>
      </c>
      <c r="S29" s="676">
        <f t="shared" si="12"/>
        <v>100</v>
      </c>
      <c r="T29" s="675" t="s">
        <v>17</v>
      </c>
      <c r="U29" s="676">
        <f t="shared" si="13"/>
        <v>100</v>
      </c>
      <c r="V29" s="675" t="s">
        <v>17</v>
      </c>
      <c r="W29" s="676">
        <f t="shared" si="14"/>
        <v>100</v>
      </c>
      <c r="X29" s="1409"/>
      <c r="Y29" s="3359"/>
      <c r="Z29" s="1408">
        <f t="shared" si="15"/>
        <v>111</v>
      </c>
      <c r="AA29" s="1408">
        <f t="shared" si="3"/>
        <v>1</v>
      </c>
      <c r="AB29" s="1408">
        <f t="shared" si="4"/>
        <v>1</v>
      </c>
      <c r="AC29" s="1408">
        <f t="shared" si="5"/>
        <v>1</v>
      </c>
    </row>
    <row r="30" spans="1:29" ht="15">
      <c r="A30" s="375"/>
      <c r="B30" s="1193">
        <v>111</v>
      </c>
      <c r="C30" s="381"/>
      <c r="D30" s="382">
        <v>100</v>
      </c>
      <c r="E30" s="381"/>
      <c r="F30" s="408">
        <f>SUMIF(96:96,E30,97:97)-SUMIF(96:96,C30,97:97)+100</f>
        <v>100</v>
      </c>
      <c r="G30" s="381"/>
      <c r="H30" s="382">
        <f>SUMIF(96:96,G30,97:97)-SUMIF(96:96,C30,97:97)+100</f>
        <v>100</v>
      </c>
      <c r="I30" s="381"/>
      <c r="J30" s="382">
        <f>SUMIF(96:96,I30,97:97)-SUMIF(96:96,C30,97:97)+100</f>
        <v>100</v>
      </c>
      <c r="K30" s="547"/>
      <c r="L30" s="2668"/>
      <c r="M30" s="2663"/>
      <c r="N30" s="2663"/>
      <c r="O30" s="2663"/>
      <c r="P30" s="3357"/>
      <c r="Q30" s="1407">
        <f t="shared" si="11"/>
        <v>111</v>
      </c>
      <c r="R30" s="675" t="s">
        <v>17</v>
      </c>
      <c r="S30" s="676">
        <f t="shared" si="12"/>
        <v>100</v>
      </c>
      <c r="T30" s="675" t="s">
        <v>17</v>
      </c>
      <c r="U30" s="676">
        <f t="shared" si="13"/>
        <v>100</v>
      </c>
      <c r="V30" s="675" t="s">
        <v>17</v>
      </c>
      <c r="W30" s="676">
        <f t="shared" si="14"/>
        <v>100</v>
      </c>
      <c r="X30" s="1409"/>
      <c r="Y30" s="3359"/>
      <c r="Z30" s="1408">
        <f t="shared" si="15"/>
        <v>111</v>
      </c>
      <c r="AA30" s="1408">
        <f t="shared" si="3"/>
        <v>1</v>
      </c>
      <c r="AB30" s="1408">
        <f t="shared" si="4"/>
        <v>1</v>
      </c>
      <c r="AC30" s="1408">
        <f t="shared" si="5"/>
        <v>1</v>
      </c>
    </row>
    <row r="31" spans="1:29" ht="15.75" thickBot="1">
      <c r="A31" s="383"/>
      <c r="B31" s="1193">
        <v>111</v>
      </c>
      <c r="C31" s="384"/>
      <c r="D31" s="385">
        <v>100</v>
      </c>
      <c r="E31" s="381"/>
      <c r="F31" s="386">
        <f>SUMIF(98:98,E31,99:99)-SUMIF(98:98,C31,99:99)+100</f>
        <v>100</v>
      </c>
      <c r="G31" s="381"/>
      <c r="H31" s="385">
        <f>SUMIF(98:98,G31,99:99)-SUMIF(98:98,C31,99:99)+100</f>
        <v>100</v>
      </c>
      <c r="I31" s="381"/>
      <c r="J31" s="385">
        <f>SUMIF(98:98,I31,99:99)-SUMIF(98:98,C31,99:99)+100</f>
        <v>100</v>
      </c>
      <c r="K31" s="547"/>
      <c r="L31" s="2668"/>
      <c r="M31" s="2663"/>
      <c r="N31" s="2663"/>
      <c r="O31" s="2663"/>
      <c r="P31" s="3357"/>
      <c r="Q31" s="1407">
        <f t="shared" si="11"/>
        <v>111</v>
      </c>
      <c r="R31" s="675" t="s">
        <v>17</v>
      </c>
      <c r="S31" s="676">
        <f t="shared" si="12"/>
        <v>100</v>
      </c>
      <c r="T31" s="675" t="s">
        <v>17</v>
      </c>
      <c r="U31" s="676">
        <f t="shared" si="13"/>
        <v>100</v>
      </c>
      <c r="V31" s="675" t="s">
        <v>17</v>
      </c>
      <c r="W31" s="676">
        <f t="shared" si="14"/>
        <v>100</v>
      </c>
      <c r="X31" s="1409"/>
      <c r="Y31" s="3359"/>
      <c r="Z31" s="1408">
        <f t="shared" si="15"/>
        <v>111</v>
      </c>
      <c r="AA31" s="1408">
        <f t="shared" si="3"/>
        <v>1</v>
      </c>
      <c r="AB31" s="1408">
        <f t="shared" si="4"/>
        <v>1</v>
      </c>
      <c r="AC31" s="1408">
        <f t="shared" si="5"/>
        <v>1</v>
      </c>
    </row>
    <row r="32" spans="1:29" ht="15">
      <c r="A32" s="387" t="s">
        <v>2317</v>
      </c>
      <c r="B32" s="64" t="s">
        <v>2413</v>
      </c>
      <c r="C32" s="1908"/>
      <c r="D32" s="413">
        <v>100</v>
      </c>
      <c r="E32" s="1908"/>
      <c r="F32" s="408">
        <f>SUMIF(100:100,E32,101:101)-SUMIF(100:100,C32,101:101)+100</f>
        <v>100</v>
      </c>
      <c r="G32" s="1908"/>
      <c r="H32" s="382">
        <f>SUMIF(100:100,G32,101:101)-SUMIF(100:100,C32,101:101)+100</f>
        <v>100</v>
      </c>
      <c r="I32" s="1908"/>
      <c r="J32" s="413">
        <f>SUMIF(100:100,I32,101:101)-SUMIF(100:100,C32,101:101)+100</f>
        <v>100</v>
      </c>
      <c r="K32" s="546"/>
      <c r="L32" s="2668"/>
      <c r="M32" s="2663"/>
      <c r="N32" s="2663"/>
      <c r="O32" s="2663"/>
      <c r="P32" s="3360" t="s">
        <v>2319</v>
      </c>
      <c r="Q32" s="1407" t="str">
        <f t="shared" si="11"/>
        <v>商业类型</v>
      </c>
      <c r="R32" s="675" t="s">
        <v>17</v>
      </c>
      <c r="S32" s="676">
        <f t="shared" si="12"/>
        <v>100</v>
      </c>
      <c r="T32" s="675" t="s">
        <v>17</v>
      </c>
      <c r="U32" s="676">
        <f t="shared" si="13"/>
        <v>100</v>
      </c>
      <c r="V32" s="675" t="s">
        <v>17</v>
      </c>
      <c r="W32" s="676">
        <f t="shared" si="14"/>
        <v>100</v>
      </c>
      <c r="X32" s="1409"/>
      <c r="Y32" s="3363" t="s">
        <v>2319</v>
      </c>
      <c r="Z32" s="1408" t="str">
        <f t="shared" si="15"/>
        <v>商业类型</v>
      </c>
      <c r="AA32" s="1408">
        <f t="shared" si="3"/>
        <v>1</v>
      </c>
      <c r="AB32" s="1408">
        <f t="shared" si="4"/>
        <v>1</v>
      </c>
      <c r="AC32" s="1408">
        <f t="shared" si="5"/>
        <v>1</v>
      </c>
    </row>
    <row r="33" spans="1:29" s="416" customFormat="1" ht="15">
      <c r="A33" s="414"/>
      <c r="B33" s="370" t="s">
        <v>2320</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67"/>
      <c r="M33" s="2669"/>
      <c r="N33" s="2669"/>
      <c r="O33" s="2669"/>
      <c r="P33" s="3361"/>
      <c r="Q33" s="539" t="str">
        <f t="shared" si="11"/>
        <v>项目建筑规模</v>
      </c>
      <c r="R33" s="677" t="s">
        <v>17</v>
      </c>
      <c r="S33" s="678" t="e">
        <f t="shared" si="12"/>
        <v>#N/A</v>
      </c>
      <c r="T33" s="677" t="s">
        <v>17</v>
      </c>
      <c r="U33" s="678" t="e">
        <f t="shared" si="13"/>
        <v>#N/A</v>
      </c>
      <c r="V33" s="677" t="s">
        <v>17</v>
      </c>
      <c r="W33" s="678" t="e">
        <f t="shared" si="14"/>
        <v>#N/A</v>
      </c>
      <c r="X33" s="679"/>
      <c r="Y33" s="3363"/>
      <c r="Z33" s="680" t="str">
        <f t="shared" si="15"/>
        <v>项目建筑规模</v>
      </c>
      <c r="AA33" s="1408" t="e">
        <f t="shared" si="3"/>
        <v>#N/A</v>
      </c>
      <c r="AB33" s="1408" t="e">
        <f t="shared" si="4"/>
        <v>#N/A</v>
      </c>
      <c r="AC33" s="1408" t="e">
        <f t="shared" si="5"/>
        <v>#N/A</v>
      </c>
    </row>
    <row r="34" spans="1:29" ht="15">
      <c r="A34" s="417"/>
      <c r="B34" s="370" t="s">
        <v>2321</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68"/>
      <c r="M34" s="2663"/>
      <c r="N34" s="2663"/>
      <c r="O34" s="2663"/>
      <c r="P34" s="3361"/>
      <c r="Q34" s="1407" t="str">
        <f t="shared" si="11"/>
        <v>建筑结构</v>
      </c>
      <c r="R34" s="675" t="s">
        <v>17</v>
      </c>
      <c r="S34" s="676">
        <f t="shared" si="12"/>
        <v>100</v>
      </c>
      <c r="T34" s="675" t="s">
        <v>17</v>
      </c>
      <c r="U34" s="676">
        <f t="shared" si="13"/>
        <v>100</v>
      </c>
      <c r="V34" s="675" t="s">
        <v>17</v>
      </c>
      <c r="W34" s="676">
        <f t="shared" si="14"/>
        <v>100</v>
      </c>
      <c r="X34" s="1409"/>
      <c r="Y34" s="3363"/>
      <c r="Z34" s="1408" t="str">
        <f t="shared" si="15"/>
        <v>建筑结构</v>
      </c>
      <c r="AA34" s="1408">
        <f t="shared" si="3"/>
        <v>1</v>
      </c>
      <c r="AB34" s="1408">
        <f t="shared" si="4"/>
        <v>1</v>
      </c>
      <c r="AC34" s="1408">
        <f t="shared" si="5"/>
        <v>1</v>
      </c>
    </row>
    <row r="35" spans="1:29" ht="15">
      <c r="A35" s="417"/>
      <c r="B35" s="370" t="s">
        <v>2414</v>
      </c>
      <c r="C35" s="1904"/>
      <c r="D35" s="382">
        <v>100</v>
      </c>
      <c r="E35" s="1904"/>
      <c r="F35" s="408">
        <f>SUMIF(107:107,E35,108:108)-SUMIF(107:107,C35,108:108)+100</f>
        <v>100</v>
      </c>
      <c r="G35" s="1904"/>
      <c r="H35" s="382">
        <f>SUMIF(107:107,G35,108:108)-SUMIF(107:107,C35,108:108)+100</f>
        <v>100</v>
      </c>
      <c r="I35" s="1904"/>
      <c r="J35" s="382">
        <f>SUMIF(107:107,I35,108:108)-SUMIF(107:107,C35,108:108)+100</f>
        <v>100</v>
      </c>
      <c r="K35" s="546"/>
      <c r="L35" s="2668"/>
      <c r="M35" s="2663"/>
      <c r="N35" s="2663"/>
      <c r="O35" s="2663"/>
      <c r="P35" s="3361"/>
      <c r="Q35" s="1407" t="str">
        <f t="shared" si="11"/>
        <v>公共部分装修</v>
      </c>
      <c r="R35" s="675" t="s">
        <v>17</v>
      </c>
      <c r="S35" s="676">
        <f t="shared" si="12"/>
        <v>100</v>
      </c>
      <c r="T35" s="675" t="s">
        <v>17</v>
      </c>
      <c r="U35" s="676">
        <f t="shared" si="13"/>
        <v>100</v>
      </c>
      <c r="V35" s="675" t="s">
        <v>17</v>
      </c>
      <c r="W35" s="676">
        <f t="shared" si="14"/>
        <v>100</v>
      </c>
      <c r="X35" s="1409"/>
      <c r="Y35" s="3363"/>
      <c r="Z35" s="1408" t="str">
        <f t="shared" si="15"/>
        <v>公共部分装修</v>
      </c>
      <c r="AA35" s="1408">
        <f t="shared" si="3"/>
        <v>1</v>
      </c>
      <c r="AB35" s="1408">
        <f t="shared" si="4"/>
        <v>1</v>
      </c>
      <c r="AC35" s="1408">
        <f t="shared" si="5"/>
        <v>1</v>
      </c>
    </row>
    <row r="36" spans="1:29" ht="15">
      <c r="A36" s="417"/>
      <c r="B36" s="370" t="s">
        <v>2415</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68"/>
      <c r="M36" s="2663"/>
      <c r="N36" s="2663"/>
      <c r="O36" s="2663"/>
      <c r="P36" s="3361"/>
      <c r="Q36" s="1407" t="str">
        <f t="shared" si="11"/>
        <v>成新度</v>
      </c>
      <c r="R36" s="675" t="s">
        <v>17</v>
      </c>
      <c r="S36" s="676" t="e">
        <f t="shared" si="12"/>
        <v>#N/A</v>
      </c>
      <c r="T36" s="675" t="s">
        <v>17</v>
      </c>
      <c r="U36" s="676" t="e">
        <f t="shared" si="13"/>
        <v>#N/A</v>
      </c>
      <c r="V36" s="675" t="s">
        <v>17</v>
      </c>
      <c r="W36" s="676" t="e">
        <f t="shared" si="14"/>
        <v>#N/A</v>
      </c>
      <c r="X36" s="1409"/>
      <c r="Y36" s="3363"/>
      <c r="Z36" s="1408" t="str">
        <f t="shared" si="15"/>
        <v>成新度</v>
      </c>
      <c r="AA36" s="1408" t="e">
        <f t="shared" si="3"/>
        <v>#N/A</v>
      </c>
      <c r="AB36" s="1408" t="e">
        <f t="shared" si="4"/>
        <v>#N/A</v>
      </c>
      <c r="AC36" s="1408" t="e">
        <f t="shared" si="5"/>
        <v>#N/A</v>
      </c>
    </row>
    <row r="37" spans="1:29" s="107" customFormat="1" ht="15">
      <c r="A37" s="418"/>
      <c r="B37" s="370" t="s">
        <v>2416</v>
      </c>
      <c r="C37" s="1904"/>
      <c r="D37" s="124">
        <v>100</v>
      </c>
      <c r="E37" s="1904"/>
      <c r="F37" s="408">
        <f>SUMIF(112:112,E37,113:113)-SUMIF(112:112,C37,113:113)+100</f>
        <v>100</v>
      </c>
      <c r="G37" s="1904"/>
      <c r="H37" s="382">
        <f>SUMIF(112:112,G37,113:113)-SUMIF(112:112,C37,113:113)+100</f>
        <v>100</v>
      </c>
      <c r="I37" s="1904"/>
      <c r="J37" s="382">
        <f>SUMIF(112:112,I37,113:113)-SUMIF(112:112,C37,113:113)+100</f>
        <v>100</v>
      </c>
      <c r="K37" s="546"/>
      <c r="L37" s="2664"/>
      <c r="M37" s="2613"/>
      <c r="N37" s="2613"/>
      <c r="O37" s="2613"/>
      <c r="P37" s="3361"/>
      <c r="Q37" s="538" t="str">
        <f t="shared" si="11"/>
        <v>市政基础设施</v>
      </c>
      <c r="R37" s="672" t="s">
        <v>17</v>
      </c>
      <c r="S37" s="673">
        <f t="shared" si="12"/>
        <v>100</v>
      </c>
      <c r="T37" s="672" t="s">
        <v>17</v>
      </c>
      <c r="U37" s="673">
        <f t="shared" si="13"/>
        <v>100</v>
      </c>
      <c r="V37" s="672" t="s">
        <v>17</v>
      </c>
      <c r="W37" s="673">
        <f t="shared" si="14"/>
        <v>100</v>
      </c>
      <c r="X37" s="674"/>
      <c r="Y37" s="3363"/>
      <c r="Z37" s="53" t="str">
        <f t="shared" si="15"/>
        <v>市政基础设施</v>
      </c>
      <c r="AA37" s="53">
        <f t="shared" si="3"/>
        <v>1</v>
      </c>
      <c r="AB37" s="53">
        <f t="shared" si="4"/>
        <v>1</v>
      </c>
      <c r="AC37" s="53">
        <f t="shared" si="5"/>
        <v>1</v>
      </c>
    </row>
    <row r="38" spans="1:29" ht="15">
      <c r="A38" s="417"/>
      <c r="B38" s="370" t="s">
        <v>2417</v>
      </c>
      <c r="C38" s="1904"/>
      <c r="D38" s="382">
        <v>100</v>
      </c>
      <c r="E38" s="1904"/>
      <c r="F38" s="408">
        <f>SUMIF(114:114,E38,115:115)-SUMIF(114:114,C38,115:115)+100</f>
        <v>100</v>
      </c>
      <c r="G38" s="1904"/>
      <c r="H38" s="382">
        <f>SUMIF(114:114,G38,115:115)-SUMIF(114:114,C38,115:115)+100</f>
        <v>100</v>
      </c>
      <c r="I38" s="1904"/>
      <c r="J38" s="382">
        <f>SUMIF(114:114,I38,115:115)-SUMIF(114:114,C38,115:115)+100</f>
        <v>100</v>
      </c>
      <c r="K38" s="546"/>
      <c r="L38" s="2668"/>
      <c r="M38" s="2663"/>
      <c r="N38" s="2663"/>
      <c r="O38" s="2663"/>
      <c r="P38" s="3361" t="s">
        <v>2319</v>
      </c>
      <c r="Q38" s="1407" t="str">
        <f t="shared" si="11"/>
        <v>业态</v>
      </c>
      <c r="R38" s="675" t="s">
        <v>17</v>
      </c>
      <c r="S38" s="676">
        <f t="shared" si="12"/>
        <v>100</v>
      </c>
      <c r="T38" s="675" t="s">
        <v>17</v>
      </c>
      <c r="U38" s="676">
        <f t="shared" si="13"/>
        <v>100</v>
      </c>
      <c r="V38" s="675" t="s">
        <v>17</v>
      </c>
      <c r="W38" s="676">
        <f t="shared" si="14"/>
        <v>100</v>
      </c>
      <c r="X38" s="1409"/>
      <c r="Y38" s="3363" t="s">
        <v>2319</v>
      </c>
      <c r="Z38" s="1408" t="str">
        <f t="shared" si="15"/>
        <v>业态</v>
      </c>
      <c r="AA38" s="1408">
        <f t="shared" si="3"/>
        <v>1</v>
      </c>
      <c r="AB38" s="1408">
        <f t="shared" si="4"/>
        <v>1</v>
      </c>
      <c r="AC38" s="1408">
        <f t="shared" si="5"/>
        <v>1</v>
      </c>
    </row>
    <row r="39" spans="1:29" ht="15">
      <c r="A39" s="417"/>
      <c r="B39" s="370" t="s">
        <v>2418</v>
      </c>
      <c r="C39" s="1904"/>
      <c r="D39" s="382">
        <v>100</v>
      </c>
      <c r="E39" s="1904"/>
      <c r="F39" s="408">
        <f>SUMIF(116:116,E39,117:117)-SUMIF(116:116,C39,117:117)+100</f>
        <v>100</v>
      </c>
      <c r="G39" s="1904"/>
      <c r="H39" s="382">
        <f>SUMIF(116:116,G39,117:117)-SUMIF(116:116,C39,117:117)+100</f>
        <v>100</v>
      </c>
      <c r="I39" s="1904"/>
      <c r="J39" s="382">
        <f>SUMIF(116:116,I39,117:117)-SUMIF(116:116,C39,117:117)+100</f>
        <v>100</v>
      </c>
      <c r="K39" s="546"/>
      <c r="L39" s="2668"/>
      <c r="M39" s="2663"/>
      <c r="N39" s="2663"/>
      <c r="O39" s="2663"/>
      <c r="P39" s="3361"/>
      <c r="Q39" s="1407" t="str">
        <f t="shared" si="11"/>
        <v>层高</v>
      </c>
      <c r="R39" s="675" t="s">
        <v>17</v>
      </c>
      <c r="S39" s="676">
        <f t="shared" si="12"/>
        <v>100</v>
      </c>
      <c r="T39" s="675" t="s">
        <v>17</v>
      </c>
      <c r="U39" s="676">
        <f t="shared" si="13"/>
        <v>100</v>
      </c>
      <c r="V39" s="675" t="s">
        <v>17</v>
      </c>
      <c r="W39" s="676">
        <f t="shared" si="14"/>
        <v>100</v>
      </c>
      <c r="X39" s="1409"/>
      <c r="Y39" s="3363"/>
      <c r="Z39" s="1408" t="str">
        <f t="shared" si="15"/>
        <v>层高</v>
      </c>
      <c r="AA39" s="1408">
        <f t="shared" si="3"/>
        <v>1</v>
      </c>
      <c r="AB39" s="1408">
        <f t="shared" si="4"/>
        <v>1</v>
      </c>
      <c r="AC39" s="1408">
        <f t="shared" si="5"/>
        <v>1</v>
      </c>
    </row>
    <row r="40" spans="1:29" ht="15">
      <c r="A40" s="417"/>
      <c r="B40" s="370" t="s">
        <v>2419</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68"/>
      <c r="M40" s="2663"/>
      <c r="N40" s="2663"/>
      <c r="O40" s="2663"/>
      <c r="P40" s="3361"/>
      <c r="Q40" s="1407" t="str">
        <f t="shared" si="11"/>
        <v>单套建筑面积</v>
      </c>
      <c r="R40" s="675" t="s">
        <v>17</v>
      </c>
      <c r="S40" s="676">
        <f t="shared" si="12"/>
        <v>100</v>
      </c>
      <c r="T40" s="675" t="s">
        <v>17</v>
      </c>
      <c r="U40" s="676">
        <f t="shared" si="13"/>
        <v>100</v>
      </c>
      <c r="V40" s="675" t="s">
        <v>17</v>
      </c>
      <c r="W40" s="676">
        <f t="shared" si="14"/>
        <v>100</v>
      </c>
      <c r="X40" s="1409"/>
      <c r="Y40" s="3363"/>
      <c r="Z40" s="1408" t="str">
        <f t="shared" si="15"/>
        <v>单套建筑面积</v>
      </c>
      <c r="AA40" s="1408">
        <f t="shared" si="3"/>
        <v>1</v>
      </c>
      <c r="AB40" s="1408">
        <f t="shared" si="4"/>
        <v>1</v>
      </c>
      <c r="AC40" s="1408">
        <f t="shared" si="5"/>
        <v>1</v>
      </c>
    </row>
    <row r="41" spans="1:29" s="416" customFormat="1" ht="15">
      <c r="A41" s="414"/>
      <c r="B41" s="408" t="s">
        <v>2420</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67"/>
      <c r="M41" s="2669"/>
      <c r="N41" s="2669"/>
      <c r="O41" s="2669"/>
      <c r="P41" s="3361"/>
      <c r="Q41" s="539" t="str">
        <f t="shared" si="11"/>
        <v>进深比</v>
      </c>
      <c r="R41" s="677" t="s">
        <v>17</v>
      </c>
      <c r="S41" s="678">
        <f t="shared" si="12"/>
        <v>100</v>
      </c>
      <c r="T41" s="677" t="s">
        <v>17</v>
      </c>
      <c r="U41" s="678">
        <f t="shared" si="13"/>
        <v>100</v>
      </c>
      <c r="V41" s="677" t="s">
        <v>17</v>
      </c>
      <c r="W41" s="678">
        <f t="shared" si="14"/>
        <v>100</v>
      </c>
      <c r="X41" s="679"/>
      <c r="Y41" s="3363"/>
      <c r="Z41" s="680" t="str">
        <f t="shared" si="15"/>
        <v>进深比</v>
      </c>
      <c r="AA41" s="1408">
        <f t="shared" si="3"/>
        <v>1</v>
      </c>
      <c r="AB41" s="1408">
        <f t="shared" si="4"/>
        <v>1</v>
      </c>
      <c r="AC41" s="1408">
        <f t="shared" si="5"/>
        <v>1</v>
      </c>
    </row>
    <row r="42" spans="1:29" ht="15">
      <c r="A42" s="417"/>
      <c r="B42" s="370" t="s">
        <v>2421</v>
      </c>
      <c r="C42" s="1904"/>
      <c r="D42" s="382">
        <v>100</v>
      </c>
      <c r="E42" s="1904"/>
      <c r="F42" s="408">
        <f>SUMIF(122:122,E42,123:123)-SUMIF(122:122,C42,123:123)+100</f>
        <v>100</v>
      </c>
      <c r="G42" s="1904"/>
      <c r="H42" s="382">
        <f>SUMIF(122:122,G42,123:123)-SUMIF(122:122,C42,123:123)+100</f>
        <v>100</v>
      </c>
      <c r="I42" s="1904"/>
      <c r="J42" s="382">
        <f>SUMIF(122:122,I42,123:123)-SUMIF(122:122,C42,123:123)+100</f>
        <v>100</v>
      </c>
      <c r="K42" s="546"/>
      <c r="L42" s="2668"/>
      <c r="M42" s="2663"/>
      <c r="N42" s="2663"/>
      <c r="O42" s="2663"/>
      <c r="P42" s="3361"/>
      <c r="Q42" s="1407" t="str">
        <f t="shared" si="11"/>
        <v>内部装修</v>
      </c>
      <c r="R42" s="675" t="s">
        <v>17</v>
      </c>
      <c r="S42" s="676">
        <f t="shared" si="12"/>
        <v>100</v>
      </c>
      <c r="T42" s="675" t="s">
        <v>17</v>
      </c>
      <c r="U42" s="676">
        <f t="shared" si="13"/>
        <v>100</v>
      </c>
      <c r="V42" s="675" t="s">
        <v>17</v>
      </c>
      <c r="W42" s="676">
        <f t="shared" si="14"/>
        <v>100</v>
      </c>
      <c r="X42" s="1409"/>
      <c r="Y42" s="3363"/>
      <c r="Z42" s="1408" t="str">
        <f t="shared" si="15"/>
        <v>内部装修</v>
      </c>
      <c r="AA42" s="1408">
        <f t="shared" si="3"/>
        <v>1</v>
      </c>
      <c r="AB42" s="1408">
        <f t="shared" si="4"/>
        <v>1</v>
      </c>
      <c r="AC42" s="1408">
        <f t="shared" si="5"/>
        <v>1</v>
      </c>
    </row>
    <row r="43" spans="1:29" ht="15">
      <c r="A43" s="417"/>
      <c r="B43" s="370" t="s">
        <v>2329</v>
      </c>
      <c r="C43" s="1904"/>
      <c r="D43" s="382">
        <v>100</v>
      </c>
      <c r="E43" s="1904"/>
      <c r="F43" s="408">
        <f>SUMIF(124:124,E43,125:125)-SUMIF(124:124,C43,125:125)+100</f>
        <v>100</v>
      </c>
      <c r="G43" s="1904"/>
      <c r="H43" s="382">
        <f>SUMIF(124:124,G43,125:125)-SUMIF(124:124,C43,125:125)+100</f>
        <v>100</v>
      </c>
      <c r="I43" s="1904"/>
      <c r="J43" s="382">
        <f>SUMIF(124:124,I43,125:125)-SUMIF(124:124,C43,125:125)+100</f>
        <v>100</v>
      </c>
      <c r="K43" s="546"/>
      <c r="L43" s="2668"/>
      <c r="M43" s="2663"/>
      <c r="N43" s="2663"/>
      <c r="O43" s="2663"/>
      <c r="P43" s="3361"/>
      <c r="Q43" s="1407" t="str">
        <f t="shared" si="11"/>
        <v>内部装修维护情况</v>
      </c>
      <c r="R43" s="675" t="s">
        <v>17</v>
      </c>
      <c r="S43" s="676">
        <f t="shared" si="12"/>
        <v>100</v>
      </c>
      <c r="T43" s="675" t="s">
        <v>17</v>
      </c>
      <c r="U43" s="676">
        <f t="shared" si="13"/>
        <v>100</v>
      </c>
      <c r="V43" s="675" t="s">
        <v>17</v>
      </c>
      <c r="W43" s="676">
        <f t="shared" si="14"/>
        <v>100</v>
      </c>
      <c r="X43" s="1409"/>
      <c r="Y43" s="3363"/>
      <c r="Z43" s="1408" t="str">
        <f t="shared" si="15"/>
        <v>内部装修维护情况</v>
      </c>
      <c r="AA43" s="1408">
        <f t="shared" si="3"/>
        <v>1</v>
      </c>
      <c r="AB43" s="1408">
        <f t="shared" si="4"/>
        <v>1</v>
      </c>
      <c r="AC43" s="1408">
        <f t="shared" si="5"/>
        <v>1</v>
      </c>
    </row>
    <row r="44" spans="1:29" s="107" customFormat="1" ht="15">
      <c r="A44" s="418"/>
      <c r="B44" s="1193">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64"/>
      <c r="M44" s="2613"/>
      <c r="N44" s="2613"/>
      <c r="O44" s="2613"/>
      <c r="P44" s="3361"/>
      <c r="Q44" s="538">
        <f t="shared" si="11"/>
        <v>111</v>
      </c>
      <c r="R44" s="672" t="s">
        <v>17</v>
      </c>
      <c r="S44" s="673">
        <f t="shared" si="12"/>
        <v>100</v>
      </c>
      <c r="T44" s="672" t="s">
        <v>17</v>
      </c>
      <c r="U44" s="673">
        <f t="shared" si="13"/>
        <v>100</v>
      </c>
      <c r="V44" s="672" t="s">
        <v>17</v>
      </c>
      <c r="W44" s="673">
        <f t="shared" si="14"/>
        <v>100</v>
      </c>
      <c r="X44" s="674"/>
      <c r="Y44" s="3363"/>
      <c r="Z44" s="53">
        <f t="shared" si="15"/>
        <v>111</v>
      </c>
      <c r="AA44" s="53">
        <f t="shared" si="3"/>
        <v>1</v>
      </c>
      <c r="AB44" s="53">
        <f t="shared" si="4"/>
        <v>1</v>
      </c>
      <c r="AC44" s="53">
        <f t="shared" si="5"/>
        <v>1</v>
      </c>
    </row>
    <row r="45" spans="1:29" ht="15">
      <c r="A45" s="417"/>
      <c r="B45" s="1193">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68"/>
      <c r="M45" s="2663"/>
      <c r="N45" s="2663"/>
      <c r="O45" s="2663"/>
      <c r="P45" s="3361"/>
      <c r="Q45" s="1407">
        <f t="shared" si="11"/>
        <v>111</v>
      </c>
      <c r="R45" s="675" t="s">
        <v>17</v>
      </c>
      <c r="S45" s="676">
        <f t="shared" si="12"/>
        <v>100</v>
      </c>
      <c r="T45" s="675" t="s">
        <v>17</v>
      </c>
      <c r="U45" s="676">
        <f t="shared" si="13"/>
        <v>100</v>
      </c>
      <c r="V45" s="675" t="s">
        <v>17</v>
      </c>
      <c r="W45" s="676">
        <f t="shared" si="14"/>
        <v>100</v>
      </c>
      <c r="X45" s="1409"/>
      <c r="Y45" s="3363"/>
      <c r="Z45" s="1408">
        <f t="shared" si="15"/>
        <v>111</v>
      </c>
      <c r="AA45" s="1408">
        <f t="shared" si="3"/>
        <v>1</v>
      </c>
      <c r="AB45" s="1408">
        <f t="shared" si="4"/>
        <v>1</v>
      </c>
      <c r="AC45" s="1408">
        <f t="shared" si="5"/>
        <v>1</v>
      </c>
    </row>
    <row r="46" spans="1:29" ht="15.75" thickBot="1">
      <c r="A46" s="423"/>
      <c r="B46" s="1893">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68"/>
      <c r="M46" s="2663"/>
      <c r="N46" s="2663"/>
      <c r="O46" s="2663"/>
      <c r="P46" s="3362"/>
      <c r="Q46" s="1407">
        <f t="shared" si="11"/>
        <v>111</v>
      </c>
      <c r="R46" s="675" t="s">
        <v>17</v>
      </c>
      <c r="S46" s="676">
        <f t="shared" si="12"/>
        <v>100</v>
      </c>
      <c r="T46" s="675" t="s">
        <v>17</v>
      </c>
      <c r="U46" s="676">
        <f t="shared" si="13"/>
        <v>100</v>
      </c>
      <c r="V46" s="675" t="s">
        <v>17</v>
      </c>
      <c r="W46" s="676">
        <f t="shared" si="14"/>
        <v>100</v>
      </c>
      <c r="X46" s="1409"/>
      <c r="Y46" s="3364"/>
      <c r="Z46" s="1408">
        <f t="shared" si="15"/>
        <v>111</v>
      </c>
      <c r="AA46" s="1408">
        <f t="shared" si="3"/>
        <v>1</v>
      </c>
      <c r="AB46" s="1408">
        <f t="shared" si="4"/>
        <v>1</v>
      </c>
      <c r="AC46" s="1408">
        <f t="shared" si="5"/>
        <v>1</v>
      </c>
    </row>
    <row r="47" spans="1:29" ht="15">
      <c r="A47" s="424" t="s">
        <v>2330</v>
      </c>
      <c r="B47" s="425"/>
      <c r="C47" s="1208" t="s">
        <v>1</v>
      </c>
      <c r="D47" s="426"/>
      <c r="E47" s="427"/>
      <c r="F47" s="428"/>
      <c r="G47" s="429"/>
      <c r="H47" s="430"/>
      <c r="I47" s="427"/>
      <c r="J47" s="430"/>
      <c r="K47" s="682"/>
      <c r="L47" s="2670"/>
      <c r="M47" s="2663"/>
      <c r="N47" s="2663"/>
      <c r="O47" s="2663"/>
      <c r="P47" s="3351" t="str">
        <f>A47</f>
        <v>成交单价（元/平方米）</v>
      </c>
      <c r="Q47" s="3351"/>
      <c r="R47" s="3352">
        <f>E47</f>
        <v>0</v>
      </c>
      <c r="S47" s="3352"/>
      <c r="T47" s="3352">
        <f>G47</f>
        <v>0</v>
      </c>
      <c r="U47" s="3352"/>
      <c r="V47" s="3352">
        <f>I47</f>
        <v>0</v>
      </c>
      <c r="W47" s="3352"/>
      <c r="X47" s="393"/>
      <c r="Y47" s="681"/>
      <c r="Z47" s="393"/>
      <c r="AA47" s="393"/>
      <c r="AB47" s="393"/>
      <c r="AC47" s="393"/>
    </row>
    <row r="48" spans="1:29" ht="15.75" thickBot="1">
      <c r="A48" s="431" t="s">
        <v>2422</v>
      </c>
      <c r="B48" s="432"/>
      <c r="C48" s="1209" t="e">
        <f>R49</f>
        <v>#DIV/0!</v>
      </c>
      <c r="D48" s="2312" t="s">
        <v>2807</v>
      </c>
      <c r="E48" s="1210" t="e">
        <f>R48</f>
        <v>#DIV/0!</v>
      </c>
      <c r="F48" s="2313"/>
      <c r="G48" s="1209" t="e">
        <f>T48</f>
        <v>#DIV/0!</v>
      </c>
      <c r="H48" s="2313"/>
      <c r="I48" s="1210" t="e">
        <f>V48</f>
        <v>#DIV/0!</v>
      </c>
      <c r="J48" s="2313"/>
      <c r="K48" s="2315">
        <f>F48+H48+J48</f>
        <v>0</v>
      </c>
      <c r="L48" s="2670"/>
      <c r="M48" s="2663"/>
      <c r="N48" s="2663"/>
      <c r="O48" s="2663"/>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93"/>
      <c r="Y48" s="393"/>
      <c r="Z48" s="393"/>
      <c r="AA48" s="393"/>
      <c r="AB48" s="393"/>
      <c r="AC48" s="393"/>
    </row>
    <row r="49" spans="1:29" ht="15.75" thickBot="1">
      <c r="A49" s="435" t="s">
        <v>2423</v>
      </c>
      <c r="B49" s="436"/>
      <c r="C49" s="357" t="e">
        <f>R49</f>
        <v>#DIV/0!</v>
      </c>
      <c r="D49" s="357"/>
      <c r="E49" s="357"/>
      <c r="F49" s="357"/>
      <c r="G49" s="357"/>
      <c r="H49" s="357"/>
      <c r="I49" s="357"/>
      <c r="J49" s="357"/>
      <c r="K49" s="683"/>
      <c r="L49" s="2670"/>
      <c r="M49" s="2663"/>
      <c r="N49" s="2663"/>
      <c r="O49" s="2663"/>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393"/>
      <c r="Y49" s="393"/>
      <c r="Z49" s="393"/>
      <c r="AA49" s="393"/>
      <c r="AB49" s="393"/>
      <c r="AC49" s="393"/>
    </row>
    <row r="50" spans="1:29">
      <c r="A50" s="2663"/>
      <c r="B50" s="2663"/>
      <c r="C50" s="2663"/>
      <c r="D50" s="2663"/>
      <c r="E50" s="2663"/>
      <c r="F50" s="2663"/>
      <c r="G50" s="2674"/>
      <c r="H50" s="2663"/>
      <c r="I50" s="2663"/>
      <c r="J50" s="2663"/>
      <c r="K50" s="2675"/>
      <c r="L50" s="2671"/>
      <c r="M50" s="2663"/>
      <c r="N50" s="2663"/>
      <c r="O50" s="2663"/>
      <c r="P50" s="2681"/>
      <c r="Q50" s="2663"/>
      <c r="R50" s="2663"/>
      <c r="S50" s="2663"/>
      <c r="T50" s="2663"/>
      <c r="U50" s="2663"/>
      <c r="V50" s="2663"/>
      <c r="W50" s="2663"/>
      <c r="X50" s="2663"/>
      <c r="Y50" s="2663"/>
      <c r="Z50" s="2663"/>
      <c r="AA50" s="2663"/>
      <c r="AB50" s="2663"/>
      <c r="AC50" s="2663"/>
    </row>
    <row r="51" spans="1:29">
      <c r="A51" s="2663"/>
      <c r="B51" s="2663"/>
      <c r="C51" s="2663"/>
      <c r="D51" s="2663"/>
      <c r="E51" s="2663"/>
      <c r="F51" s="2663"/>
      <c r="G51" s="2663"/>
      <c r="H51" s="2663"/>
      <c r="I51" s="2663"/>
      <c r="J51" s="2663"/>
      <c r="K51" s="2675"/>
      <c r="L51" s="2671"/>
      <c r="M51" s="2663"/>
      <c r="N51" s="2663"/>
      <c r="O51" s="2663"/>
      <c r="P51" s="2681"/>
      <c r="Q51" s="2663"/>
      <c r="R51" s="2663"/>
      <c r="S51" s="2663"/>
      <c r="T51" s="2663"/>
      <c r="U51" s="2663"/>
      <c r="V51" s="2663"/>
      <c r="W51" s="2663"/>
      <c r="X51" s="2663"/>
      <c r="Y51" s="2663"/>
      <c r="Z51" s="2663"/>
      <c r="AA51" s="2663"/>
      <c r="AB51" s="2663"/>
      <c r="AC51" s="2663"/>
    </row>
    <row r="52" spans="1:29" ht="13.5" customHeight="1">
      <c r="A52" s="2663"/>
      <c r="B52" s="2663"/>
      <c r="C52" s="440" t="s">
        <v>2424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75"/>
      <c r="L52" s="2671"/>
      <c r="M52" s="2663"/>
      <c r="N52" s="2663"/>
      <c r="O52" s="2663"/>
      <c r="P52" s="2681"/>
      <c r="Q52" s="2663"/>
      <c r="R52" s="2663"/>
      <c r="S52" s="2663"/>
      <c r="T52" s="2663"/>
      <c r="U52" s="2663"/>
      <c r="V52" s="2663"/>
      <c r="W52" s="2663"/>
      <c r="X52" s="2663"/>
      <c r="Y52" s="2663"/>
      <c r="Z52" s="2663"/>
      <c r="AA52" s="2663"/>
      <c r="AB52" s="2663"/>
      <c r="AC52" s="2663"/>
    </row>
    <row r="53" spans="1:29" ht="13.5" customHeight="1">
      <c r="A53" s="2663"/>
      <c r="B53" s="2663"/>
      <c r="C53" s="440" t="s">
        <v>2425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75"/>
      <c r="L53" s="2671"/>
      <c r="M53" s="2663"/>
      <c r="N53" s="2663"/>
      <c r="O53" s="2663"/>
      <c r="P53" s="2681"/>
      <c r="Q53" s="2663"/>
      <c r="R53" s="2663"/>
      <c r="S53" s="2663"/>
      <c r="T53" s="2663"/>
      <c r="U53" s="2663"/>
      <c r="V53" s="2663"/>
      <c r="W53" s="2663"/>
      <c r="X53" s="2663"/>
      <c r="Y53" s="2663"/>
      <c r="Z53" s="2663"/>
      <c r="AA53" s="2663"/>
      <c r="AB53" s="2663"/>
      <c r="AC53" s="2663"/>
    </row>
    <row r="54" spans="1:29" s="445" customFormat="1" ht="13.5" customHeight="1">
      <c r="A54" s="2673"/>
      <c r="B54" s="2673"/>
      <c r="C54" s="440" t="s">
        <v>2426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78"/>
      <c r="L54" s="2672"/>
      <c r="M54" s="2673"/>
      <c r="N54" s="2673"/>
      <c r="O54" s="2673"/>
      <c r="P54" s="2682"/>
      <c r="Q54" s="2673"/>
      <c r="R54" s="2673"/>
      <c r="S54" s="2673"/>
      <c r="T54" s="2673"/>
      <c r="U54" s="2673"/>
      <c r="V54" s="2673"/>
      <c r="W54" s="2673"/>
      <c r="X54" s="2673"/>
      <c r="Y54" s="2673"/>
      <c r="Z54" s="2673"/>
      <c r="AA54" s="2673"/>
      <c r="AB54" s="2673"/>
      <c r="AC54" s="2673"/>
    </row>
    <row r="55" spans="1:29" s="445" customFormat="1">
      <c r="A55" s="2673"/>
      <c r="B55" s="2676"/>
      <c r="C55" s="2677"/>
      <c r="D55" s="2673"/>
      <c r="E55" s="2673"/>
      <c r="F55" s="2673"/>
      <c r="G55" s="2673"/>
      <c r="H55" s="2673"/>
      <c r="I55" s="2673"/>
      <c r="J55" s="2673"/>
      <c r="K55" s="2678"/>
      <c r="L55" s="2672"/>
      <c r="M55" s="2673"/>
      <c r="N55" s="2673"/>
      <c r="O55" s="2673"/>
      <c r="P55" s="2682"/>
      <c r="Q55" s="2673"/>
      <c r="R55" s="2673"/>
      <c r="S55" s="2673"/>
      <c r="T55" s="2673"/>
      <c r="U55" s="2673"/>
      <c r="V55" s="2673"/>
      <c r="W55" s="2673"/>
      <c r="X55" s="2673"/>
      <c r="Y55" s="2673"/>
      <c r="Z55" s="2673"/>
      <c r="AA55" s="2673"/>
      <c r="AB55" s="2673"/>
      <c r="AC55" s="2673"/>
    </row>
    <row r="56" spans="1:29">
      <c r="A56" s="2663"/>
      <c r="B56" s="2676"/>
      <c r="C56" s="2677"/>
      <c r="D56" s="2663"/>
      <c r="E56" s="2663"/>
      <c r="F56" s="2663"/>
      <c r="G56" s="2663"/>
      <c r="H56" s="2663"/>
      <c r="I56" s="2663"/>
      <c r="J56" s="2663"/>
      <c r="K56" s="2675"/>
      <c r="L56" s="2671"/>
      <c r="M56" s="2663"/>
      <c r="N56" s="2663"/>
      <c r="O56" s="2663"/>
      <c r="P56" s="2681"/>
      <c r="Q56" s="2663"/>
      <c r="R56" s="2663"/>
      <c r="S56" s="2663"/>
      <c r="T56" s="2663"/>
      <c r="U56" s="2663"/>
      <c r="V56" s="2663"/>
      <c r="W56" s="2663"/>
      <c r="X56" s="2663"/>
      <c r="Y56" s="2663"/>
      <c r="Z56" s="2663"/>
      <c r="AA56" s="2663"/>
      <c r="AB56" s="2663"/>
      <c r="AC56" s="2663"/>
    </row>
    <row r="57" spans="1:29" ht="21.75" thickBot="1">
      <c r="A57" s="666" t="s">
        <v>2427</v>
      </c>
      <c r="B57" s="393"/>
      <c r="C57" s="667"/>
      <c r="D57" s="667"/>
      <c r="E57" s="667"/>
      <c r="F57" s="668"/>
      <c r="G57" s="668"/>
      <c r="H57" s="667"/>
      <c r="I57" s="667"/>
      <c r="J57" s="667"/>
      <c r="K57" s="669"/>
      <c r="L57" s="1011"/>
      <c r="M57" s="1009"/>
      <c r="N57" s="1009"/>
      <c r="O57" s="1009"/>
      <c r="P57" s="2683"/>
      <c r="Q57" s="2684"/>
      <c r="R57" s="2663"/>
      <c r="S57" s="2663"/>
      <c r="T57" s="2663"/>
      <c r="U57" s="2663"/>
      <c r="V57" s="2663"/>
      <c r="W57" s="2663"/>
      <c r="X57" s="2663"/>
      <c r="Y57" s="2663"/>
      <c r="Z57" s="2663"/>
      <c r="AA57" s="2663"/>
      <c r="AB57" s="2663"/>
      <c r="AC57" s="2663"/>
    </row>
    <row r="58" spans="1:29" s="450" customFormat="1" ht="15">
      <c r="A58" s="448" t="s">
        <v>2302</v>
      </c>
      <c r="B58" s="449"/>
      <c r="C58" s="1230" t="str">
        <f>YEAR(C7)&amp;"-"&amp;MONTH(C7)</f>
        <v>2014-2</v>
      </c>
      <c r="D58" s="1231">
        <f>EDATE(C58,-1)</f>
        <v>41640</v>
      </c>
      <c r="E58" s="1231">
        <f t="shared" ref="E58:N58" si="16">EDATE(D58,-1)</f>
        <v>41609</v>
      </c>
      <c r="F58" s="1231">
        <f t="shared" si="16"/>
        <v>41579</v>
      </c>
      <c r="G58" s="1231">
        <f t="shared" si="16"/>
        <v>41548</v>
      </c>
      <c r="H58" s="1231">
        <f t="shared" si="16"/>
        <v>41518</v>
      </c>
      <c r="I58" s="1231">
        <f t="shared" si="16"/>
        <v>41487</v>
      </c>
      <c r="J58" s="1231">
        <f t="shared" si="16"/>
        <v>41456</v>
      </c>
      <c r="K58" s="1231">
        <f t="shared" si="16"/>
        <v>41426</v>
      </c>
      <c r="L58" s="1231">
        <f t="shared" si="16"/>
        <v>41395</v>
      </c>
      <c r="M58" s="1231">
        <f t="shared" si="16"/>
        <v>41365</v>
      </c>
      <c r="N58" s="1231">
        <f t="shared" si="16"/>
        <v>41334</v>
      </c>
      <c r="O58" s="1231">
        <f>EDATE(N58,-1)</f>
        <v>41306</v>
      </c>
      <c r="P58" s="2685"/>
      <c r="Q58" s="2686"/>
      <c r="R58" s="2686"/>
      <c r="S58" s="2686"/>
      <c r="T58" s="2686"/>
      <c r="U58" s="2686"/>
      <c r="V58" s="2686"/>
      <c r="W58" s="2686"/>
      <c r="X58" s="2686"/>
      <c r="Y58" s="2686"/>
      <c r="Z58" s="2686"/>
      <c r="AA58" s="2686"/>
      <c r="AB58" s="2686"/>
      <c r="AC58" s="2686"/>
    </row>
    <row r="59" spans="1:29" s="107" customFormat="1" ht="15">
      <c r="A59" s="451"/>
      <c r="B59" s="452"/>
      <c r="C59" s="1229">
        <v>100</v>
      </c>
      <c r="D59" s="454"/>
      <c r="E59" s="454"/>
      <c r="F59" s="454"/>
      <c r="G59" s="454"/>
      <c r="H59" s="454"/>
      <c r="I59" s="454"/>
      <c r="J59" s="454"/>
      <c r="K59" s="454"/>
      <c r="L59" s="454"/>
      <c r="M59" s="455"/>
      <c r="N59" s="454"/>
      <c r="O59" s="455"/>
      <c r="P59" s="2687"/>
      <c r="Q59" s="2613"/>
      <c r="R59" s="2613"/>
      <c r="S59" s="2613"/>
      <c r="T59" s="2613"/>
      <c r="U59" s="2613"/>
      <c r="V59" s="2613"/>
      <c r="W59" s="2613"/>
      <c r="X59" s="2613"/>
      <c r="Y59" s="2613"/>
      <c r="Z59" s="2613"/>
      <c r="AA59" s="2613"/>
      <c r="AB59" s="2613"/>
      <c r="AC59" s="2613"/>
    </row>
    <row r="60" spans="1:29" s="107" customFormat="1" ht="15.75" thickBot="1">
      <c r="A60" s="457" t="s">
        <v>2338</v>
      </c>
      <c r="B60" s="458"/>
      <c r="C60" s="459"/>
      <c r="D60" s="460"/>
      <c r="E60" s="460"/>
      <c r="F60" s="460"/>
      <c r="G60" s="460"/>
      <c r="H60" s="460"/>
      <c r="I60" s="460"/>
      <c r="J60" s="460"/>
      <c r="K60" s="460"/>
      <c r="L60" s="460"/>
      <c r="M60" s="461"/>
      <c r="N60" s="460"/>
      <c r="O60" s="461"/>
      <c r="P60" s="2687"/>
      <c r="Q60" s="2684"/>
      <c r="R60" s="2613"/>
      <c r="S60" s="2613"/>
      <c r="T60" s="2613"/>
      <c r="U60" s="2613"/>
      <c r="V60" s="2613"/>
      <c r="W60" s="2613"/>
      <c r="X60" s="2613"/>
      <c r="Y60" s="2613"/>
      <c r="Z60" s="2613"/>
      <c r="AA60" s="2613"/>
      <c r="AB60" s="2613"/>
      <c r="AC60" s="2613"/>
    </row>
    <row r="61" spans="1:29" s="107" customFormat="1" ht="15">
      <c r="A61" s="463" t="s">
        <v>2304</v>
      </c>
      <c r="B61" s="452"/>
      <c r="C61" s="464" t="s">
        <v>2405</v>
      </c>
      <c r="D61" s="34"/>
      <c r="E61" s="34"/>
      <c r="F61" s="34"/>
      <c r="G61" s="34"/>
      <c r="H61" s="34"/>
      <c r="I61" s="34"/>
      <c r="J61" s="34"/>
      <c r="K61" s="34"/>
      <c r="L61" s="465"/>
      <c r="M61" s="466"/>
      <c r="N61" s="2696"/>
      <c r="O61" s="2696"/>
      <c r="P61" s="2688"/>
      <c r="Q61" s="2684"/>
      <c r="R61" s="2613"/>
      <c r="S61" s="2613"/>
      <c r="T61" s="2613"/>
      <c r="U61" s="2613"/>
      <c r="V61" s="2613"/>
      <c r="W61" s="2613"/>
      <c r="X61" s="2613"/>
      <c r="Y61" s="2613"/>
      <c r="Z61" s="2613"/>
      <c r="AA61" s="2613"/>
      <c r="AB61" s="2613"/>
      <c r="AC61" s="2613"/>
    </row>
    <row r="62" spans="1:29" s="107" customFormat="1" ht="15.75" thickBot="1">
      <c r="A62" s="463"/>
      <c r="B62" s="452"/>
      <c r="C62" s="453">
        <v>100</v>
      </c>
      <c r="D62" s="454"/>
      <c r="E62" s="454"/>
      <c r="F62" s="454"/>
      <c r="G62" s="454"/>
      <c r="H62" s="454"/>
      <c r="I62" s="454"/>
      <c r="J62" s="454"/>
      <c r="K62" s="454"/>
      <c r="L62" s="454"/>
      <c r="M62" s="456"/>
      <c r="N62" s="2696"/>
      <c r="O62" s="2696"/>
      <c r="P62" s="2687"/>
      <c r="Q62" s="2684"/>
      <c r="R62" s="2613"/>
      <c r="S62" s="2613"/>
      <c r="T62" s="2613"/>
      <c r="U62" s="2613"/>
      <c r="V62" s="2613"/>
      <c r="W62" s="2613"/>
      <c r="X62" s="2613"/>
      <c r="Y62" s="2613"/>
      <c r="Z62" s="2613"/>
      <c r="AA62" s="2613"/>
      <c r="AB62" s="2613"/>
      <c r="AC62" s="2613"/>
    </row>
    <row r="63" spans="1:29">
      <c r="A63" s="387" t="s">
        <v>2341</v>
      </c>
      <c r="B63" s="468" t="s">
        <v>2308</v>
      </c>
      <c r="C63" s="469">
        <f>C9</f>
        <v>0</v>
      </c>
      <c r="D63" s="470"/>
      <c r="E63" s="470"/>
      <c r="F63" s="470"/>
      <c r="G63" s="470"/>
      <c r="H63" s="470"/>
      <c r="I63" s="470"/>
      <c r="J63" s="470"/>
      <c r="K63" s="471"/>
      <c r="L63" s="472"/>
      <c r="M63" s="473"/>
      <c r="N63" s="2697"/>
      <c r="O63" s="2697"/>
      <c r="P63" s="2689"/>
      <c r="Q63" s="2684"/>
      <c r="R63" s="2663"/>
      <c r="S63" s="2663"/>
      <c r="T63" s="2663"/>
      <c r="U63" s="2663"/>
      <c r="V63" s="2663"/>
      <c r="W63" s="2663"/>
      <c r="X63" s="2663"/>
      <c r="Y63" s="2663"/>
      <c r="Z63" s="2663"/>
      <c r="AA63" s="2663"/>
      <c r="AB63" s="2663"/>
      <c r="AC63" s="2663"/>
    </row>
    <row r="64" spans="1:29" ht="15.75" thickBot="1">
      <c r="A64" s="375"/>
      <c r="B64" s="474"/>
      <c r="C64" s="475">
        <v>100</v>
      </c>
      <c r="D64" s="475"/>
      <c r="E64" s="475"/>
      <c r="F64" s="475"/>
      <c r="G64" s="475"/>
      <c r="H64" s="475"/>
      <c r="I64" s="475"/>
      <c r="J64" s="475"/>
      <c r="K64" s="475"/>
      <c r="L64" s="475"/>
      <c r="M64" s="476"/>
      <c r="N64" s="2698"/>
      <c r="O64" s="2698"/>
      <c r="P64" s="2689"/>
      <c r="Q64" s="2684"/>
      <c r="R64" s="2663"/>
      <c r="S64" s="2663"/>
      <c r="T64" s="2663"/>
      <c r="U64" s="2663"/>
      <c r="V64" s="2663"/>
      <c r="W64" s="2663"/>
      <c r="X64" s="2663"/>
      <c r="Y64" s="2663"/>
      <c r="Z64" s="2663"/>
      <c r="AA64" s="2663"/>
      <c r="AB64" s="2663"/>
      <c r="AC64" s="2663"/>
    </row>
    <row r="65" spans="1:29" ht="27.75" thickTop="1">
      <c r="A65" s="375"/>
      <c r="B65" s="477" t="s">
        <v>2311</v>
      </c>
      <c r="C65" s="478" t="s">
        <v>2342</v>
      </c>
      <c r="D65" s="478" t="s">
        <v>2343</v>
      </c>
      <c r="E65" s="478" t="s">
        <v>2344</v>
      </c>
      <c r="F65" s="478" t="s">
        <v>2345</v>
      </c>
      <c r="G65" s="478" t="s">
        <v>2346</v>
      </c>
      <c r="H65" s="478" t="s">
        <v>2347</v>
      </c>
      <c r="I65" s="478" t="s">
        <v>2348</v>
      </c>
      <c r="J65" s="478"/>
      <c r="K65" s="479"/>
      <c r="L65" s="480"/>
      <c r="M65" s="481"/>
      <c r="N65" s="2697"/>
      <c r="O65" s="2697"/>
      <c r="P65" s="2689"/>
      <c r="Q65" s="2684"/>
      <c r="R65" s="2663"/>
      <c r="S65" s="2663"/>
      <c r="T65" s="2663"/>
      <c r="U65" s="2663"/>
      <c r="V65" s="2663"/>
      <c r="W65" s="2663"/>
      <c r="X65" s="2663"/>
      <c r="Y65" s="2663"/>
      <c r="Z65" s="2663"/>
      <c r="AA65" s="2663"/>
      <c r="AB65" s="2663"/>
      <c r="AC65" s="2663"/>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98"/>
      <c r="O66" s="2698"/>
      <c r="P66" s="2689"/>
      <c r="Q66" s="2684"/>
      <c r="R66" s="2663"/>
      <c r="S66" s="2663"/>
      <c r="T66" s="2663"/>
      <c r="U66" s="2663"/>
      <c r="V66" s="2663"/>
      <c r="W66" s="2663"/>
      <c r="X66" s="2663"/>
      <c r="Y66" s="2663"/>
      <c r="Z66" s="2663"/>
      <c r="AA66" s="2663"/>
      <c r="AB66" s="2663"/>
      <c r="AC66" s="2663"/>
    </row>
    <row r="67" spans="1:29" ht="15.75" thickTop="1">
      <c r="A67" s="375"/>
      <c r="B67" s="485" t="s">
        <v>2312</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98"/>
      <c r="O67" s="2698"/>
      <c r="P67" s="2689"/>
      <c r="Q67" s="2684"/>
      <c r="R67" s="2663"/>
      <c r="S67" s="2663"/>
      <c r="T67" s="2663"/>
      <c r="U67" s="2663"/>
      <c r="V67" s="2663"/>
      <c r="W67" s="2663"/>
      <c r="X67" s="2663"/>
      <c r="Y67" s="2663"/>
      <c r="Z67" s="2663"/>
      <c r="AA67" s="2663"/>
      <c r="AB67" s="2663"/>
      <c r="AC67" s="2663"/>
    </row>
    <row r="68" spans="1:29" ht="15">
      <c r="A68" s="375"/>
      <c r="B68" s="487"/>
      <c r="C68" s="488"/>
      <c r="D68" s="488"/>
      <c r="E68" s="488"/>
      <c r="F68" s="488"/>
      <c r="G68" s="488"/>
      <c r="H68" s="488"/>
      <c r="I68" s="488"/>
      <c r="J68" s="488"/>
      <c r="K68" s="489"/>
      <c r="L68" s="490"/>
      <c r="M68" s="491"/>
      <c r="N68" s="2697"/>
      <c r="O68" s="2697"/>
      <c r="P68" s="2689"/>
      <c r="Q68" s="2684"/>
      <c r="R68" s="2663"/>
      <c r="S68" s="2663"/>
      <c r="T68" s="2663"/>
      <c r="U68" s="2663"/>
      <c r="V68" s="2663"/>
      <c r="W68" s="2663"/>
      <c r="X68" s="2663"/>
      <c r="Y68" s="2663"/>
      <c r="Z68" s="2663"/>
      <c r="AA68" s="2663"/>
      <c r="AB68" s="2663"/>
      <c r="AC68" s="2663"/>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98"/>
      <c r="O69" s="2698"/>
      <c r="P69" s="2689"/>
      <c r="Q69" s="2684"/>
      <c r="R69" s="2663"/>
      <c r="S69" s="2663"/>
      <c r="T69" s="2663"/>
      <c r="U69" s="2663"/>
      <c r="V69" s="2663"/>
      <c r="W69" s="2663"/>
      <c r="X69" s="2663"/>
      <c r="Y69" s="2663"/>
      <c r="Z69" s="2663"/>
      <c r="AA69" s="2663"/>
      <c r="AB69" s="2663"/>
      <c r="AC69" s="2663"/>
    </row>
    <row r="70" spans="1:29" s="416" customFormat="1" ht="15.75" thickTop="1">
      <c r="A70" s="492"/>
      <c r="B70" s="477">
        <f>B12</f>
        <v>111</v>
      </c>
      <c r="C70" s="493"/>
      <c r="D70" s="493"/>
      <c r="E70" s="493"/>
      <c r="F70" s="493"/>
      <c r="G70" s="493"/>
      <c r="H70" s="494"/>
      <c r="I70" s="494"/>
      <c r="J70" s="494"/>
      <c r="K70" s="494"/>
      <c r="L70" s="495"/>
      <c r="M70" s="496"/>
      <c r="N70" s="2699"/>
      <c r="O70" s="2699"/>
      <c r="P70" s="2690"/>
      <c r="Q70" s="2691"/>
      <c r="R70" s="2669"/>
      <c r="S70" s="2669"/>
      <c r="T70" s="2669"/>
      <c r="U70" s="2669"/>
      <c r="V70" s="2669"/>
      <c r="W70" s="2669"/>
      <c r="X70" s="2669"/>
      <c r="Y70" s="2669"/>
      <c r="Z70" s="2669"/>
      <c r="AA70" s="2669"/>
      <c r="AB70" s="2669"/>
      <c r="AC70" s="2669"/>
    </row>
    <row r="71" spans="1:29" s="416" customFormat="1" ht="15.75" thickBot="1">
      <c r="A71" s="492"/>
      <c r="B71" s="482"/>
      <c r="C71" s="499"/>
      <c r="D71" s="475"/>
      <c r="E71" s="475"/>
      <c r="F71" s="475"/>
      <c r="G71" s="475"/>
      <c r="H71" s="475"/>
      <c r="I71" s="475"/>
      <c r="J71" s="475"/>
      <c r="K71" s="475"/>
      <c r="L71" s="475"/>
      <c r="M71" s="476"/>
      <c r="N71" s="2698"/>
      <c r="O71" s="2698"/>
      <c r="P71" s="2690"/>
      <c r="Q71" s="2691"/>
      <c r="R71" s="2669"/>
      <c r="S71" s="2669"/>
      <c r="T71" s="2669"/>
      <c r="U71" s="2669"/>
      <c r="V71" s="2669"/>
      <c r="W71" s="2669"/>
      <c r="X71" s="2669"/>
      <c r="Y71" s="2669"/>
      <c r="Z71" s="2669"/>
      <c r="AA71" s="2669"/>
      <c r="AB71" s="2669"/>
      <c r="AC71" s="2669"/>
    </row>
    <row r="72" spans="1:29" s="416" customFormat="1" ht="15.75" thickTop="1">
      <c r="A72" s="492"/>
      <c r="B72" s="477">
        <f>B13</f>
        <v>111</v>
      </c>
      <c r="C72" s="493"/>
      <c r="D72" s="493"/>
      <c r="E72" s="493"/>
      <c r="F72" s="493"/>
      <c r="G72" s="493"/>
      <c r="H72" s="494"/>
      <c r="I72" s="494"/>
      <c r="J72" s="494"/>
      <c r="K72" s="494"/>
      <c r="L72" s="495"/>
      <c r="M72" s="496"/>
      <c r="N72" s="2699"/>
      <c r="O72" s="2699"/>
      <c r="P72" s="2692"/>
      <c r="Q72" s="2693"/>
      <c r="R72" s="2669"/>
      <c r="S72" s="2669"/>
      <c r="T72" s="2669"/>
      <c r="U72" s="2669"/>
      <c r="V72" s="2669"/>
      <c r="W72" s="2669"/>
      <c r="X72" s="2669"/>
      <c r="Y72" s="2669"/>
      <c r="Z72" s="2669"/>
      <c r="AA72" s="2669"/>
      <c r="AB72" s="2669"/>
      <c r="AC72" s="2669"/>
    </row>
    <row r="73" spans="1:29" s="416" customFormat="1" ht="15.75" thickBot="1">
      <c r="A73" s="492"/>
      <c r="B73" s="482"/>
      <c r="C73" s="499"/>
      <c r="D73" s="475"/>
      <c r="E73" s="475"/>
      <c r="F73" s="475"/>
      <c r="G73" s="499"/>
      <c r="H73" s="501"/>
      <c r="I73" s="501"/>
      <c r="J73" s="501"/>
      <c r="K73" s="501"/>
      <c r="L73" s="501"/>
      <c r="M73" s="502"/>
      <c r="N73" s="2699"/>
      <c r="O73" s="2699"/>
      <c r="P73" s="2690"/>
      <c r="Q73" s="2691"/>
      <c r="R73" s="2669"/>
      <c r="S73" s="2669"/>
      <c r="T73" s="2669"/>
      <c r="U73" s="2669"/>
      <c r="V73" s="2669"/>
      <c r="W73" s="2669"/>
      <c r="X73" s="2669"/>
      <c r="Y73" s="2669"/>
      <c r="Z73" s="2669"/>
      <c r="AA73" s="2669"/>
      <c r="AB73" s="2669"/>
      <c r="AC73" s="2669"/>
    </row>
    <row r="74" spans="1:29" s="416" customFormat="1" ht="15.75" thickTop="1">
      <c r="A74" s="492"/>
      <c r="B74" s="485">
        <f>B14</f>
        <v>111</v>
      </c>
      <c r="C74" s="493"/>
      <c r="D74" s="493"/>
      <c r="E74" s="493"/>
      <c r="F74" s="493"/>
      <c r="G74" s="34"/>
      <c r="H74" s="503"/>
      <c r="I74" s="503"/>
      <c r="J74" s="503"/>
      <c r="K74" s="503"/>
      <c r="L74" s="504"/>
      <c r="M74" s="505"/>
      <c r="N74" s="2699"/>
      <c r="O74" s="2699"/>
      <c r="P74" s="2694"/>
      <c r="Q74" s="2691"/>
      <c r="R74" s="2669"/>
      <c r="S74" s="2669"/>
      <c r="T74" s="2669"/>
      <c r="U74" s="2669"/>
      <c r="V74" s="2669"/>
      <c r="W74" s="2669"/>
      <c r="X74" s="2669"/>
      <c r="Y74" s="2669"/>
      <c r="Z74" s="2669"/>
      <c r="AA74" s="2669"/>
      <c r="AB74" s="2669"/>
      <c r="AC74" s="2669"/>
    </row>
    <row r="75" spans="1:29" s="416" customFormat="1" ht="15.75" thickBot="1">
      <c r="A75" s="507"/>
      <c r="B75" s="508"/>
      <c r="C75" s="509"/>
      <c r="D75" s="509"/>
      <c r="E75" s="509"/>
      <c r="F75" s="509"/>
      <c r="G75" s="509"/>
      <c r="H75" s="510"/>
      <c r="I75" s="510"/>
      <c r="J75" s="510"/>
      <c r="K75" s="510"/>
      <c r="L75" s="510"/>
      <c r="M75" s="511"/>
      <c r="N75" s="2699"/>
      <c r="O75" s="2699"/>
      <c r="P75" s="2690"/>
      <c r="Q75" s="2691"/>
      <c r="R75" s="2669"/>
      <c r="S75" s="2669"/>
      <c r="T75" s="2669"/>
      <c r="U75" s="2669"/>
      <c r="V75" s="2669"/>
      <c r="W75" s="2669"/>
      <c r="X75" s="2669"/>
      <c r="Y75" s="2669"/>
      <c r="Z75" s="2669"/>
      <c r="AA75" s="2669"/>
      <c r="AB75" s="2669"/>
      <c r="AC75" s="2669"/>
    </row>
    <row r="76" spans="1:29">
      <c r="A76" s="387" t="s">
        <v>2313</v>
      </c>
      <c r="B76" s="468" t="s">
        <v>2349</v>
      </c>
      <c r="C76" s="512" t="s">
        <v>2350</v>
      </c>
      <c r="D76" s="512" t="s">
        <v>2351</v>
      </c>
      <c r="E76" s="512" t="s">
        <v>2352</v>
      </c>
      <c r="F76" s="512" t="s">
        <v>2353</v>
      </c>
      <c r="G76" s="512" t="s">
        <v>2354</v>
      </c>
      <c r="H76" s="469"/>
      <c r="I76" s="469"/>
      <c r="J76" s="469"/>
      <c r="K76" s="513"/>
      <c r="L76" s="514"/>
      <c r="M76" s="515"/>
      <c r="N76" s="2697"/>
      <c r="O76" s="2697"/>
      <c r="P76" s="2695"/>
      <c r="Q76" s="2684"/>
      <c r="R76" s="2663"/>
      <c r="S76" s="2663"/>
      <c r="T76" s="2663"/>
      <c r="U76" s="2663"/>
      <c r="V76" s="2663"/>
      <c r="W76" s="2663"/>
      <c r="X76" s="2663"/>
      <c r="Y76" s="2663"/>
      <c r="Z76" s="2663"/>
      <c r="AA76" s="2663"/>
      <c r="AB76" s="2663"/>
      <c r="AC76" s="2663"/>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98"/>
      <c r="O77" s="2698"/>
      <c r="P77" s="2689"/>
      <c r="Q77" s="2684"/>
      <c r="R77" s="2663"/>
      <c r="S77" s="2663"/>
      <c r="T77" s="2663"/>
      <c r="U77" s="2663"/>
      <c r="V77" s="2663"/>
      <c r="W77" s="2663"/>
      <c r="X77" s="2663"/>
      <c r="Y77" s="2663"/>
      <c r="Z77" s="2663"/>
      <c r="AA77" s="2663"/>
      <c r="AB77" s="2663"/>
      <c r="AC77" s="2663"/>
    </row>
    <row r="78" spans="1:29" ht="15.75" thickTop="1">
      <c r="A78" s="375"/>
      <c r="B78" s="477" t="s">
        <v>2355</v>
      </c>
      <c r="C78" s="517" t="s">
        <v>2350</v>
      </c>
      <c r="D78" s="517" t="s">
        <v>2351</v>
      </c>
      <c r="E78" s="517" t="s">
        <v>2352</v>
      </c>
      <c r="F78" s="517" t="s">
        <v>2353</v>
      </c>
      <c r="G78" s="517" t="s">
        <v>2354</v>
      </c>
      <c r="H78" s="478"/>
      <c r="I78" s="478"/>
      <c r="J78" s="478"/>
      <c r="K78" s="479"/>
      <c r="L78" s="480"/>
      <c r="M78" s="481"/>
      <c r="N78" s="2697"/>
      <c r="O78" s="2697"/>
      <c r="P78" s="2689"/>
      <c r="Q78" s="2684"/>
      <c r="R78" s="2663"/>
      <c r="S78" s="2663"/>
      <c r="T78" s="2663"/>
      <c r="U78" s="2663"/>
      <c r="V78" s="2663"/>
      <c r="W78" s="2663"/>
      <c r="X78" s="2663"/>
      <c r="Y78" s="2663"/>
      <c r="Z78" s="2663"/>
      <c r="AA78" s="2663"/>
      <c r="AB78" s="2663"/>
      <c r="AC78" s="2663"/>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98"/>
      <c r="O79" s="2698"/>
      <c r="P79" s="2689"/>
      <c r="Q79" s="2684"/>
      <c r="R79" s="2663"/>
      <c r="S79" s="2663"/>
      <c r="T79" s="2663"/>
      <c r="U79" s="2663"/>
      <c r="V79" s="2663"/>
      <c r="W79" s="2663"/>
      <c r="X79" s="2663"/>
      <c r="Y79" s="2663"/>
      <c r="Z79" s="2663"/>
      <c r="AA79" s="2663"/>
      <c r="AB79" s="2663"/>
      <c r="AC79" s="2663"/>
    </row>
    <row r="80" spans="1:29" ht="15.75" thickTop="1">
      <c r="A80" s="375"/>
      <c r="B80" s="477" t="s">
        <v>2356</v>
      </c>
      <c r="C80" s="517" t="s">
        <v>2350</v>
      </c>
      <c r="D80" s="517" t="s">
        <v>2351</v>
      </c>
      <c r="E80" s="517" t="s">
        <v>2352</v>
      </c>
      <c r="F80" s="517" t="s">
        <v>2353</v>
      </c>
      <c r="G80" s="517" t="s">
        <v>2354</v>
      </c>
      <c r="H80" s="478"/>
      <c r="I80" s="478"/>
      <c r="J80" s="478"/>
      <c r="K80" s="479"/>
      <c r="L80" s="480"/>
      <c r="M80" s="481"/>
      <c r="N80" s="2697"/>
      <c r="O80" s="2697"/>
      <c r="P80" s="2689"/>
      <c r="Q80" s="2684"/>
      <c r="R80" s="2663"/>
      <c r="S80" s="2663"/>
      <c r="T80" s="2663"/>
      <c r="U80" s="2663"/>
      <c r="V80" s="2663"/>
      <c r="W80" s="2663"/>
      <c r="X80" s="2663"/>
      <c r="Y80" s="2663"/>
      <c r="Z80" s="2663"/>
      <c r="AA80" s="2663"/>
      <c r="AB80" s="2663"/>
      <c r="AC80" s="2663"/>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98"/>
      <c r="O81" s="2698"/>
      <c r="P81" s="2689"/>
      <c r="Q81" s="2684"/>
      <c r="R81" s="2663"/>
      <c r="S81" s="2663"/>
      <c r="T81" s="2663"/>
      <c r="U81" s="2663"/>
      <c r="V81" s="2663"/>
      <c r="W81" s="2663"/>
      <c r="X81" s="2663"/>
      <c r="Y81" s="2663"/>
      <c r="Z81" s="2663"/>
      <c r="AA81" s="2663"/>
      <c r="AB81" s="2663"/>
      <c r="AC81" s="2663"/>
    </row>
    <row r="82" spans="1:29" ht="15.75" thickTop="1">
      <c r="A82" s="375"/>
      <c r="B82" s="485" t="s">
        <v>2408</v>
      </c>
      <c r="C82" s="589" t="s">
        <v>2428</v>
      </c>
      <c r="D82" s="589" t="s">
        <v>2429</v>
      </c>
      <c r="E82" s="589" t="s">
        <v>2430</v>
      </c>
      <c r="F82" s="589" t="s">
        <v>2431</v>
      </c>
      <c r="G82" s="589" t="s">
        <v>2432</v>
      </c>
      <c r="H82" s="478"/>
      <c r="I82" s="478"/>
      <c r="J82" s="478"/>
      <c r="K82" s="478"/>
      <c r="L82" s="478"/>
      <c r="M82" s="1190"/>
      <c r="N82" s="2698"/>
      <c r="O82" s="2698"/>
      <c r="P82" s="2689"/>
      <c r="Q82" s="2684"/>
      <c r="R82" s="2663"/>
      <c r="S82" s="2663"/>
      <c r="T82" s="2663"/>
      <c r="U82" s="2663"/>
      <c r="V82" s="2663"/>
      <c r="W82" s="2663"/>
      <c r="X82" s="2663"/>
      <c r="Y82" s="2663"/>
      <c r="Z82" s="2663"/>
      <c r="AA82" s="2663"/>
      <c r="AB82" s="2663"/>
      <c r="AC82" s="2663"/>
    </row>
    <row r="83" spans="1:29" ht="15.7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98"/>
      <c r="O83" s="2698"/>
      <c r="P83" s="2689"/>
      <c r="Q83" s="2684"/>
      <c r="R83" s="2663"/>
      <c r="S83" s="2663"/>
      <c r="T83" s="2663"/>
      <c r="U83" s="2663"/>
      <c r="V83" s="2663"/>
      <c r="W83" s="2663"/>
      <c r="X83" s="2663"/>
      <c r="Y83" s="2663"/>
      <c r="Z83" s="2663"/>
      <c r="AA83" s="2663"/>
      <c r="AB83" s="2663"/>
      <c r="AC83" s="2663"/>
    </row>
    <row r="84" spans="1:29" ht="15.75" thickTop="1">
      <c r="A84" s="375"/>
      <c r="B84" s="477" t="s">
        <v>2362</v>
      </c>
      <c r="C84" s="517" t="s">
        <v>2350</v>
      </c>
      <c r="D84" s="517" t="s">
        <v>2351</v>
      </c>
      <c r="E84" s="517" t="s">
        <v>2352</v>
      </c>
      <c r="F84" s="517" t="s">
        <v>2353</v>
      </c>
      <c r="G84" s="517" t="s">
        <v>2354</v>
      </c>
      <c r="H84" s="478"/>
      <c r="I84" s="478"/>
      <c r="J84" s="478"/>
      <c r="K84" s="479"/>
      <c r="L84" s="480"/>
      <c r="M84" s="481"/>
      <c r="N84" s="2697"/>
      <c r="O84" s="2697"/>
      <c r="P84" s="2689"/>
      <c r="Q84" s="2684"/>
      <c r="R84" s="2663"/>
      <c r="S84" s="2663"/>
      <c r="T84" s="2663"/>
      <c r="U84" s="2663"/>
      <c r="V84" s="2663"/>
      <c r="W84" s="2663"/>
      <c r="X84" s="2663"/>
      <c r="Y84" s="2663"/>
      <c r="Z84" s="2663"/>
      <c r="AA84" s="2663"/>
      <c r="AB84" s="2663"/>
      <c r="AC84" s="2663"/>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98"/>
      <c r="O85" s="2698"/>
      <c r="P85" s="2689"/>
      <c r="Q85" s="2684"/>
      <c r="R85" s="2663"/>
      <c r="S85" s="2663"/>
      <c r="T85" s="2663"/>
      <c r="U85" s="2663"/>
      <c r="V85" s="2663"/>
      <c r="W85" s="2663"/>
      <c r="X85" s="2663"/>
      <c r="Y85" s="2663"/>
      <c r="Z85" s="2663"/>
      <c r="AA85" s="2663"/>
      <c r="AB85" s="2663"/>
      <c r="AC85" s="2663"/>
    </row>
    <row r="86" spans="1:29" s="107" customFormat="1" ht="15.75" thickTop="1">
      <c r="A86" s="378"/>
      <c r="B86" s="477" t="s">
        <v>2433</v>
      </c>
      <c r="C86" s="493"/>
      <c r="D86" s="493"/>
      <c r="E86" s="493"/>
      <c r="F86" s="493"/>
      <c r="G86" s="493"/>
      <c r="H86" s="493"/>
      <c r="I86" s="493"/>
      <c r="J86" s="493"/>
      <c r="K86" s="493"/>
      <c r="L86" s="518"/>
      <c r="M86" s="519"/>
      <c r="N86" s="2696"/>
      <c r="O86" s="2696"/>
      <c r="P86" s="2689"/>
      <c r="Q86" s="2684"/>
      <c r="R86" s="2613"/>
      <c r="S86" s="2613"/>
      <c r="T86" s="2613"/>
      <c r="U86" s="2613"/>
      <c r="V86" s="2613"/>
      <c r="W86" s="2613"/>
      <c r="X86" s="2613"/>
      <c r="Y86" s="2613"/>
      <c r="Z86" s="2613"/>
      <c r="AA86" s="2613"/>
      <c r="AB86" s="2613"/>
      <c r="AC86" s="2613"/>
    </row>
    <row r="87" spans="1:29" s="107" customFormat="1" ht="15.7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98"/>
      <c r="O87" s="2698"/>
      <c r="P87" s="2689"/>
      <c r="Q87" s="2684"/>
      <c r="R87" s="2613"/>
      <c r="S87" s="2613"/>
      <c r="T87" s="2613"/>
      <c r="U87" s="2613"/>
      <c r="V87" s="2613"/>
      <c r="W87" s="2613"/>
      <c r="X87" s="2613"/>
      <c r="Y87" s="2613"/>
      <c r="Z87" s="2613"/>
      <c r="AA87" s="2613"/>
      <c r="AB87" s="2613"/>
      <c r="AC87" s="2613"/>
    </row>
    <row r="88" spans="1:29" s="107" customFormat="1" ht="15.75" thickTop="1">
      <c r="A88" s="378"/>
      <c r="B88" s="477" t="str">
        <f>B26</f>
        <v>平面位置/可视性</v>
      </c>
      <c r="C88" s="493"/>
      <c r="D88" s="493"/>
      <c r="E88" s="493"/>
      <c r="F88" s="1922"/>
      <c r="G88" s="493"/>
      <c r="H88" s="493"/>
      <c r="I88" s="493"/>
      <c r="J88" s="493"/>
      <c r="K88" s="493"/>
      <c r="L88" s="493"/>
      <c r="M88" s="519"/>
      <c r="N88" s="2696"/>
      <c r="O88" s="2696"/>
      <c r="P88" s="2689"/>
      <c r="Q88" s="2684"/>
      <c r="R88" s="2613"/>
      <c r="S88" s="2613"/>
      <c r="T88" s="2613"/>
      <c r="U88" s="2613"/>
      <c r="V88" s="2613"/>
      <c r="W88" s="2613"/>
      <c r="X88" s="2613"/>
      <c r="Y88" s="2613"/>
      <c r="Z88" s="2613"/>
      <c r="AA88" s="2613"/>
      <c r="AB88" s="2613"/>
      <c r="AC88" s="2613"/>
    </row>
    <row r="89" spans="1:29" s="107" customFormat="1" ht="15.75" thickBot="1">
      <c r="A89" s="378"/>
      <c r="B89" s="482"/>
      <c r="C89" s="499"/>
      <c r="D89" s="475"/>
      <c r="E89" s="475"/>
      <c r="F89" s="475"/>
      <c r="G89" s="475"/>
      <c r="H89" s="475"/>
      <c r="I89" s="475"/>
      <c r="J89" s="475"/>
      <c r="K89" s="475"/>
      <c r="L89" s="475"/>
      <c r="M89" s="475"/>
      <c r="N89" s="2698"/>
      <c r="O89" s="2698"/>
      <c r="P89" s="2689"/>
      <c r="Q89" s="2684"/>
      <c r="R89" s="2613"/>
      <c r="S89" s="2613"/>
      <c r="T89" s="2613"/>
      <c r="U89" s="2613"/>
      <c r="V89" s="2613"/>
      <c r="W89" s="2613"/>
      <c r="X89" s="2613"/>
      <c r="Y89" s="2613"/>
      <c r="Z89" s="2613"/>
      <c r="AA89" s="2613"/>
      <c r="AB89" s="2613"/>
      <c r="AC89" s="2613"/>
    </row>
    <row r="90" spans="1:29" s="416" customFormat="1" ht="15.75" thickTop="1">
      <c r="A90" s="492"/>
      <c r="B90" s="477" t="str">
        <f>B27</f>
        <v>人流量</v>
      </c>
      <c r="C90" s="493"/>
      <c r="D90" s="493"/>
      <c r="E90" s="493"/>
      <c r="F90" s="493"/>
      <c r="G90" s="493"/>
      <c r="H90" s="494"/>
      <c r="I90" s="494"/>
      <c r="J90" s="494"/>
      <c r="K90" s="494"/>
      <c r="L90" s="495"/>
      <c r="M90" s="496"/>
      <c r="N90" s="2699"/>
      <c r="O90" s="2699"/>
      <c r="P90" s="2690"/>
      <c r="Q90" s="2691"/>
      <c r="R90" s="2669"/>
      <c r="S90" s="2669"/>
      <c r="T90" s="2669"/>
      <c r="U90" s="2669"/>
      <c r="V90" s="2669"/>
      <c r="W90" s="2669"/>
      <c r="X90" s="2669"/>
      <c r="Y90" s="2669"/>
      <c r="Z90" s="2669"/>
      <c r="AA90" s="2669"/>
      <c r="AB90" s="2669"/>
      <c r="AC90" s="2669"/>
    </row>
    <row r="91" spans="1:29" s="416" customFormat="1" ht="15.7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99"/>
      <c r="O91" s="2699"/>
      <c r="P91" s="2690"/>
      <c r="Q91" s="2691"/>
      <c r="R91" s="2669"/>
      <c r="S91" s="2669"/>
      <c r="T91" s="2669"/>
      <c r="U91" s="2669"/>
      <c r="V91" s="2669"/>
      <c r="W91" s="2669"/>
      <c r="X91" s="2669"/>
      <c r="Y91" s="2669"/>
      <c r="Z91" s="2669"/>
      <c r="AA91" s="2669"/>
      <c r="AB91" s="2669"/>
      <c r="AC91" s="2669"/>
    </row>
    <row r="92" spans="1:29" ht="15.75" thickTop="1">
      <c r="A92" s="375"/>
      <c r="B92" s="477" t="str">
        <f>B28</f>
        <v>楼层</v>
      </c>
      <c r="C92" s="493"/>
      <c r="D92" s="493"/>
      <c r="E92" s="493"/>
      <c r="F92" s="493"/>
      <c r="G92" s="493"/>
      <c r="H92" s="493"/>
      <c r="I92" s="493"/>
      <c r="J92" s="493"/>
      <c r="K92" s="493"/>
      <c r="L92" s="518"/>
      <c r="M92" s="519"/>
      <c r="N92" s="2697"/>
      <c r="O92" s="2697"/>
      <c r="P92" s="2689"/>
      <c r="Q92" s="2684"/>
      <c r="R92" s="2663"/>
      <c r="S92" s="2663"/>
      <c r="T92" s="2663"/>
      <c r="U92" s="2663"/>
      <c r="V92" s="2663"/>
      <c r="W92" s="2663"/>
      <c r="X92" s="2663"/>
      <c r="Y92" s="2663"/>
      <c r="Z92" s="2663"/>
      <c r="AA92" s="2663"/>
      <c r="AB92" s="2663"/>
      <c r="AC92" s="2663"/>
    </row>
    <row r="93" spans="1:29" ht="15.75" thickBot="1">
      <c r="A93" s="375"/>
      <c r="B93" s="482"/>
      <c r="C93" s="475"/>
      <c r="D93" s="475"/>
      <c r="E93" s="475"/>
      <c r="F93" s="475"/>
      <c r="G93" s="475"/>
      <c r="H93" s="475"/>
      <c r="I93" s="475"/>
      <c r="J93" s="475"/>
      <c r="K93" s="475"/>
      <c r="L93" s="475"/>
      <c r="M93" s="476"/>
      <c r="N93" s="2698"/>
      <c r="O93" s="2698"/>
      <c r="P93" s="2689"/>
      <c r="Q93" s="2684"/>
      <c r="R93" s="2663"/>
      <c r="S93" s="2663"/>
      <c r="T93" s="2663"/>
      <c r="U93" s="2663"/>
      <c r="V93" s="2663"/>
      <c r="W93" s="2663"/>
      <c r="X93" s="2663"/>
      <c r="Y93" s="2663"/>
      <c r="Z93" s="2663"/>
      <c r="AA93" s="2663"/>
      <c r="AB93" s="2663"/>
      <c r="AC93" s="2663"/>
    </row>
    <row r="94" spans="1:29" ht="15.75" thickTop="1">
      <c r="A94" s="375"/>
      <c r="B94" s="477">
        <f>B29</f>
        <v>111</v>
      </c>
      <c r="C94" s="493"/>
      <c r="D94" s="493"/>
      <c r="E94" s="493"/>
      <c r="F94" s="493"/>
      <c r="G94" s="521"/>
      <c r="H94" s="521"/>
      <c r="I94" s="521"/>
      <c r="J94" s="521"/>
      <c r="K94" s="522"/>
      <c r="L94" s="523"/>
      <c r="M94" s="524"/>
      <c r="N94" s="2697"/>
      <c r="O94" s="2697"/>
      <c r="P94" s="2689"/>
      <c r="Q94" s="2684"/>
      <c r="R94" s="2663"/>
      <c r="S94" s="2663"/>
      <c r="T94" s="2663"/>
      <c r="U94" s="2663"/>
      <c r="V94" s="2663"/>
      <c r="W94" s="2663"/>
      <c r="X94" s="2663"/>
      <c r="Y94" s="2663"/>
      <c r="Z94" s="2663"/>
      <c r="AA94" s="2663"/>
      <c r="AB94" s="2663"/>
      <c r="AC94" s="2663"/>
    </row>
    <row r="95" spans="1:29" ht="15.75" thickBot="1">
      <c r="A95" s="375"/>
      <c r="B95" s="482"/>
      <c r="C95" s="499"/>
      <c r="D95" s="475"/>
      <c r="E95" s="475"/>
      <c r="F95" s="475"/>
      <c r="G95" s="475"/>
      <c r="H95" s="475"/>
      <c r="I95" s="475"/>
      <c r="J95" s="475"/>
      <c r="K95" s="475"/>
      <c r="L95" s="475"/>
      <c r="M95" s="476"/>
      <c r="N95" s="2698"/>
      <c r="O95" s="2698"/>
      <c r="P95" s="2689"/>
      <c r="Q95" s="2684"/>
      <c r="R95" s="2663"/>
      <c r="S95" s="2663"/>
      <c r="T95" s="2663"/>
      <c r="U95" s="2663"/>
      <c r="V95" s="2663"/>
      <c r="W95" s="2663"/>
      <c r="X95" s="2663"/>
      <c r="Y95" s="2663"/>
      <c r="Z95" s="2663"/>
      <c r="AA95" s="2663"/>
      <c r="AB95" s="2663"/>
      <c r="AC95" s="2663"/>
    </row>
    <row r="96" spans="1:29" ht="15.75" thickTop="1">
      <c r="A96" s="375"/>
      <c r="B96" s="477">
        <f>B30</f>
        <v>111</v>
      </c>
      <c r="C96" s="493"/>
      <c r="D96" s="493"/>
      <c r="E96" s="493"/>
      <c r="F96" s="493"/>
      <c r="G96" s="521"/>
      <c r="H96" s="521"/>
      <c r="I96" s="521"/>
      <c r="J96" s="521"/>
      <c r="K96" s="522"/>
      <c r="L96" s="523"/>
      <c r="M96" s="524"/>
      <c r="N96" s="2697"/>
      <c r="O96" s="2697"/>
      <c r="P96" s="2689"/>
      <c r="Q96" s="2684"/>
      <c r="R96" s="2663"/>
      <c r="S96" s="2663"/>
      <c r="T96" s="2663"/>
      <c r="U96" s="2663"/>
      <c r="V96" s="2663"/>
      <c r="W96" s="2663"/>
      <c r="X96" s="2663"/>
      <c r="Y96" s="2663"/>
      <c r="Z96" s="2663"/>
      <c r="AA96" s="2663"/>
      <c r="AB96" s="2663"/>
      <c r="AC96" s="2663"/>
    </row>
    <row r="97" spans="1:29" ht="15.75" thickBot="1">
      <c r="A97" s="375"/>
      <c r="B97" s="482"/>
      <c r="C97" s="499"/>
      <c r="D97" s="475"/>
      <c r="E97" s="475"/>
      <c r="F97" s="475"/>
      <c r="G97" s="475"/>
      <c r="H97" s="475"/>
      <c r="I97" s="475"/>
      <c r="J97" s="475"/>
      <c r="K97" s="475"/>
      <c r="L97" s="475"/>
      <c r="M97" s="476"/>
      <c r="N97" s="2698"/>
      <c r="O97" s="2698"/>
      <c r="P97" s="2689"/>
      <c r="Q97" s="2684"/>
      <c r="R97" s="2663"/>
      <c r="S97" s="2663"/>
      <c r="T97" s="2663"/>
      <c r="U97" s="2663"/>
      <c r="V97" s="2663"/>
      <c r="W97" s="2663"/>
      <c r="X97" s="2663"/>
      <c r="Y97" s="2663"/>
      <c r="Z97" s="2663"/>
      <c r="AA97" s="2663"/>
      <c r="AB97" s="2663"/>
      <c r="AC97" s="2663"/>
    </row>
    <row r="98" spans="1:29" ht="15.75" thickTop="1">
      <c r="A98" s="375"/>
      <c r="B98" s="485">
        <f>B31</f>
        <v>111</v>
      </c>
      <c r="C98" s="493"/>
      <c r="D98" s="493"/>
      <c r="E98" s="493"/>
      <c r="F98" s="493"/>
      <c r="G98" s="525"/>
      <c r="H98" s="525"/>
      <c r="I98" s="525"/>
      <c r="J98" s="525"/>
      <c r="K98" s="526"/>
      <c r="L98" s="527"/>
      <c r="M98" s="528"/>
      <c r="N98" s="2697"/>
      <c r="O98" s="2697"/>
      <c r="P98" s="2689"/>
      <c r="Q98" s="2684"/>
      <c r="R98" s="2663"/>
      <c r="S98" s="2663"/>
      <c r="T98" s="2663"/>
      <c r="U98" s="2663"/>
      <c r="V98" s="2663"/>
      <c r="W98" s="2663"/>
      <c r="X98" s="2663"/>
      <c r="Y98" s="2663"/>
      <c r="Z98" s="2663"/>
      <c r="AA98" s="2663"/>
      <c r="AB98" s="2663"/>
      <c r="AC98" s="2663"/>
    </row>
    <row r="99" spans="1:29" ht="15.75" thickBot="1">
      <c r="A99" s="383"/>
      <c r="B99" s="508"/>
      <c r="C99" s="509"/>
      <c r="D99" s="509"/>
      <c r="E99" s="509"/>
      <c r="F99" s="509"/>
      <c r="G99" s="529"/>
      <c r="H99" s="529"/>
      <c r="I99" s="529"/>
      <c r="J99" s="529"/>
      <c r="K99" s="529"/>
      <c r="L99" s="529"/>
      <c r="M99" s="530"/>
      <c r="N99" s="2698"/>
      <c r="O99" s="2698"/>
      <c r="P99" s="2689"/>
      <c r="Q99" s="2684"/>
      <c r="R99" s="2663"/>
      <c r="S99" s="2663"/>
      <c r="T99" s="2663"/>
      <c r="U99" s="2663"/>
      <c r="V99" s="2663"/>
      <c r="W99" s="2663"/>
      <c r="X99" s="2663"/>
      <c r="Y99" s="2663"/>
      <c r="Z99" s="2663"/>
      <c r="AA99" s="2663"/>
      <c r="AB99" s="2663"/>
      <c r="AC99" s="2663"/>
    </row>
    <row r="100" spans="1:29">
      <c r="A100" s="387" t="s">
        <v>2317</v>
      </c>
      <c r="B100" s="468" t="s">
        <v>2434</v>
      </c>
      <c r="C100" s="470"/>
      <c r="D100" s="470"/>
      <c r="E100" s="470"/>
      <c r="F100" s="470"/>
      <c r="G100" s="470"/>
      <c r="H100" s="470"/>
      <c r="I100" s="470"/>
      <c r="J100" s="470"/>
      <c r="K100" s="471"/>
      <c r="L100" s="472"/>
      <c r="M100" s="473"/>
      <c r="N100" s="2697"/>
      <c r="O100" s="2697"/>
      <c r="P100" s="2689"/>
      <c r="Q100" s="2684"/>
      <c r="R100" s="2663"/>
      <c r="S100" s="2663"/>
      <c r="T100" s="2663"/>
      <c r="U100" s="2663"/>
      <c r="V100" s="2663"/>
      <c r="W100" s="2663"/>
      <c r="X100" s="2663"/>
      <c r="Y100" s="2663"/>
      <c r="Z100" s="2663"/>
      <c r="AA100" s="2663"/>
      <c r="AB100" s="2663"/>
      <c r="AC100" s="2663"/>
    </row>
    <row r="101" spans="1:29"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98"/>
      <c r="O101" s="2698"/>
      <c r="P101" s="2689"/>
      <c r="Q101" s="2684"/>
      <c r="R101" s="2663"/>
      <c r="S101" s="2663"/>
      <c r="T101" s="2663"/>
      <c r="U101" s="2663"/>
      <c r="V101" s="2663"/>
      <c r="W101" s="2663"/>
      <c r="X101" s="2663"/>
      <c r="Y101" s="2663"/>
      <c r="Z101" s="2663"/>
      <c r="AA101" s="2663"/>
      <c r="AB101" s="2663"/>
      <c r="AC101" s="2663"/>
    </row>
    <row r="102" spans="1:29" ht="15.75" thickTop="1">
      <c r="A102" s="375"/>
      <c r="B102" s="477" t="s">
        <v>2366</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96"/>
      <c r="O102" s="2696"/>
      <c r="P102" s="2689"/>
      <c r="Q102" s="2684"/>
      <c r="R102" s="2663"/>
      <c r="S102" s="2663"/>
      <c r="T102" s="2663"/>
      <c r="U102" s="2663"/>
      <c r="V102" s="2663"/>
      <c r="W102" s="2663"/>
      <c r="X102" s="2663"/>
      <c r="Y102" s="2663"/>
      <c r="Z102" s="2663"/>
      <c r="AA102" s="2663"/>
      <c r="AB102" s="2663"/>
      <c r="AC102" s="2663"/>
    </row>
    <row r="103" spans="1:29" s="416" customFormat="1">
      <c r="A103" s="414"/>
      <c r="B103" s="531"/>
      <c r="C103" s="9"/>
      <c r="D103" s="9"/>
      <c r="E103" s="9"/>
      <c r="F103" s="9"/>
      <c r="G103" s="9"/>
      <c r="H103" s="9"/>
      <c r="I103" s="9"/>
      <c r="J103" s="532"/>
      <c r="K103" s="532"/>
      <c r="L103" s="533"/>
      <c r="M103" s="534"/>
      <c r="N103" s="2699"/>
      <c r="O103" s="2699"/>
      <c r="P103" s="2690"/>
      <c r="Q103" s="2691"/>
      <c r="R103" s="2669"/>
      <c r="S103" s="2669"/>
      <c r="T103" s="2669"/>
      <c r="U103" s="2669"/>
      <c r="V103" s="2669"/>
      <c r="W103" s="2669"/>
      <c r="X103" s="2669"/>
      <c r="Y103" s="2669"/>
      <c r="Z103" s="2669"/>
      <c r="AA103" s="2669"/>
      <c r="AB103" s="2669"/>
      <c r="AC103" s="2669"/>
    </row>
    <row r="104" spans="1:29" s="416" customFormat="1" ht="15.75" thickBot="1">
      <c r="A104" s="492"/>
      <c r="B104" s="482"/>
      <c r="C104" s="499"/>
      <c r="D104" s="475"/>
      <c r="E104" s="475"/>
      <c r="F104" s="475"/>
      <c r="G104" s="475"/>
      <c r="H104" s="475"/>
      <c r="I104" s="475"/>
      <c r="J104" s="475"/>
      <c r="K104" s="475"/>
      <c r="L104" s="475"/>
      <c r="M104" s="476"/>
      <c r="N104" s="2698"/>
      <c r="O104" s="2698"/>
      <c r="P104" s="2690"/>
      <c r="Q104" s="2691"/>
      <c r="R104" s="2669"/>
      <c r="S104" s="2669"/>
      <c r="T104" s="2669"/>
      <c r="U104" s="2669"/>
      <c r="V104" s="2669"/>
      <c r="W104" s="2669"/>
      <c r="X104" s="2669"/>
      <c r="Y104" s="2669"/>
      <c r="Z104" s="2669"/>
      <c r="AA104" s="2669"/>
      <c r="AB104" s="2669"/>
      <c r="AC104" s="2669"/>
    </row>
    <row r="105" spans="1:29" ht="15" thickTop="1">
      <c r="A105" s="417"/>
      <c r="B105" s="477" t="s">
        <v>2367</v>
      </c>
      <c r="C105" s="493"/>
      <c r="D105" s="493"/>
      <c r="E105" s="521"/>
      <c r="F105" s="521"/>
      <c r="G105" s="521"/>
      <c r="H105" s="521"/>
      <c r="I105" s="521"/>
      <c r="J105" s="521"/>
      <c r="K105" s="522"/>
      <c r="L105" s="523"/>
      <c r="M105" s="524"/>
      <c r="N105" s="2697"/>
      <c r="O105" s="2697"/>
      <c r="P105" s="2689"/>
      <c r="Q105" s="2684"/>
      <c r="R105" s="2663"/>
      <c r="S105" s="2663"/>
      <c r="T105" s="2663"/>
      <c r="U105" s="2663"/>
      <c r="V105" s="2663"/>
      <c r="W105" s="2663"/>
      <c r="X105" s="2663"/>
      <c r="Y105" s="2663"/>
      <c r="Z105" s="2663"/>
      <c r="AA105" s="2663"/>
      <c r="AB105" s="2663"/>
      <c r="AC105" s="2663"/>
    </row>
    <row r="106" spans="1:29"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98"/>
      <c r="O106" s="2698"/>
      <c r="P106" s="2689"/>
      <c r="Q106" s="2684"/>
      <c r="R106" s="2663"/>
      <c r="S106" s="2663"/>
      <c r="T106" s="2663"/>
      <c r="U106" s="2663"/>
      <c r="V106" s="2663"/>
      <c r="W106" s="2663"/>
      <c r="X106" s="2663"/>
      <c r="Y106" s="2663"/>
      <c r="Z106" s="2663"/>
      <c r="AA106" s="2663"/>
      <c r="AB106" s="2663"/>
      <c r="AC106" s="2663"/>
    </row>
    <row r="107" spans="1:29" ht="15" thickTop="1">
      <c r="A107" s="417"/>
      <c r="B107" s="477" t="s">
        <v>2369</v>
      </c>
      <c r="C107" s="493"/>
      <c r="D107" s="493"/>
      <c r="E107" s="493"/>
      <c r="F107" s="521"/>
      <c r="G107" s="521"/>
      <c r="H107" s="521"/>
      <c r="I107" s="521"/>
      <c r="J107" s="521"/>
      <c r="K107" s="522"/>
      <c r="L107" s="523"/>
      <c r="M107" s="524"/>
      <c r="N107" s="2697"/>
      <c r="O107" s="2697"/>
      <c r="P107" s="2689"/>
      <c r="Q107" s="2684"/>
      <c r="R107" s="2663"/>
      <c r="S107" s="2663"/>
      <c r="T107" s="2663"/>
      <c r="U107" s="2663"/>
      <c r="V107" s="2663"/>
      <c r="W107" s="2663"/>
      <c r="X107" s="2663"/>
      <c r="Y107" s="2663"/>
      <c r="Z107" s="2663"/>
      <c r="AA107" s="2663"/>
      <c r="AB107" s="2663"/>
      <c r="AC107" s="2663"/>
    </row>
    <row r="108" spans="1:29"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98"/>
      <c r="O108" s="2698"/>
      <c r="P108" s="2689"/>
      <c r="Q108" s="2684"/>
      <c r="R108" s="2663"/>
      <c r="S108" s="2663"/>
      <c r="T108" s="2663"/>
      <c r="U108" s="2663"/>
      <c r="V108" s="2663"/>
      <c r="W108" s="2663"/>
      <c r="X108" s="2663"/>
      <c r="Y108" s="2663"/>
      <c r="Z108" s="2663"/>
      <c r="AA108" s="2663"/>
      <c r="AB108" s="2663"/>
      <c r="AC108" s="2663"/>
    </row>
    <row r="109" spans="1:29" ht="1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97"/>
      <c r="O109" s="2697"/>
      <c r="P109" s="2689"/>
      <c r="Q109" s="2684"/>
      <c r="R109" s="2663"/>
      <c r="S109" s="2663"/>
      <c r="T109" s="2663"/>
      <c r="U109" s="2663"/>
      <c r="V109" s="2663"/>
      <c r="W109" s="2663"/>
      <c r="X109" s="2663"/>
      <c r="Y109" s="2663"/>
      <c r="Z109" s="2663"/>
      <c r="AA109" s="2663"/>
      <c r="AB109" s="2663"/>
      <c r="AC109" s="2663"/>
    </row>
    <row r="110" spans="1:29">
      <c r="A110" s="417"/>
      <c r="B110" s="485"/>
      <c r="C110" s="538">
        <v>0.5</v>
      </c>
      <c r="D110" s="538">
        <v>0.6</v>
      </c>
      <c r="E110" s="538">
        <v>0.7</v>
      </c>
      <c r="F110" s="538">
        <v>0.8</v>
      </c>
      <c r="G110" s="538">
        <v>0.9</v>
      </c>
      <c r="H110" s="538">
        <v>1.0001</v>
      </c>
      <c r="I110" s="556"/>
      <c r="J110" s="556"/>
      <c r="K110" s="557"/>
      <c r="L110" s="558"/>
      <c r="M110" s="559"/>
      <c r="N110" s="2697"/>
      <c r="O110" s="2697"/>
      <c r="P110" s="2689"/>
      <c r="Q110" s="2684"/>
      <c r="R110" s="2663"/>
      <c r="S110" s="2663"/>
      <c r="T110" s="2663"/>
      <c r="U110" s="2663"/>
      <c r="V110" s="2663"/>
      <c r="W110" s="2663"/>
      <c r="X110" s="2663"/>
      <c r="Y110" s="2663"/>
      <c r="Z110" s="2663"/>
      <c r="AA110" s="2663"/>
      <c r="AB110" s="2663"/>
      <c r="AC110" s="2663"/>
    </row>
    <row r="111" spans="1:29" ht="15.7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98"/>
      <c r="O111" s="2698"/>
      <c r="P111" s="2689"/>
      <c r="Q111" s="2684"/>
      <c r="R111" s="2663"/>
      <c r="S111" s="2663"/>
      <c r="T111" s="2663"/>
      <c r="U111" s="2663"/>
      <c r="V111" s="2663"/>
      <c r="W111" s="2663"/>
      <c r="X111" s="2663"/>
      <c r="Y111" s="2663"/>
      <c r="Z111" s="2663"/>
      <c r="AA111" s="2663"/>
      <c r="AB111" s="2663"/>
      <c r="AC111" s="2663"/>
    </row>
    <row r="112" spans="1:29" s="416" customFormat="1" ht="15" thickTop="1">
      <c r="A112" s="414"/>
      <c r="B112" s="477" t="s">
        <v>2371</v>
      </c>
      <c r="C112" s="493"/>
      <c r="D112" s="493"/>
      <c r="E112" s="493"/>
      <c r="F112" s="493"/>
      <c r="G112" s="493"/>
      <c r="H112" s="521"/>
      <c r="I112" s="521"/>
      <c r="J112" s="521"/>
      <c r="K112" s="522"/>
      <c r="L112" s="523"/>
      <c r="M112" s="524"/>
      <c r="N112" s="2699"/>
      <c r="O112" s="2699"/>
      <c r="P112" s="2690"/>
      <c r="Q112" s="2691"/>
      <c r="R112" s="2669"/>
      <c r="S112" s="2669"/>
      <c r="T112" s="2669"/>
      <c r="U112" s="2669"/>
      <c r="V112" s="2669"/>
      <c r="W112" s="2669"/>
      <c r="X112" s="2669"/>
      <c r="Y112" s="2669"/>
      <c r="Z112" s="2669"/>
      <c r="AA112" s="2669"/>
      <c r="AB112" s="2669"/>
      <c r="AC112" s="2669"/>
    </row>
    <row r="113" spans="1:29" s="416"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99"/>
      <c r="O113" s="2699"/>
      <c r="P113" s="2690"/>
      <c r="Q113" s="2691"/>
      <c r="R113" s="2669"/>
      <c r="S113" s="2669"/>
      <c r="T113" s="2669"/>
      <c r="U113" s="2669"/>
      <c r="V113" s="2669"/>
      <c r="W113" s="2669"/>
      <c r="X113" s="2669"/>
      <c r="Y113" s="2669"/>
      <c r="Z113" s="2669"/>
      <c r="AA113" s="2669"/>
      <c r="AB113" s="2669"/>
      <c r="AC113" s="2669"/>
    </row>
    <row r="114" spans="1:29" ht="15" thickTop="1">
      <c r="A114" s="417"/>
      <c r="B114" s="477" t="s">
        <v>2435</v>
      </c>
      <c r="C114" s="493"/>
      <c r="D114" s="493"/>
      <c r="E114" s="521"/>
      <c r="F114" s="521"/>
      <c r="G114" s="521"/>
      <c r="H114" s="521"/>
      <c r="I114" s="521"/>
      <c r="J114" s="521"/>
      <c r="K114" s="522"/>
      <c r="L114" s="523"/>
      <c r="M114" s="524"/>
      <c r="N114" s="2697"/>
      <c r="O114" s="2697"/>
      <c r="P114" s="2689"/>
      <c r="Q114" s="2684"/>
      <c r="R114" s="2663"/>
      <c r="S114" s="2663"/>
      <c r="T114" s="2663"/>
      <c r="U114" s="2663"/>
      <c r="V114" s="2663"/>
      <c r="W114" s="2663"/>
      <c r="X114" s="2663"/>
      <c r="Y114" s="2663"/>
      <c r="Z114" s="2663"/>
      <c r="AA114" s="2663"/>
      <c r="AB114" s="2663"/>
      <c r="AC114" s="2663"/>
    </row>
    <row r="115" spans="1:29" ht="15.7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98"/>
      <c r="O115" s="2698"/>
      <c r="P115" s="2689"/>
      <c r="Q115" s="2684"/>
      <c r="R115" s="2663"/>
      <c r="S115" s="2663"/>
      <c r="T115" s="2663"/>
      <c r="U115" s="2663"/>
      <c r="V115" s="2663"/>
      <c r="W115" s="2663"/>
      <c r="X115" s="2663"/>
      <c r="Y115" s="2663"/>
      <c r="Z115" s="2663"/>
      <c r="AA115" s="2663"/>
      <c r="AB115" s="2663"/>
      <c r="AC115" s="2663"/>
    </row>
    <row r="116" spans="1:29" ht="15" thickTop="1">
      <c r="A116" s="417"/>
      <c r="B116" s="477" t="s">
        <v>2436</v>
      </c>
      <c r="C116" s="493"/>
      <c r="D116" s="493"/>
      <c r="E116" s="493"/>
      <c r="F116" s="493"/>
      <c r="G116" s="493"/>
      <c r="H116" s="521"/>
      <c r="I116" s="521"/>
      <c r="J116" s="521"/>
      <c r="K116" s="522"/>
      <c r="L116" s="523"/>
      <c r="M116" s="524"/>
      <c r="N116" s="2697"/>
      <c r="O116" s="2697"/>
      <c r="P116" s="2689"/>
      <c r="Q116" s="2684"/>
      <c r="R116" s="2663"/>
      <c r="S116" s="2663"/>
      <c r="T116" s="2663"/>
      <c r="U116" s="2663"/>
      <c r="V116" s="2663"/>
      <c r="W116" s="2663"/>
      <c r="X116" s="2663"/>
      <c r="Y116" s="2663"/>
      <c r="Z116" s="2663"/>
      <c r="AA116" s="2663"/>
      <c r="AB116" s="2663"/>
      <c r="AC116" s="2663"/>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98"/>
      <c r="O117" s="2698"/>
      <c r="P117" s="2689"/>
      <c r="Q117" s="2684"/>
      <c r="R117" s="2663"/>
      <c r="S117" s="2663"/>
      <c r="T117" s="2663"/>
      <c r="U117" s="2663"/>
      <c r="V117" s="2663"/>
      <c r="W117" s="2663"/>
      <c r="X117" s="2663"/>
      <c r="Y117" s="2663"/>
      <c r="Z117" s="2663"/>
      <c r="AA117" s="2663"/>
      <c r="AB117" s="2663"/>
      <c r="AC117" s="2663"/>
    </row>
    <row r="118" spans="1:29" ht="15" thickTop="1">
      <c r="A118" s="417"/>
      <c r="B118" s="477" t="s">
        <v>2437</v>
      </c>
      <c r="C118" s="560"/>
      <c r="D118" s="560"/>
      <c r="E118" s="560"/>
      <c r="F118" s="560"/>
      <c r="G118" s="560"/>
      <c r="H118" s="494"/>
      <c r="I118" s="494"/>
      <c r="J118" s="494"/>
      <c r="K118" s="494"/>
      <c r="L118" s="495"/>
      <c r="M118" s="496"/>
      <c r="N118" s="2697"/>
      <c r="O118" s="2697"/>
      <c r="P118" s="2689"/>
      <c r="Q118" s="2684"/>
      <c r="R118" s="2663"/>
      <c r="S118" s="2663"/>
      <c r="T118" s="2663"/>
      <c r="U118" s="2663"/>
      <c r="V118" s="2663"/>
      <c r="W118" s="2663"/>
      <c r="X118" s="2663"/>
      <c r="Y118" s="2663"/>
      <c r="Z118" s="2663"/>
      <c r="AA118" s="2663"/>
      <c r="AB118" s="2663"/>
      <c r="AC118" s="2663"/>
    </row>
    <row r="119" spans="1:29" ht="15.75" thickBot="1">
      <c r="A119" s="375"/>
      <c r="B119" s="482"/>
      <c r="C119" s="499"/>
      <c r="D119" s="475"/>
      <c r="E119" s="475"/>
      <c r="F119" s="475"/>
      <c r="G119" s="475"/>
      <c r="H119" s="475"/>
      <c r="I119" s="475"/>
      <c r="J119" s="475"/>
      <c r="K119" s="475"/>
      <c r="L119" s="475"/>
      <c r="M119" s="476"/>
      <c r="N119" s="2698"/>
      <c r="O119" s="2698"/>
      <c r="P119" s="2689"/>
      <c r="Q119" s="2684"/>
      <c r="R119" s="2663"/>
      <c r="S119" s="2663"/>
      <c r="T119" s="2663"/>
      <c r="U119" s="2663"/>
      <c r="V119" s="2663"/>
      <c r="W119" s="2663"/>
      <c r="X119" s="2663"/>
      <c r="Y119" s="2663"/>
      <c r="Z119" s="2663"/>
      <c r="AA119" s="2663"/>
      <c r="AB119" s="2663"/>
      <c r="AC119" s="2663"/>
    </row>
    <row r="120" spans="1:29" s="416" customFormat="1" ht="15" thickTop="1">
      <c r="A120" s="414"/>
      <c r="B120" s="477" t="s">
        <v>2438</v>
      </c>
      <c r="C120" s="521"/>
      <c r="D120" s="521"/>
      <c r="E120" s="521"/>
      <c r="F120" s="521"/>
      <c r="G120" s="494"/>
      <c r="H120" s="494"/>
      <c r="I120" s="494"/>
      <c r="J120" s="494"/>
      <c r="K120" s="494"/>
      <c r="L120" s="495"/>
      <c r="M120" s="496"/>
      <c r="N120" s="2699"/>
      <c r="O120" s="2699"/>
      <c r="P120" s="2690"/>
      <c r="Q120" s="2691"/>
      <c r="R120" s="2669"/>
      <c r="S120" s="2669"/>
      <c r="T120" s="2669"/>
      <c r="U120" s="2669"/>
      <c r="V120" s="2669"/>
      <c r="W120" s="2669"/>
      <c r="X120" s="2669"/>
      <c r="Y120" s="2669"/>
      <c r="Z120" s="2669"/>
      <c r="AA120" s="2669"/>
      <c r="AB120" s="2669"/>
      <c r="AC120" s="2669"/>
    </row>
    <row r="121" spans="1:29" s="416" customFormat="1" ht="15.7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99"/>
      <c r="O121" s="2699"/>
      <c r="P121" s="2690"/>
      <c r="Q121" s="2691"/>
      <c r="R121" s="2669"/>
      <c r="S121" s="2669"/>
      <c r="T121" s="2669"/>
      <c r="U121" s="2669"/>
      <c r="V121" s="2669"/>
      <c r="W121" s="2669"/>
      <c r="X121" s="2669"/>
      <c r="Y121" s="2669"/>
      <c r="Z121" s="2669"/>
      <c r="AA121" s="2669"/>
      <c r="AB121" s="2669"/>
      <c r="AC121" s="2669"/>
    </row>
    <row r="122" spans="1:29" ht="15" thickTop="1">
      <c r="A122" s="417"/>
      <c r="B122" s="477" t="s">
        <v>2373</v>
      </c>
      <c r="C122" s="493"/>
      <c r="D122" s="493"/>
      <c r="E122" s="493"/>
      <c r="F122" s="521"/>
      <c r="G122" s="521"/>
      <c r="H122" s="521"/>
      <c r="I122" s="521"/>
      <c r="J122" s="521"/>
      <c r="K122" s="522"/>
      <c r="L122" s="523"/>
      <c r="M122" s="524"/>
      <c r="N122" s="2697"/>
      <c r="O122" s="2697"/>
      <c r="P122" s="2689"/>
      <c r="Q122" s="2684"/>
      <c r="R122" s="2663"/>
      <c r="S122" s="2663"/>
      <c r="T122" s="2663"/>
      <c r="U122" s="2663"/>
      <c r="V122" s="2663"/>
      <c r="W122" s="2663"/>
      <c r="X122" s="2663"/>
      <c r="Y122" s="2663"/>
      <c r="Z122" s="2663"/>
      <c r="AA122" s="2663"/>
      <c r="AB122" s="2663"/>
      <c r="AC122" s="2663"/>
    </row>
    <row r="123" spans="1:29" ht="15.7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98"/>
      <c r="O123" s="2698"/>
      <c r="P123" s="2689"/>
      <c r="Q123" s="2684"/>
      <c r="R123" s="2663"/>
      <c r="S123" s="2663"/>
      <c r="T123" s="2663"/>
      <c r="U123" s="2663"/>
      <c r="V123" s="2663"/>
      <c r="W123" s="2663"/>
      <c r="X123" s="2663"/>
      <c r="Y123" s="2663"/>
      <c r="Z123" s="2663"/>
      <c r="AA123" s="2663"/>
      <c r="AB123" s="2663"/>
      <c r="AC123" s="2663"/>
    </row>
    <row r="124" spans="1:29" ht="15" thickTop="1">
      <c r="A124" s="417"/>
      <c r="B124" s="477" t="s">
        <v>2374</v>
      </c>
      <c r="C124" s="517" t="s">
        <v>2350</v>
      </c>
      <c r="D124" s="517" t="s">
        <v>2351</v>
      </c>
      <c r="E124" s="517" t="s">
        <v>2352</v>
      </c>
      <c r="F124" s="517" t="s">
        <v>2353</v>
      </c>
      <c r="G124" s="517" t="s">
        <v>2354</v>
      </c>
      <c r="H124" s="478"/>
      <c r="I124" s="478"/>
      <c r="J124" s="478"/>
      <c r="K124" s="479"/>
      <c r="L124" s="480"/>
      <c r="M124" s="481"/>
      <c r="N124" s="2697"/>
      <c r="O124" s="2697"/>
      <c r="P124" s="2690"/>
      <c r="Q124" s="2684"/>
      <c r="R124" s="2663"/>
      <c r="S124" s="2663"/>
      <c r="T124" s="2663"/>
      <c r="U124" s="2663"/>
      <c r="V124" s="2663"/>
      <c r="W124" s="2663"/>
      <c r="X124" s="2663"/>
      <c r="Y124" s="2663"/>
      <c r="Z124" s="2663"/>
      <c r="AA124" s="2663"/>
      <c r="AB124" s="2663"/>
      <c r="AC124" s="2663"/>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98"/>
      <c r="O125" s="2698"/>
      <c r="P125" s="2689"/>
      <c r="Q125" s="2684"/>
      <c r="R125" s="2663"/>
      <c r="S125" s="2663"/>
      <c r="T125" s="2663"/>
      <c r="U125" s="2663"/>
      <c r="V125" s="2663"/>
      <c r="W125" s="2663"/>
      <c r="X125" s="2663"/>
      <c r="Y125" s="2663"/>
      <c r="Z125" s="2663"/>
      <c r="AA125" s="2663"/>
      <c r="AB125" s="2663"/>
      <c r="AC125" s="2663"/>
    </row>
    <row r="126" spans="1:29" s="416" customFormat="1" ht="15" thickTop="1">
      <c r="A126" s="414"/>
      <c r="B126" s="477">
        <f>B44</f>
        <v>111</v>
      </c>
      <c r="C126" s="493"/>
      <c r="D126" s="493"/>
      <c r="E126" s="493"/>
      <c r="F126" s="493"/>
      <c r="G126" s="493"/>
      <c r="H126" s="494"/>
      <c r="I126" s="494"/>
      <c r="J126" s="494"/>
      <c r="K126" s="494"/>
      <c r="L126" s="495"/>
      <c r="M126" s="496"/>
      <c r="N126" s="2699"/>
      <c r="O126" s="2699"/>
      <c r="P126" s="2690"/>
      <c r="Q126" s="2691"/>
      <c r="R126" s="2669"/>
      <c r="S126" s="2669"/>
      <c r="T126" s="2669"/>
      <c r="U126" s="2669"/>
      <c r="V126" s="2669"/>
      <c r="W126" s="2669"/>
      <c r="X126" s="2669"/>
      <c r="Y126" s="2669"/>
      <c r="Z126" s="2669"/>
      <c r="AA126" s="2669"/>
      <c r="AB126" s="2669"/>
      <c r="AC126" s="2669"/>
    </row>
    <row r="127" spans="1:29" s="416" customFormat="1" ht="15.75" thickBot="1">
      <c r="A127" s="492"/>
      <c r="B127" s="482"/>
      <c r="C127" s="499"/>
      <c r="D127" s="475"/>
      <c r="E127" s="475"/>
      <c r="F127" s="475"/>
      <c r="G127" s="499"/>
      <c r="H127" s="501"/>
      <c r="I127" s="501"/>
      <c r="J127" s="501"/>
      <c r="K127" s="501"/>
      <c r="L127" s="501"/>
      <c r="M127" s="502"/>
      <c r="N127" s="2699"/>
      <c r="O127" s="2699"/>
      <c r="P127" s="2690"/>
      <c r="Q127" s="2691"/>
      <c r="R127" s="2669"/>
      <c r="S127" s="2669"/>
      <c r="T127" s="2669"/>
      <c r="U127" s="2669"/>
      <c r="V127" s="2669"/>
      <c r="W127" s="2669"/>
      <c r="X127" s="2669"/>
      <c r="Y127" s="2669"/>
      <c r="Z127" s="2669"/>
      <c r="AA127" s="2669"/>
      <c r="AB127" s="2669"/>
      <c r="AC127" s="2669"/>
    </row>
    <row r="128" spans="1:29" ht="15" thickTop="1">
      <c r="A128" s="417"/>
      <c r="B128" s="477">
        <f>B45</f>
        <v>111</v>
      </c>
      <c r="C128" s="493"/>
      <c r="D128" s="493"/>
      <c r="E128" s="493"/>
      <c r="F128" s="493"/>
      <c r="G128" s="521"/>
      <c r="H128" s="521"/>
      <c r="I128" s="521"/>
      <c r="J128" s="521"/>
      <c r="K128" s="522"/>
      <c r="L128" s="523"/>
      <c r="M128" s="524"/>
      <c r="N128" s="2697"/>
      <c r="O128" s="2697"/>
      <c r="P128" s="2689"/>
      <c r="Q128" s="2684"/>
      <c r="R128" s="2663"/>
      <c r="S128" s="2663"/>
      <c r="T128" s="2663"/>
      <c r="U128" s="2663"/>
      <c r="V128" s="2663"/>
      <c r="W128" s="2663"/>
      <c r="X128" s="2663"/>
      <c r="Y128" s="2663"/>
      <c r="Z128" s="2663"/>
      <c r="AA128" s="2663"/>
      <c r="AB128" s="2663"/>
      <c r="AC128" s="2663"/>
    </row>
    <row r="129" spans="1:29" ht="15.75" thickBot="1">
      <c r="A129" s="375"/>
      <c r="B129" s="482"/>
      <c r="C129" s="499"/>
      <c r="D129" s="475"/>
      <c r="E129" s="475"/>
      <c r="F129" s="475"/>
      <c r="G129" s="475"/>
      <c r="H129" s="475"/>
      <c r="I129" s="475"/>
      <c r="J129" s="475"/>
      <c r="K129" s="475"/>
      <c r="L129" s="475"/>
      <c r="M129" s="476"/>
      <c r="N129" s="2698"/>
      <c r="O129" s="2698"/>
      <c r="P129" s="2689"/>
      <c r="Q129" s="2684"/>
      <c r="R129" s="2663"/>
      <c r="S129" s="2663"/>
      <c r="T129" s="2663"/>
      <c r="U129" s="2663"/>
      <c r="V129" s="2663"/>
      <c r="W129" s="2663"/>
      <c r="X129" s="2663"/>
      <c r="Y129" s="2663"/>
      <c r="Z129" s="2663"/>
      <c r="AA129" s="2663"/>
      <c r="AB129" s="2663"/>
      <c r="AC129" s="2663"/>
    </row>
    <row r="130" spans="1:29" ht="15" thickTop="1">
      <c r="A130" s="417"/>
      <c r="B130" s="485">
        <f>B46</f>
        <v>111</v>
      </c>
      <c r="C130" s="493"/>
      <c r="D130" s="493"/>
      <c r="E130" s="493"/>
      <c r="F130" s="493"/>
      <c r="G130" s="525"/>
      <c r="H130" s="525"/>
      <c r="I130" s="525"/>
      <c r="J130" s="525"/>
      <c r="K130" s="34"/>
      <c r="L130" s="465"/>
      <c r="M130" s="528"/>
      <c r="N130" s="2697"/>
      <c r="O130" s="2697"/>
      <c r="P130" s="2689"/>
      <c r="Q130" s="2684"/>
      <c r="R130" s="2663"/>
      <c r="S130" s="2663"/>
      <c r="T130" s="2663"/>
      <c r="U130" s="2663"/>
      <c r="V130" s="2663"/>
      <c r="W130" s="2663"/>
      <c r="X130" s="2663"/>
      <c r="Y130" s="2663"/>
      <c r="Z130" s="2663"/>
      <c r="AA130" s="2663"/>
      <c r="AB130" s="2663"/>
      <c r="AC130" s="2663"/>
    </row>
    <row r="131" spans="1:29" ht="15.75" thickBot="1">
      <c r="A131" s="383"/>
      <c r="B131" s="508"/>
      <c r="C131" s="509"/>
      <c r="D131" s="509"/>
      <c r="E131" s="509"/>
      <c r="F131" s="509"/>
      <c r="G131" s="529"/>
      <c r="H131" s="529"/>
      <c r="I131" s="529"/>
      <c r="J131" s="529"/>
      <c r="K131" s="529"/>
      <c r="L131" s="529"/>
      <c r="M131" s="530"/>
      <c r="N131" s="2698"/>
      <c r="O131" s="2698"/>
      <c r="P131" s="2689"/>
      <c r="Q131" s="2684"/>
      <c r="R131" s="2663"/>
      <c r="S131" s="2663"/>
      <c r="T131" s="2663"/>
      <c r="U131" s="2663"/>
      <c r="V131" s="2663"/>
      <c r="W131" s="2663"/>
      <c r="X131" s="2663"/>
      <c r="Y131" s="2663"/>
      <c r="Z131" s="2663"/>
      <c r="AA131" s="2663"/>
      <c r="AB131" s="2663"/>
      <c r="AC131" s="26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950" t="s">
        <v>2455</v>
      </c>
      <c r="C1" s="1273" t="s">
        <v>2285</v>
      </c>
      <c r="D1" s="1274"/>
      <c r="E1" s="1283"/>
      <c r="F1" s="1879"/>
      <c r="G1" s="1284" t="s">
        <v>2396</v>
      </c>
      <c r="H1" s="1283"/>
      <c r="I1" s="1283"/>
      <c r="J1" s="1283"/>
      <c r="K1" s="1285"/>
      <c r="L1" s="1286"/>
      <c r="M1" s="1287"/>
      <c r="N1" s="1287"/>
      <c r="O1" s="1287"/>
      <c r="P1" s="1273"/>
      <c r="Q1" s="1273"/>
      <c r="R1" s="1273"/>
      <c r="S1" s="1273"/>
      <c r="T1" s="1273"/>
      <c r="U1" s="1273"/>
      <c r="V1" s="1273"/>
      <c r="W1" s="1273"/>
      <c r="X1" s="1273"/>
      <c r="Y1" s="1273"/>
      <c r="Z1" s="1273"/>
      <c r="AA1" s="1273"/>
      <c r="AB1" s="1273"/>
      <c r="AC1" s="1281"/>
    </row>
    <row r="2" spans="1:29" s="348" customFormat="1" ht="28.5" customHeight="1" thickTop="1">
      <c r="A2" s="1270" t="s">
        <v>2082</v>
      </c>
      <c r="B2" s="1212" t="e">
        <f ca="1">IF(C2="——",ROUND(C43*D3/10000,0),ROUND(C43*D3/10000,0)-D2)</f>
        <v>#DIV/0!</v>
      </c>
      <c r="C2" s="1881"/>
      <c r="D2" s="977" t="e">
        <f ca="1">SUMIF(INDIRECT("'"&amp;F2&amp;"'"&amp;"!A:A"),"承租人权益价值",INDIRECT("'"&amp;F2&amp;"'"&amp;"!c:c"))</f>
        <v>#REF!</v>
      </c>
      <c r="E2" s="1882" t="s">
        <v>2083</v>
      </c>
      <c r="F2" s="1883"/>
      <c r="G2" s="978"/>
      <c r="H2" s="978"/>
      <c r="I2" s="978"/>
      <c r="J2" s="978"/>
      <c r="K2" s="978"/>
      <c r="L2" s="981"/>
      <c r="M2" s="982"/>
      <c r="N2" s="982"/>
      <c r="O2" s="982"/>
      <c r="P2" s="347"/>
      <c r="Q2" s="347"/>
      <c r="R2" s="347"/>
      <c r="S2" s="347"/>
      <c r="T2" s="347"/>
      <c r="U2" s="347"/>
      <c r="V2" s="347"/>
      <c r="W2" s="347"/>
      <c r="X2" s="347"/>
      <c r="Y2" s="347"/>
      <c r="Z2" s="347"/>
      <c r="AA2" s="347"/>
      <c r="AB2" s="347"/>
      <c r="AC2" s="671"/>
    </row>
    <row r="3" spans="1:29" s="348" customFormat="1" ht="28.5" customHeight="1" thickBot="1">
      <c r="A3" s="201" t="s">
        <v>2084</v>
      </c>
      <c r="B3" s="544" t="e">
        <f ca="1">IF(C2="——",C43,ROUND(B2*10000/D3,0))</f>
        <v>#DIV/0!</v>
      </c>
      <c r="C3" s="350" t="s">
        <v>2397</v>
      </c>
      <c r="D3" s="349">
        <f>IF(D1="",'数据-汇总表'!E3,SUMIF('数据-汇总表'!$C19:$C33,D1,'数据-汇总表'!$E19:$E33))</f>
        <v>69.52</v>
      </c>
      <c r="E3" s="978"/>
      <c r="F3" s="979"/>
      <c r="G3" s="978"/>
      <c r="H3" s="978"/>
      <c r="I3" s="978"/>
      <c r="J3" s="978"/>
      <c r="K3" s="980"/>
      <c r="L3" s="981"/>
      <c r="M3" s="982"/>
      <c r="N3" s="982"/>
      <c r="O3" s="982"/>
      <c r="P3" s="347"/>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983"/>
      <c r="M4" s="984"/>
      <c r="N4" s="984"/>
      <c r="O4" s="984"/>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983"/>
      <c r="M5" s="984"/>
      <c r="N5" s="984"/>
      <c r="O5" s="984"/>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545" t="s">
        <v>2301</v>
      </c>
      <c r="L6" s="983"/>
      <c r="M6" s="984"/>
      <c r="N6" s="984"/>
      <c r="O6" s="984"/>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SUMIF(52:52,YEAR(E7)&amp;"-"&amp;MONTH(E7),53:53)</f>
        <v>0</v>
      </c>
      <c r="G7" s="362"/>
      <c r="H7" s="361">
        <f>SUMIF(52:52,YEAR(G7)&amp;"-"&amp;MONTH(G7),53:53)</f>
        <v>0</v>
      </c>
      <c r="I7" s="362"/>
      <c r="J7" s="361">
        <f>SUMIF(52:52,YEAR(I7)&amp;"-"&amp;MONTH(I7),53:53)</f>
        <v>0</v>
      </c>
      <c r="K7" s="41"/>
      <c r="L7" s="985"/>
      <c r="M7" s="986"/>
      <c r="N7" s="986"/>
      <c r="O7" s="986"/>
      <c r="P7" s="3391"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53" t="e">
        <f>D7/J7</f>
        <v>#DIV/0!</v>
      </c>
    </row>
    <row r="8" spans="1:29" s="107" customFormat="1" ht="15.75" thickBot="1">
      <c r="A8" s="358" t="s">
        <v>2304</v>
      </c>
      <c r="B8" s="359"/>
      <c r="C8" s="364" t="s">
        <v>2305</v>
      </c>
      <c r="D8" s="361">
        <v>100</v>
      </c>
      <c r="E8" s="364"/>
      <c r="F8" s="363">
        <f>SUMIF(55:55,E8,56:56)-SUMIF(55:55,C8,56:56)+100</f>
        <v>0</v>
      </c>
      <c r="G8" s="364"/>
      <c r="H8" s="361">
        <f>SUMIF(55:55,G8,56:56)-SUMIF(55:55,C8,56:56)+100</f>
        <v>0</v>
      </c>
      <c r="I8" s="364"/>
      <c r="J8" s="361">
        <f>SUMIF(55:55,I8,56:56)-SUMIF(55:55,C8,56:56)+100</f>
        <v>0</v>
      </c>
      <c r="K8" s="41"/>
      <c r="L8" s="985"/>
      <c r="M8" s="986"/>
      <c r="N8" s="986"/>
      <c r="O8" s="986"/>
      <c r="P8" s="3391" t="s">
        <v>2306</v>
      </c>
      <c r="Q8" s="3390"/>
      <c r="R8" s="672" t="s">
        <v>17</v>
      </c>
      <c r="S8" s="673">
        <f t="shared" si="0"/>
        <v>0</v>
      </c>
      <c r="T8" s="672" t="s">
        <v>17</v>
      </c>
      <c r="U8" s="673">
        <f t="shared" si="1"/>
        <v>0</v>
      </c>
      <c r="V8" s="672" t="s">
        <v>17</v>
      </c>
      <c r="W8" s="673">
        <f t="shared" si="2"/>
        <v>0</v>
      </c>
      <c r="X8" s="674"/>
      <c r="Y8" s="3391" t="s">
        <v>2306</v>
      </c>
      <c r="Z8" s="3390"/>
      <c r="AA8" s="53" t="e">
        <f t="shared" ref="AA8:AA40" si="3">D8/F8</f>
        <v>#DIV/0!</v>
      </c>
      <c r="AB8" s="53" t="e">
        <f t="shared" ref="AB8:AB40" si="4">D8/H8</f>
        <v>#DIV/0!</v>
      </c>
      <c r="AC8" s="53" t="e">
        <f t="shared" ref="AC8:AC40" si="5">D8/J8</f>
        <v>#DIV/0!</v>
      </c>
    </row>
    <row r="9" spans="1:29" s="107" customFormat="1">
      <c r="A9" s="365" t="s">
        <v>2307</v>
      </c>
      <c r="B9" s="64" t="s">
        <v>2308</v>
      </c>
      <c r="C9" s="366"/>
      <c r="D9" s="63">
        <v>100</v>
      </c>
      <c r="E9" s="368"/>
      <c r="F9" s="63">
        <f>SUMIF(57:57,E9,58:58)-SUMIF(57:57,C9,58:58)+100</f>
        <v>100</v>
      </c>
      <c r="G9" s="367"/>
      <c r="H9" s="63">
        <f>SUMIF(57:57,G9,58:58)-SUMIF(57:57,C9,58:58)+100</f>
        <v>100</v>
      </c>
      <c r="I9" s="367"/>
      <c r="J9" s="63">
        <f>SUMIF(57:57,I9,58:58)-SUMIF(57:57,C9,58:58)+100</f>
        <v>100</v>
      </c>
      <c r="K9" s="41"/>
      <c r="L9" s="985"/>
      <c r="M9" s="986"/>
      <c r="N9" s="986"/>
      <c r="O9" s="987"/>
      <c r="P9" s="3351"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1"/>
      <c r="D10" s="124">
        <v>100</v>
      </c>
      <c r="E10" s="371"/>
      <c r="F10" s="124">
        <f>SUMIF(59:59,E10,60:60)-SUMIF(59:59,C10,60:60)+100</f>
        <v>100</v>
      </c>
      <c r="G10" s="372"/>
      <c r="H10" s="124">
        <f>SUMIF(59:59,G10,60:60)-SUMIF(59:59,C10,60:60)+100</f>
        <v>100</v>
      </c>
      <c r="I10" s="371"/>
      <c r="J10" s="124">
        <f>SUMIF(59:59,I10,60:60)-SUMIF(59:59,C10,60:60)+100</f>
        <v>100</v>
      </c>
      <c r="K10" s="546"/>
      <c r="L10" s="988"/>
      <c r="M10" s="989"/>
      <c r="N10" s="989"/>
      <c r="O10" s="990"/>
      <c r="P10" s="3351"/>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375"/>
      <c r="B11" s="370" t="s">
        <v>2312</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1"/>
      <c r="M11" s="984"/>
      <c r="N11" s="984"/>
      <c r="O11" s="992"/>
      <c r="P11" s="3351"/>
      <c r="Q11" s="538" t="str">
        <f t="shared" si="6"/>
        <v>容积率</v>
      </c>
      <c r="R11" s="672" t="s">
        <v>17</v>
      </c>
      <c r="S11" s="673" t="e">
        <f t="shared" si="0"/>
        <v>#N/A</v>
      </c>
      <c r="T11" s="672" t="s">
        <v>17</v>
      </c>
      <c r="U11" s="673" t="e">
        <f t="shared" si="1"/>
        <v>#N/A</v>
      </c>
      <c r="V11" s="672" t="s">
        <v>17</v>
      </c>
      <c r="W11" s="673" t="e">
        <f t="shared" si="2"/>
        <v>#N/A</v>
      </c>
      <c r="X11" s="674"/>
      <c r="Y11" s="3225"/>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60"/>
      <c r="H12" s="124">
        <f>SUMIF(64:64,G12,65:65)-SUMIF(64:64,C12,65:65)+100</f>
        <v>100</v>
      </c>
      <c r="I12" s="415"/>
      <c r="J12" s="124">
        <f>SUMIF(64:64,I12,65:65)-SUMIF(64:64,C12,65:65)+100</f>
        <v>100</v>
      </c>
      <c r="K12" s="547"/>
      <c r="L12" s="985"/>
      <c r="M12" s="986"/>
      <c r="N12" s="986"/>
      <c r="O12" s="987"/>
      <c r="P12" s="3351"/>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60"/>
      <c r="H13" s="382">
        <f>SUMIF(66:66,G13,67:67)-SUMIF(66:66,C13,67:67)+100</f>
        <v>100</v>
      </c>
      <c r="I13" s="415"/>
      <c r="J13" s="382">
        <f>SUMIF(66:66,I13,67:67)-SUMIF(66:66,C13,67:67)+100</f>
        <v>100</v>
      </c>
      <c r="K13" s="547"/>
      <c r="L13" s="993"/>
      <c r="M13" s="984"/>
      <c r="N13" s="984"/>
      <c r="O13" s="992"/>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15.75" thickBot="1">
      <c r="A14" s="383"/>
      <c r="B14" s="1893">
        <v>111</v>
      </c>
      <c r="C14" s="384"/>
      <c r="D14" s="385">
        <v>100</v>
      </c>
      <c r="E14" s="384"/>
      <c r="F14" s="385">
        <f>SUMIF(68:68,E14,69:69)-SUMIF(68:68,C14,69:69)+100</f>
        <v>100</v>
      </c>
      <c r="G14" s="1960"/>
      <c r="H14" s="385">
        <f>SUMIF(68:68,G14,69:69)-SUMIF(68:68,C14,69:69)+100</f>
        <v>100</v>
      </c>
      <c r="I14" s="415"/>
      <c r="J14" s="385">
        <f>SUMIF(68:68,I14,69:69)-SUMIF(68:68,C14,69:69)+100</f>
        <v>100</v>
      </c>
      <c r="K14" s="547"/>
      <c r="L14" s="993"/>
      <c r="M14" s="984"/>
      <c r="N14" s="984"/>
      <c r="O14" s="992"/>
      <c r="P14" s="3351"/>
      <c r="Q14" s="538">
        <f t="shared" si="6"/>
        <v>111</v>
      </c>
      <c r="R14" s="672" t="s">
        <v>17</v>
      </c>
      <c r="S14" s="673">
        <f t="shared" si="0"/>
        <v>100</v>
      </c>
      <c r="T14" s="672" t="s">
        <v>17</v>
      </c>
      <c r="U14" s="673">
        <f t="shared" si="1"/>
        <v>100</v>
      </c>
      <c r="V14" s="672" t="s">
        <v>17</v>
      </c>
      <c r="W14" s="673">
        <f t="shared" si="2"/>
        <v>100</v>
      </c>
      <c r="X14" s="674"/>
      <c r="Y14" s="3225"/>
      <c r="Z14" s="53">
        <f t="shared" si="7"/>
        <v>111</v>
      </c>
      <c r="AA14" s="53">
        <f t="shared" si="3"/>
        <v>1</v>
      </c>
      <c r="AB14" s="53">
        <f t="shared" si="4"/>
        <v>1</v>
      </c>
      <c r="AC14" s="53">
        <f t="shared" si="5"/>
        <v>1</v>
      </c>
    </row>
    <row r="15" spans="1:29" ht="71.25">
      <c r="A15" s="387" t="s">
        <v>2313</v>
      </c>
      <c r="B15" s="62" t="s">
        <v>2456</v>
      </c>
      <c r="C15" s="1961"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93"/>
      <c r="M15" s="984"/>
      <c r="N15" s="984"/>
      <c r="O15" s="992"/>
      <c r="P15" s="3358" t="s">
        <v>2314</v>
      </c>
      <c r="Q15" s="1407" t="str">
        <f t="shared" si="6"/>
        <v>产业集聚程度</v>
      </c>
      <c r="R15" s="675" t="s">
        <v>17</v>
      </c>
      <c r="S15" s="676">
        <f t="shared" si="0"/>
        <v>100</v>
      </c>
      <c r="T15" s="675" t="s">
        <v>17</v>
      </c>
      <c r="U15" s="676">
        <f t="shared" si="1"/>
        <v>100</v>
      </c>
      <c r="V15" s="675" t="s">
        <v>17</v>
      </c>
      <c r="W15" s="676">
        <f t="shared" si="2"/>
        <v>100</v>
      </c>
      <c r="X15" s="1409"/>
      <c r="Y15" s="3358" t="s">
        <v>2314</v>
      </c>
      <c r="Z15" s="1408" t="str">
        <f t="shared" si="7"/>
        <v>产业集聚程度</v>
      </c>
      <c r="AA15" s="1408">
        <f t="shared" si="3"/>
        <v>1</v>
      </c>
      <c r="AB15" s="1408">
        <f t="shared" si="4"/>
        <v>1</v>
      </c>
      <c r="AC15" s="1408">
        <f t="shared" si="5"/>
        <v>1</v>
      </c>
    </row>
    <row r="16" spans="1:29" ht="15">
      <c r="A16" s="375"/>
      <c r="B16" s="393"/>
      <c r="C16" s="394"/>
      <c r="D16" s="395"/>
      <c r="E16" s="394"/>
      <c r="F16" s="396"/>
      <c r="G16" s="394"/>
      <c r="H16" s="397"/>
      <c r="I16" s="394"/>
      <c r="J16" s="395"/>
      <c r="K16" s="549"/>
      <c r="L16" s="993"/>
      <c r="M16" s="984"/>
      <c r="N16" s="984"/>
      <c r="O16" s="992"/>
      <c r="P16" s="3359"/>
      <c r="Q16" s="1407"/>
      <c r="R16" s="675"/>
      <c r="S16" s="676"/>
      <c r="T16" s="675"/>
      <c r="U16" s="676"/>
      <c r="V16" s="675"/>
      <c r="W16" s="676"/>
      <c r="X16" s="1409"/>
      <c r="Y16" s="3359"/>
      <c r="Z16" s="1408"/>
      <c r="AA16" s="1408">
        <v>1</v>
      </c>
      <c r="AB16" s="1408">
        <v>1</v>
      </c>
      <c r="AC16" s="1408">
        <v>1</v>
      </c>
    </row>
    <row r="17" spans="1:29" ht="85.5">
      <c r="A17" s="375"/>
      <c r="B17" s="398" t="s">
        <v>1883</v>
      </c>
      <c r="C17" s="1898"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93"/>
      <c r="M17" s="984"/>
      <c r="N17" s="984"/>
      <c r="O17" s="992"/>
      <c r="P17" s="3359"/>
      <c r="Q17" s="1407" t="str">
        <f>B17</f>
        <v>交通便捷度</v>
      </c>
      <c r="R17" s="675" t="s">
        <v>17</v>
      </c>
      <c r="S17" s="676">
        <f>F17</f>
        <v>100</v>
      </c>
      <c r="T17" s="675" t="s">
        <v>17</v>
      </c>
      <c r="U17" s="676">
        <f>H17</f>
        <v>100</v>
      </c>
      <c r="V17" s="675" t="s">
        <v>17</v>
      </c>
      <c r="W17" s="676">
        <f>J17</f>
        <v>100</v>
      </c>
      <c r="X17" s="1409"/>
      <c r="Y17" s="3359"/>
      <c r="Z17" s="1408" t="str">
        <f>Q17</f>
        <v>交通便捷度</v>
      </c>
      <c r="AA17" s="1408">
        <f t="shared" si="3"/>
        <v>1</v>
      </c>
      <c r="AB17" s="1408">
        <f t="shared" si="4"/>
        <v>1</v>
      </c>
      <c r="AC17" s="1408">
        <f t="shared" si="5"/>
        <v>1</v>
      </c>
    </row>
    <row r="18" spans="1:29" ht="15">
      <c r="A18" s="375"/>
      <c r="B18" s="403"/>
      <c r="C18" s="1899"/>
      <c r="D18" s="397"/>
      <c r="E18" s="1901"/>
      <c r="F18" s="400"/>
      <c r="G18" s="1900"/>
      <c r="H18" s="395"/>
      <c r="I18" s="1901"/>
      <c r="J18" s="395"/>
      <c r="K18" s="549"/>
      <c r="L18" s="993"/>
      <c r="M18" s="984"/>
      <c r="N18" s="984"/>
      <c r="O18" s="992"/>
      <c r="P18" s="3359"/>
      <c r="Q18" s="1407"/>
      <c r="R18" s="675"/>
      <c r="S18" s="676"/>
      <c r="T18" s="675"/>
      <c r="U18" s="676"/>
      <c r="V18" s="675"/>
      <c r="W18" s="676"/>
      <c r="X18" s="1409"/>
      <c r="Y18" s="3359"/>
      <c r="Z18" s="1408"/>
      <c r="AA18" s="1408">
        <v>1</v>
      </c>
      <c r="AB18" s="1408">
        <v>1</v>
      </c>
      <c r="AC18" s="1408">
        <v>1</v>
      </c>
    </row>
    <row r="19" spans="1:29" ht="42.75">
      <c r="A19" s="375"/>
      <c r="B19" s="398" t="s">
        <v>2441</v>
      </c>
      <c r="C19" s="1898"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93"/>
      <c r="M19" s="984"/>
      <c r="N19" s="984"/>
      <c r="O19" s="992"/>
      <c r="P19" s="3359"/>
      <c r="Q19" s="1407" t="str">
        <f>B19</f>
        <v>公共配套设施</v>
      </c>
      <c r="R19" s="675" t="s">
        <v>17</v>
      </c>
      <c r="S19" s="676">
        <f>F19</f>
        <v>100</v>
      </c>
      <c r="T19" s="675" t="s">
        <v>17</v>
      </c>
      <c r="U19" s="676">
        <f>H19</f>
        <v>100</v>
      </c>
      <c r="V19" s="675" t="s">
        <v>17</v>
      </c>
      <c r="W19" s="676">
        <f>J19</f>
        <v>100</v>
      </c>
      <c r="X19" s="1409"/>
      <c r="Y19" s="3359"/>
      <c r="Z19" s="1408" t="str">
        <f>Q19</f>
        <v>公共配套设施</v>
      </c>
      <c r="AA19" s="1408">
        <f t="shared" si="3"/>
        <v>1</v>
      </c>
      <c r="AB19" s="1408">
        <f t="shared" si="4"/>
        <v>1</v>
      </c>
      <c r="AC19" s="1408">
        <f t="shared" si="5"/>
        <v>1</v>
      </c>
    </row>
    <row r="20" spans="1:29" ht="15">
      <c r="A20" s="375"/>
      <c r="B20" s="403"/>
      <c r="C20" s="394"/>
      <c r="D20" s="395"/>
      <c r="E20" s="1896"/>
      <c r="F20" s="396"/>
      <c r="G20" s="1895"/>
      <c r="H20" s="395"/>
      <c r="I20" s="1896"/>
      <c r="J20" s="395"/>
      <c r="K20" s="549"/>
      <c r="L20" s="993"/>
      <c r="M20" s="984"/>
      <c r="N20" s="984"/>
      <c r="O20" s="992"/>
      <c r="P20" s="3359"/>
      <c r="Q20" s="1407"/>
      <c r="R20" s="675"/>
      <c r="S20" s="676"/>
      <c r="T20" s="675"/>
      <c r="U20" s="676"/>
      <c r="V20" s="675"/>
      <c r="W20" s="676"/>
      <c r="X20" s="1409"/>
      <c r="Y20" s="3359"/>
      <c r="Z20" s="1408"/>
      <c r="AA20" s="1408">
        <v>1</v>
      </c>
      <c r="AB20" s="1408">
        <v>1</v>
      </c>
      <c r="AC20" s="1408">
        <v>1</v>
      </c>
    </row>
    <row r="21" spans="1:29" ht="42.75">
      <c r="A21" s="375"/>
      <c r="B21" s="594" t="s">
        <v>2442</v>
      </c>
      <c r="C21" s="1898"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93"/>
      <c r="M21" s="984"/>
      <c r="N21" s="984"/>
      <c r="O21" s="992"/>
      <c r="P21" s="3359"/>
      <c r="Q21" s="1407" t="str">
        <f>B21</f>
        <v>基础设施水平</v>
      </c>
      <c r="R21" s="675" t="s">
        <v>17</v>
      </c>
      <c r="S21" s="676">
        <f>F21</f>
        <v>100</v>
      </c>
      <c r="T21" s="675" t="s">
        <v>17</v>
      </c>
      <c r="U21" s="676">
        <f>H21</f>
        <v>100</v>
      </c>
      <c r="V21" s="675" t="s">
        <v>17</v>
      </c>
      <c r="W21" s="676">
        <f>J21</f>
        <v>100</v>
      </c>
      <c r="X21" s="1409"/>
      <c r="Y21" s="3359"/>
      <c r="Z21" s="1408" t="str">
        <f>Q21</f>
        <v>基础设施水平</v>
      </c>
      <c r="AA21" s="1408">
        <f t="shared" ref="AA21" si="8">D21/F21</f>
        <v>1</v>
      </c>
      <c r="AB21" s="1408">
        <f t="shared" ref="AB21" si="9">D21/H21</f>
        <v>1</v>
      </c>
      <c r="AC21" s="1408">
        <f t="shared" ref="AC21" si="10">D21/J21</f>
        <v>1</v>
      </c>
    </row>
    <row r="22" spans="1:29" ht="15">
      <c r="A22" s="375"/>
      <c r="B22" s="594"/>
      <c r="C22" s="1899"/>
      <c r="D22" s="395"/>
      <c r="E22" s="394"/>
      <c r="F22" s="396"/>
      <c r="G22" s="394"/>
      <c r="H22" s="395"/>
      <c r="I22" s="394"/>
      <c r="J22" s="395"/>
      <c r="K22" s="1191"/>
      <c r="L22" s="993"/>
      <c r="M22" s="984"/>
      <c r="N22" s="984"/>
      <c r="O22" s="992"/>
      <c r="P22" s="3359"/>
      <c r="Q22" s="1407"/>
      <c r="R22" s="675"/>
      <c r="S22" s="676"/>
      <c r="T22" s="675"/>
      <c r="U22" s="676"/>
      <c r="V22" s="675"/>
      <c r="W22" s="676"/>
      <c r="X22" s="1409"/>
      <c r="Y22" s="3359"/>
      <c r="Z22" s="1408"/>
      <c r="AA22" s="1408">
        <v>1</v>
      </c>
      <c r="AB22" s="1408">
        <v>1</v>
      </c>
      <c r="AC22" s="1408">
        <v>1</v>
      </c>
    </row>
    <row r="23" spans="1:29" ht="71.25">
      <c r="A23" s="375"/>
      <c r="B23" s="398" t="s">
        <v>2443</v>
      </c>
      <c r="C23" s="1898"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93"/>
      <c r="M23" s="984"/>
      <c r="N23" s="984"/>
      <c r="O23" s="992"/>
      <c r="P23" s="3359"/>
      <c r="Q23" s="1407" t="str">
        <f>B23</f>
        <v>环境质量</v>
      </c>
      <c r="R23" s="675" t="s">
        <v>17</v>
      </c>
      <c r="S23" s="676">
        <f>F23</f>
        <v>100</v>
      </c>
      <c r="T23" s="675" t="s">
        <v>17</v>
      </c>
      <c r="U23" s="676">
        <f>H23</f>
        <v>100</v>
      </c>
      <c r="V23" s="675" t="s">
        <v>17</v>
      </c>
      <c r="W23" s="676">
        <f>J23</f>
        <v>100</v>
      </c>
      <c r="X23" s="1409"/>
      <c r="Y23" s="3359"/>
      <c r="Z23" s="1408" t="str">
        <f>Q23</f>
        <v>环境质量</v>
      </c>
      <c r="AA23" s="1408">
        <f t="shared" si="3"/>
        <v>1</v>
      </c>
      <c r="AB23" s="1408">
        <f t="shared" si="4"/>
        <v>1</v>
      </c>
      <c r="AC23" s="1408">
        <f t="shared" si="5"/>
        <v>1</v>
      </c>
    </row>
    <row r="24" spans="1:29" ht="15">
      <c r="A24" s="375"/>
      <c r="B24" s="594"/>
      <c r="C24" s="394"/>
      <c r="D24" s="395"/>
      <c r="E24" s="1896"/>
      <c r="F24" s="396"/>
      <c r="G24" s="1895"/>
      <c r="H24" s="395"/>
      <c r="I24" s="1896"/>
      <c r="J24" s="395"/>
      <c r="K24" s="549"/>
      <c r="L24" s="993"/>
      <c r="M24" s="984"/>
      <c r="N24" s="984"/>
      <c r="O24" s="992"/>
      <c r="P24" s="3359"/>
      <c r="Q24" s="1407"/>
      <c r="R24" s="675"/>
      <c r="S24" s="676"/>
      <c r="T24" s="675"/>
      <c r="U24" s="676"/>
      <c r="V24" s="675"/>
      <c r="W24" s="676"/>
      <c r="X24" s="1409"/>
      <c r="Y24" s="3359"/>
      <c r="Z24" s="1408"/>
      <c r="AA24" s="1408">
        <v>1</v>
      </c>
      <c r="AB24" s="1408">
        <v>1</v>
      </c>
      <c r="AC24" s="1408">
        <v>1</v>
      </c>
    </row>
    <row r="25" spans="1:29" ht="15">
      <c r="A25" s="354"/>
      <c r="B25" s="1193">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3"/>
      <c r="M25" s="984"/>
      <c r="N25" s="984"/>
      <c r="O25" s="992"/>
      <c r="P25" s="3359"/>
      <c r="Q25" s="1407">
        <f>B25</f>
        <v>111</v>
      </c>
      <c r="R25" s="675" t="s">
        <v>17</v>
      </c>
      <c r="S25" s="676">
        <f>F25</f>
        <v>100</v>
      </c>
      <c r="T25" s="675" t="s">
        <v>17</v>
      </c>
      <c r="U25" s="676">
        <f>H25</f>
        <v>100</v>
      </c>
      <c r="V25" s="675" t="s">
        <v>17</v>
      </c>
      <c r="W25" s="676">
        <f>J25</f>
        <v>100</v>
      </c>
      <c r="X25" s="1409"/>
      <c r="Y25" s="3359"/>
      <c r="Z25" s="1408">
        <f>Q25</f>
        <v>111</v>
      </c>
      <c r="AA25" s="1408">
        <f t="shared" si="3"/>
        <v>1</v>
      </c>
      <c r="AB25" s="1408">
        <f t="shared" si="4"/>
        <v>1</v>
      </c>
      <c r="AC25" s="1408">
        <f t="shared" si="5"/>
        <v>1</v>
      </c>
    </row>
    <row r="26" spans="1:29" ht="15">
      <c r="A26" s="375"/>
      <c r="B26" s="1193">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3"/>
      <c r="M26" s="984"/>
      <c r="N26" s="984"/>
      <c r="O26" s="992"/>
      <c r="P26" s="3359"/>
      <c r="Q26" s="1407">
        <f t="shared" ref="Q26:Q40" si="11">B26</f>
        <v>111</v>
      </c>
      <c r="R26" s="675" t="s">
        <v>17</v>
      </c>
      <c r="S26" s="676">
        <f>F26</f>
        <v>100</v>
      </c>
      <c r="T26" s="675" t="s">
        <v>17</v>
      </c>
      <c r="U26" s="676">
        <f>H26</f>
        <v>100</v>
      </c>
      <c r="V26" s="675" t="s">
        <v>17</v>
      </c>
      <c r="W26" s="676">
        <f>J26</f>
        <v>100</v>
      </c>
      <c r="X26" s="1409"/>
      <c r="Y26" s="3359"/>
      <c r="Z26" s="1408">
        <f>Q26</f>
        <v>111</v>
      </c>
      <c r="AA26" s="1408">
        <f t="shared" si="3"/>
        <v>1</v>
      </c>
      <c r="AB26" s="1408">
        <f t="shared" si="4"/>
        <v>1</v>
      </c>
      <c r="AC26" s="1408">
        <f t="shared" si="5"/>
        <v>1</v>
      </c>
    </row>
    <row r="27" spans="1:29" s="107" customFormat="1" ht="15">
      <c r="A27" s="378"/>
      <c r="B27" s="1193">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5"/>
      <c r="M27" s="986"/>
      <c r="N27" s="986"/>
      <c r="O27" s="987"/>
      <c r="P27" s="3359"/>
      <c r="Q27" s="538">
        <f t="shared" si="11"/>
        <v>111</v>
      </c>
      <c r="R27" s="672" t="s">
        <v>17</v>
      </c>
      <c r="S27" s="673">
        <f>F27</f>
        <v>100</v>
      </c>
      <c r="T27" s="672" t="s">
        <v>17</v>
      </c>
      <c r="U27" s="673">
        <f>H27</f>
        <v>100</v>
      </c>
      <c r="V27" s="672" t="s">
        <v>17</v>
      </c>
      <c r="W27" s="673">
        <f>J27</f>
        <v>100</v>
      </c>
      <c r="X27" s="674"/>
      <c r="Y27" s="3359"/>
      <c r="Z27" s="53">
        <f>Q27</f>
        <v>111</v>
      </c>
      <c r="AA27" s="1408">
        <f>D27/F27</f>
        <v>1</v>
      </c>
      <c r="AB27" s="1408">
        <f>D27/H27</f>
        <v>1</v>
      </c>
      <c r="AC27" s="1408">
        <f>D27/J27</f>
        <v>1</v>
      </c>
    </row>
    <row r="28" spans="1:29" ht="15.75" thickBot="1">
      <c r="A28" s="383"/>
      <c r="B28" s="1193">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3"/>
      <c r="M28" s="984"/>
      <c r="N28" s="984"/>
      <c r="O28" s="992"/>
      <c r="P28" s="3359"/>
      <c r="Q28" s="1407">
        <f t="shared" si="11"/>
        <v>111</v>
      </c>
      <c r="R28" s="675" t="s">
        <v>17</v>
      </c>
      <c r="S28" s="676">
        <f t="shared" ref="S28:S40" si="12">F28</f>
        <v>100</v>
      </c>
      <c r="T28" s="675" t="s">
        <v>17</v>
      </c>
      <c r="U28" s="676">
        <f t="shared" ref="U28:U40" si="13">H28</f>
        <v>100</v>
      </c>
      <c r="V28" s="675" t="s">
        <v>17</v>
      </c>
      <c r="W28" s="676">
        <f t="shared" ref="W28:W40" si="14">J28</f>
        <v>100</v>
      </c>
      <c r="X28" s="1409"/>
      <c r="Y28" s="3359"/>
      <c r="Z28" s="1408">
        <f t="shared" ref="Z28:Z40" si="15">Q28</f>
        <v>111</v>
      </c>
      <c r="AA28" s="1408">
        <f t="shared" si="3"/>
        <v>1</v>
      </c>
      <c r="AB28" s="1408">
        <f t="shared" si="4"/>
        <v>1</v>
      </c>
      <c r="AC28" s="1408">
        <f t="shared" si="5"/>
        <v>1</v>
      </c>
    </row>
    <row r="29" spans="1:29" ht="28.5">
      <c r="A29" s="412" t="s">
        <v>2317</v>
      </c>
      <c r="B29" s="64" t="s">
        <v>2446</v>
      </c>
      <c r="C29" s="1908"/>
      <c r="D29" s="413">
        <v>100</v>
      </c>
      <c r="E29" s="1908"/>
      <c r="F29" s="408">
        <f>SUMIF(88:88,E29,89:89)-SUMIF(88:88,C29,89:89)+100</f>
        <v>100</v>
      </c>
      <c r="G29" s="1908"/>
      <c r="H29" s="382">
        <f>SUMIF(88:88,G29,89:89)-SUMIF(88:88,C29,89:89)+100</f>
        <v>100</v>
      </c>
      <c r="I29" s="1908"/>
      <c r="J29" s="413">
        <f>SUMIF(88:88,I29,89:89)-SUMIF(88:88,C29,89:89)+100</f>
        <v>100</v>
      </c>
      <c r="K29" s="546"/>
      <c r="L29" s="993"/>
      <c r="M29" s="984"/>
      <c r="N29" s="984"/>
      <c r="O29" s="992"/>
      <c r="P29" s="3456" t="s">
        <v>2319</v>
      </c>
      <c r="Q29" s="1407" t="str">
        <f t="shared" si="11"/>
        <v>建筑类型</v>
      </c>
      <c r="R29" s="675" t="s">
        <v>17</v>
      </c>
      <c r="S29" s="676">
        <f t="shared" si="12"/>
        <v>100</v>
      </c>
      <c r="T29" s="675" t="s">
        <v>17</v>
      </c>
      <c r="U29" s="676">
        <f t="shared" si="13"/>
        <v>100</v>
      </c>
      <c r="V29" s="675" t="s">
        <v>17</v>
      </c>
      <c r="W29" s="676">
        <f t="shared" si="14"/>
        <v>100</v>
      </c>
      <c r="X29" s="1409"/>
      <c r="Y29" s="3363" t="s">
        <v>2319</v>
      </c>
      <c r="Z29" s="1408" t="str">
        <f t="shared" si="15"/>
        <v>建筑类型</v>
      </c>
      <c r="AA29" s="1408">
        <f t="shared" si="3"/>
        <v>1</v>
      </c>
      <c r="AB29" s="1408">
        <f t="shared" si="4"/>
        <v>1</v>
      </c>
      <c r="AC29" s="1408">
        <f t="shared" si="5"/>
        <v>1</v>
      </c>
    </row>
    <row r="30" spans="1:29" s="416" customFormat="1" ht="15">
      <c r="A30" s="414"/>
      <c r="B30" s="370" t="s">
        <v>2320</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1"/>
      <c r="M30" s="994"/>
      <c r="N30" s="994"/>
      <c r="O30" s="995"/>
      <c r="P30" s="3363"/>
      <c r="Q30" s="539" t="str">
        <f t="shared" si="11"/>
        <v>项目建筑规模</v>
      </c>
      <c r="R30" s="677" t="s">
        <v>17</v>
      </c>
      <c r="S30" s="678" t="e">
        <f t="shared" si="12"/>
        <v>#N/A</v>
      </c>
      <c r="T30" s="677" t="s">
        <v>17</v>
      </c>
      <c r="U30" s="678" t="e">
        <f t="shared" si="13"/>
        <v>#N/A</v>
      </c>
      <c r="V30" s="677" t="s">
        <v>17</v>
      </c>
      <c r="W30" s="678" t="e">
        <f t="shared" si="14"/>
        <v>#N/A</v>
      </c>
      <c r="X30" s="679"/>
      <c r="Y30" s="3363"/>
      <c r="Z30" s="680" t="str">
        <f t="shared" si="15"/>
        <v>项目建筑规模</v>
      </c>
      <c r="AA30" s="1408" t="e">
        <f t="shared" si="3"/>
        <v>#N/A</v>
      </c>
      <c r="AB30" s="1408" t="e">
        <f t="shared" si="4"/>
        <v>#N/A</v>
      </c>
      <c r="AC30" s="1408" t="e">
        <f t="shared" si="5"/>
        <v>#N/A</v>
      </c>
    </row>
    <row r="31" spans="1:29" ht="15">
      <c r="A31" s="417"/>
      <c r="B31" s="370" t="s">
        <v>2321</v>
      </c>
      <c r="C31" s="407"/>
      <c r="D31" s="382">
        <v>100</v>
      </c>
      <c r="E31" s="407"/>
      <c r="F31" s="408">
        <f>SUMIF(93:93,E31,94:94)-SUMIF(93:93,C31,94:94)+100</f>
        <v>100</v>
      </c>
      <c r="G31" s="407"/>
      <c r="H31" s="382">
        <f>SUMIF(93:93,G31,94:94)-SUMIF(93:93,C31,94:94)+100</f>
        <v>100</v>
      </c>
      <c r="I31" s="407"/>
      <c r="J31" s="382">
        <f>SUMIF(93:93,I31,94:94)-SUMIF(93:93,C31,94:94)+100</f>
        <v>100</v>
      </c>
      <c r="K31" s="546"/>
      <c r="L31" s="993"/>
      <c r="M31" s="984"/>
      <c r="N31" s="984"/>
      <c r="O31" s="992"/>
      <c r="P31" s="3363"/>
      <c r="Q31" s="1407" t="str">
        <f t="shared" si="11"/>
        <v>建筑结构</v>
      </c>
      <c r="R31" s="675" t="s">
        <v>17</v>
      </c>
      <c r="S31" s="676">
        <f t="shared" si="12"/>
        <v>100</v>
      </c>
      <c r="T31" s="675" t="s">
        <v>17</v>
      </c>
      <c r="U31" s="676">
        <f t="shared" si="13"/>
        <v>100</v>
      </c>
      <c r="V31" s="675" t="s">
        <v>17</v>
      </c>
      <c r="W31" s="676">
        <f t="shared" si="14"/>
        <v>100</v>
      </c>
      <c r="X31" s="1409"/>
      <c r="Y31" s="3363"/>
      <c r="Z31" s="1408" t="str">
        <f t="shared" si="15"/>
        <v>建筑结构</v>
      </c>
      <c r="AA31" s="1408">
        <f t="shared" si="3"/>
        <v>1</v>
      </c>
      <c r="AB31" s="1408">
        <f t="shared" si="4"/>
        <v>1</v>
      </c>
      <c r="AC31" s="1408">
        <f t="shared" si="5"/>
        <v>1</v>
      </c>
    </row>
    <row r="32" spans="1:29" ht="15">
      <c r="A32" s="417"/>
      <c r="B32" s="370" t="s">
        <v>2414</v>
      </c>
      <c r="C32" s="407"/>
      <c r="D32" s="382">
        <v>100</v>
      </c>
      <c r="E32" s="407"/>
      <c r="F32" s="408">
        <f>SUMIF(95:95,E32,96:96)-SUMIF(95:95,C32,96:96)+100</f>
        <v>100</v>
      </c>
      <c r="G32" s="407"/>
      <c r="H32" s="382">
        <f>SUMIF(95:95,G32,96:96)-SUMIF(95:95,C32,96:96)+100</f>
        <v>100</v>
      </c>
      <c r="I32" s="407"/>
      <c r="J32" s="382">
        <f>SUMIF(95:95,I32,96:96)-SUMIF(95:95,C32,96:96)+100</f>
        <v>100</v>
      </c>
      <c r="K32" s="546"/>
      <c r="L32" s="993"/>
      <c r="M32" s="984"/>
      <c r="N32" s="984"/>
      <c r="O32" s="992"/>
      <c r="P32" s="3363"/>
      <c r="Q32" s="1407" t="str">
        <f t="shared" si="11"/>
        <v>公共部分装修</v>
      </c>
      <c r="R32" s="675" t="s">
        <v>17</v>
      </c>
      <c r="S32" s="676">
        <f t="shared" si="12"/>
        <v>100</v>
      </c>
      <c r="T32" s="675" t="s">
        <v>17</v>
      </c>
      <c r="U32" s="676">
        <f t="shared" si="13"/>
        <v>100</v>
      </c>
      <c r="V32" s="675" t="s">
        <v>17</v>
      </c>
      <c r="W32" s="676">
        <f t="shared" si="14"/>
        <v>100</v>
      </c>
      <c r="X32" s="1409"/>
      <c r="Y32" s="3363"/>
      <c r="Z32" s="1408" t="str">
        <f t="shared" si="15"/>
        <v>公共部分装修</v>
      </c>
      <c r="AA32" s="1408">
        <f t="shared" si="3"/>
        <v>1</v>
      </c>
      <c r="AB32" s="1408">
        <f t="shared" si="4"/>
        <v>1</v>
      </c>
      <c r="AC32" s="1408">
        <f t="shared" si="5"/>
        <v>1</v>
      </c>
    </row>
    <row r="33" spans="1:29" ht="15">
      <c r="A33" s="417"/>
      <c r="B33" s="370" t="s">
        <v>2415</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3"/>
      <c r="M33" s="984"/>
      <c r="N33" s="984"/>
      <c r="O33" s="992"/>
      <c r="P33" s="3363"/>
      <c r="Q33" s="1407" t="str">
        <f t="shared" si="11"/>
        <v>成新度</v>
      </c>
      <c r="R33" s="675" t="s">
        <v>17</v>
      </c>
      <c r="S33" s="676" t="e">
        <f t="shared" si="12"/>
        <v>#N/A</v>
      </c>
      <c r="T33" s="675" t="s">
        <v>17</v>
      </c>
      <c r="U33" s="676" t="e">
        <f t="shared" si="13"/>
        <v>#N/A</v>
      </c>
      <c r="V33" s="675" t="s">
        <v>17</v>
      </c>
      <c r="W33" s="676" t="e">
        <f t="shared" si="14"/>
        <v>#N/A</v>
      </c>
      <c r="X33" s="1409"/>
      <c r="Y33" s="3363"/>
      <c r="Z33" s="1408" t="str">
        <f t="shared" si="15"/>
        <v>成新度</v>
      </c>
      <c r="AA33" s="1408" t="e">
        <f t="shared" si="3"/>
        <v>#N/A</v>
      </c>
      <c r="AB33" s="1408" t="e">
        <f t="shared" si="4"/>
        <v>#N/A</v>
      </c>
      <c r="AC33" s="1408" t="e">
        <f t="shared" si="5"/>
        <v>#N/A</v>
      </c>
    </row>
    <row r="34" spans="1:29" s="107" customFormat="1" ht="15">
      <c r="A34" s="418"/>
      <c r="B34" s="370" t="s">
        <v>2448</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5"/>
      <c r="M34" s="986"/>
      <c r="N34" s="986"/>
      <c r="O34" s="987"/>
      <c r="P34" s="3363"/>
      <c r="Q34" s="538" t="str">
        <f t="shared" si="11"/>
        <v>物业管理</v>
      </c>
      <c r="R34" s="672" t="s">
        <v>17</v>
      </c>
      <c r="S34" s="673">
        <f t="shared" si="12"/>
        <v>100</v>
      </c>
      <c r="T34" s="672" t="s">
        <v>17</v>
      </c>
      <c r="U34" s="673">
        <f t="shared" si="13"/>
        <v>100</v>
      </c>
      <c r="V34" s="672" t="s">
        <v>17</v>
      </c>
      <c r="W34" s="673">
        <f t="shared" si="14"/>
        <v>100</v>
      </c>
      <c r="X34" s="674"/>
      <c r="Y34" s="3363"/>
      <c r="Z34" s="53" t="str">
        <f t="shared" si="15"/>
        <v>物业管理</v>
      </c>
      <c r="AA34" s="53">
        <f t="shared" si="3"/>
        <v>1</v>
      </c>
      <c r="AB34" s="53">
        <f t="shared" si="4"/>
        <v>1</v>
      </c>
      <c r="AC34" s="53">
        <f t="shared" si="5"/>
        <v>1</v>
      </c>
    </row>
    <row r="35" spans="1:29" ht="15">
      <c r="A35" s="417"/>
      <c r="B35" s="370" t="s">
        <v>2416</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3"/>
      <c r="M35" s="984"/>
      <c r="N35" s="984"/>
      <c r="O35" s="992"/>
      <c r="P35" s="3363" t="s">
        <v>2319</v>
      </c>
      <c r="Q35" s="1407" t="str">
        <f t="shared" si="11"/>
        <v>市政基础设施</v>
      </c>
      <c r="R35" s="675" t="s">
        <v>17</v>
      </c>
      <c r="S35" s="676">
        <f t="shared" si="12"/>
        <v>100</v>
      </c>
      <c r="T35" s="675" t="s">
        <v>17</v>
      </c>
      <c r="U35" s="676">
        <f t="shared" si="13"/>
        <v>100</v>
      </c>
      <c r="V35" s="675" t="s">
        <v>17</v>
      </c>
      <c r="W35" s="676">
        <f t="shared" si="14"/>
        <v>100</v>
      </c>
      <c r="X35" s="1409"/>
      <c r="Y35" s="3363" t="s">
        <v>2319</v>
      </c>
      <c r="Z35" s="1408" t="str">
        <f t="shared" si="15"/>
        <v>市政基础设施</v>
      </c>
      <c r="AA35" s="1408">
        <f t="shared" si="3"/>
        <v>1</v>
      </c>
      <c r="AB35" s="1408">
        <f t="shared" si="4"/>
        <v>1</v>
      </c>
      <c r="AC35" s="1408">
        <f t="shared" si="5"/>
        <v>1</v>
      </c>
    </row>
    <row r="36" spans="1:29" ht="15">
      <c r="A36" s="417"/>
      <c r="B36" s="370" t="s">
        <v>2421</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3"/>
      <c r="M36" s="984"/>
      <c r="N36" s="984"/>
      <c r="O36" s="992"/>
      <c r="P36" s="3363"/>
      <c r="Q36" s="1407" t="str">
        <f t="shared" si="11"/>
        <v>内部装修</v>
      </c>
      <c r="R36" s="675" t="s">
        <v>17</v>
      </c>
      <c r="S36" s="676">
        <f t="shared" si="12"/>
        <v>100</v>
      </c>
      <c r="T36" s="675" t="s">
        <v>17</v>
      </c>
      <c r="U36" s="676">
        <f t="shared" si="13"/>
        <v>100</v>
      </c>
      <c r="V36" s="675" t="s">
        <v>17</v>
      </c>
      <c r="W36" s="676">
        <f t="shared" si="14"/>
        <v>100</v>
      </c>
      <c r="X36" s="1409"/>
      <c r="Y36" s="3363"/>
      <c r="Z36" s="1408" t="str">
        <f t="shared" si="15"/>
        <v>内部装修</v>
      </c>
      <c r="AA36" s="1408">
        <f t="shared" si="3"/>
        <v>1</v>
      </c>
      <c r="AB36" s="1408">
        <f t="shared" si="4"/>
        <v>1</v>
      </c>
      <c r="AC36" s="1408">
        <f t="shared" si="5"/>
        <v>1</v>
      </c>
    </row>
    <row r="37" spans="1:29" ht="15">
      <c r="A37" s="417"/>
      <c r="B37" s="370" t="s">
        <v>2457</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3"/>
      <c r="M37" s="984"/>
      <c r="N37" s="984"/>
      <c r="O37" s="992"/>
      <c r="P37" s="3363"/>
      <c r="Q37" s="1407" t="str">
        <f t="shared" si="11"/>
        <v>内部装修状况</v>
      </c>
      <c r="R37" s="675" t="s">
        <v>17</v>
      </c>
      <c r="S37" s="676">
        <f t="shared" si="12"/>
        <v>100</v>
      </c>
      <c r="T37" s="675" t="s">
        <v>17</v>
      </c>
      <c r="U37" s="676">
        <f t="shared" si="13"/>
        <v>100</v>
      </c>
      <c r="V37" s="675" t="s">
        <v>17</v>
      </c>
      <c r="W37" s="676">
        <f t="shared" si="14"/>
        <v>100</v>
      </c>
      <c r="X37" s="1409"/>
      <c r="Y37" s="3363"/>
      <c r="Z37" s="1408" t="str">
        <f t="shared" si="15"/>
        <v>内部装修状况</v>
      </c>
      <c r="AA37" s="1408">
        <f t="shared" si="3"/>
        <v>1</v>
      </c>
      <c r="AB37" s="1408">
        <f t="shared" si="4"/>
        <v>1</v>
      </c>
      <c r="AC37" s="1408">
        <f t="shared" si="5"/>
        <v>1</v>
      </c>
    </row>
    <row r="38" spans="1:29" s="416" customFormat="1" ht="15">
      <c r="A38" s="414"/>
      <c r="B38" s="1193">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1"/>
      <c r="M38" s="994"/>
      <c r="N38" s="994"/>
      <c r="O38" s="995"/>
      <c r="P38" s="3363"/>
      <c r="Q38" s="539">
        <f t="shared" si="11"/>
        <v>111</v>
      </c>
      <c r="R38" s="677" t="s">
        <v>17</v>
      </c>
      <c r="S38" s="678">
        <f t="shared" si="12"/>
        <v>100</v>
      </c>
      <c r="T38" s="677" t="s">
        <v>17</v>
      </c>
      <c r="U38" s="678">
        <f t="shared" si="13"/>
        <v>100</v>
      </c>
      <c r="V38" s="677" t="s">
        <v>17</v>
      </c>
      <c r="W38" s="678">
        <f t="shared" si="14"/>
        <v>100</v>
      </c>
      <c r="X38" s="679"/>
      <c r="Y38" s="3363"/>
      <c r="Z38" s="680">
        <f t="shared" si="15"/>
        <v>111</v>
      </c>
      <c r="AA38" s="1408">
        <f t="shared" si="3"/>
        <v>1</v>
      </c>
      <c r="AB38" s="1408">
        <f t="shared" si="4"/>
        <v>1</v>
      </c>
      <c r="AC38" s="1408">
        <f t="shared" si="5"/>
        <v>1</v>
      </c>
    </row>
    <row r="39" spans="1:29" ht="15">
      <c r="A39" s="417"/>
      <c r="B39" s="1193">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3"/>
      <c r="M39" s="984"/>
      <c r="N39" s="984"/>
      <c r="O39" s="992"/>
      <c r="P39" s="3363"/>
      <c r="Q39" s="1407">
        <f t="shared" si="11"/>
        <v>111</v>
      </c>
      <c r="R39" s="675" t="s">
        <v>17</v>
      </c>
      <c r="S39" s="676">
        <f t="shared" si="12"/>
        <v>100</v>
      </c>
      <c r="T39" s="675" t="s">
        <v>17</v>
      </c>
      <c r="U39" s="676">
        <f t="shared" si="13"/>
        <v>100</v>
      </c>
      <c r="V39" s="675" t="s">
        <v>17</v>
      </c>
      <c r="W39" s="676">
        <f t="shared" si="14"/>
        <v>100</v>
      </c>
      <c r="X39" s="1409"/>
      <c r="Y39" s="3363"/>
      <c r="Z39" s="1408">
        <f t="shared" si="15"/>
        <v>111</v>
      </c>
      <c r="AA39" s="1408">
        <f t="shared" si="3"/>
        <v>1</v>
      </c>
      <c r="AB39" s="1408">
        <f t="shared" si="4"/>
        <v>1</v>
      </c>
      <c r="AC39" s="1408">
        <f t="shared" si="5"/>
        <v>1</v>
      </c>
    </row>
    <row r="40" spans="1:29" ht="15.75" thickBot="1">
      <c r="A40" s="423"/>
      <c r="B40" s="1893">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3"/>
      <c r="M40" s="984"/>
      <c r="N40" s="984"/>
      <c r="O40" s="992"/>
      <c r="P40" s="3364"/>
      <c r="Q40" s="1407">
        <f t="shared" si="11"/>
        <v>111</v>
      </c>
      <c r="R40" s="675" t="s">
        <v>17</v>
      </c>
      <c r="S40" s="676">
        <f t="shared" si="12"/>
        <v>100</v>
      </c>
      <c r="T40" s="675" t="s">
        <v>17</v>
      </c>
      <c r="U40" s="676">
        <f t="shared" si="13"/>
        <v>100</v>
      </c>
      <c r="V40" s="675" t="s">
        <v>17</v>
      </c>
      <c r="W40" s="676">
        <f t="shared" si="14"/>
        <v>100</v>
      </c>
      <c r="X40" s="1409"/>
      <c r="Y40" s="3364"/>
      <c r="Z40" s="1408">
        <f t="shared" si="15"/>
        <v>111</v>
      </c>
      <c r="AA40" s="1408">
        <f t="shared" si="3"/>
        <v>1</v>
      </c>
      <c r="AB40" s="1408">
        <f t="shared" si="4"/>
        <v>1</v>
      </c>
      <c r="AC40" s="1408">
        <f t="shared" si="5"/>
        <v>1</v>
      </c>
    </row>
    <row r="41" spans="1:29" ht="15">
      <c r="A41" s="424" t="s">
        <v>2330</v>
      </c>
      <c r="B41" s="425"/>
      <c r="C41" s="1208" t="s">
        <v>1</v>
      </c>
      <c r="D41" s="426"/>
      <c r="E41" s="427"/>
      <c r="F41" s="428"/>
      <c r="G41" s="429"/>
      <c r="H41" s="430"/>
      <c r="I41" s="427"/>
      <c r="J41" s="430"/>
      <c r="K41" s="682"/>
      <c r="L41" s="996"/>
      <c r="M41" s="984"/>
      <c r="N41" s="984"/>
      <c r="O41" s="984"/>
      <c r="P41" s="3351" t="str">
        <f>A41</f>
        <v>成交单价（元/平方米）</v>
      </c>
      <c r="Q41" s="3351"/>
      <c r="R41" s="3352">
        <f>E41</f>
        <v>0</v>
      </c>
      <c r="S41" s="3352"/>
      <c r="T41" s="3352">
        <f>G41</f>
        <v>0</v>
      </c>
      <c r="U41" s="3352"/>
      <c r="V41" s="3352">
        <f>I41</f>
        <v>0</v>
      </c>
      <c r="W41" s="3352"/>
      <c r="X41" s="393"/>
      <c r="Y41" s="681"/>
      <c r="Z41" s="393"/>
      <c r="AA41" s="393"/>
      <c r="AB41" s="393"/>
      <c r="AC41" s="393"/>
    </row>
    <row r="42" spans="1:29" ht="15.75" thickBot="1">
      <c r="A42" s="431" t="s">
        <v>2422</v>
      </c>
      <c r="B42" s="432"/>
      <c r="C42" s="1209" t="e">
        <f>R43</f>
        <v>#DIV/0!</v>
      </c>
      <c r="D42" s="2312" t="s">
        <v>2807</v>
      </c>
      <c r="E42" s="1210" t="e">
        <f>R42</f>
        <v>#DIV/0!</v>
      </c>
      <c r="F42" s="2313"/>
      <c r="G42" s="1209" t="e">
        <f>T42</f>
        <v>#DIV/0!</v>
      </c>
      <c r="H42" s="2313"/>
      <c r="I42" s="1210" t="e">
        <f>V42</f>
        <v>#DIV/0!</v>
      </c>
      <c r="J42" s="2313"/>
      <c r="K42" s="2315">
        <f>F42+H42+J42</f>
        <v>0</v>
      </c>
      <c r="L42" s="996"/>
      <c r="M42" s="984"/>
      <c r="N42" s="984"/>
      <c r="O42" s="984"/>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93"/>
      <c r="Y42" s="393"/>
      <c r="Z42" s="393"/>
      <c r="AA42" s="393"/>
      <c r="AB42" s="393"/>
      <c r="AC42" s="393"/>
    </row>
    <row r="43" spans="1:29" ht="15.75" thickBot="1">
      <c r="A43" s="435" t="s">
        <v>2423</v>
      </c>
      <c r="B43" s="436"/>
      <c r="C43" s="357" t="e">
        <f>R43</f>
        <v>#DIV/0!</v>
      </c>
      <c r="D43" s="357"/>
      <c r="E43" s="357"/>
      <c r="F43" s="357"/>
      <c r="G43" s="357"/>
      <c r="H43" s="357"/>
      <c r="I43" s="357"/>
      <c r="J43" s="357"/>
      <c r="K43" s="683"/>
      <c r="L43" s="996"/>
      <c r="M43" s="984"/>
      <c r="N43" s="984"/>
      <c r="O43" s="984"/>
      <c r="P43" s="3444" t="str">
        <f>A43</f>
        <v>估价对象XX用房的比较价值（楼面单价，元/平方米）</v>
      </c>
      <c r="Q43" s="3445"/>
      <c r="R43" s="3446" t="e">
        <f>IF(F1="售价",ROUND(IF(D42="简单平均",AVERAGE(R42:V42),R42*F42+T42*H42+V42*J42),0),ROUND(IF(D42="简单平均",AVERAGE(R42:V42),R42*F42+T42*H42+V42*J42),1))</f>
        <v>#DIV/0!</v>
      </c>
      <c r="S43" s="3446"/>
      <c r="T43" s="3446"/>
      <c r="U43" s="3446"/>
      <c r="V43" s="3446"/>
      <c r="W43" s="3446"/>
      <c r="X43" s="393"/>
      <c r="Y43" s="393"/>
      <c r="Z43" s="393"/>
      <c r="AA43" s="393"/>
      <c r="AB43" s="393"/>
      <c r="AC43" s="393"/>
    </row>
    <row r="44" spans="1:29">
      <c r="A44" s="2663"/>
      <c r="B44" s="2663"/>
      <c r="C44" s="2663"/>
      <c r="D44" s="2663"/>
      <c r="E44" s="2663"/>
      <c r="F44" s="2663"/>
      <c r="G44" s="2674"/>
      <c r="H44" s="2663"/>
      <c r="I44" s="2663"/>
      <c r="J44" s="2663"/>
      <c r="K44" s="2675"/>
      <c r="L44" s="960"/>
      <c r="M44" s="984"/>
      <c r="N44" s="984"/>
      <c r="O44" s="984"/>
    </row>
    <row r="45" spans="1:29">
      <c r="A45" s="2663"/>
      <c r="B45" s="2663"/>
      <c r="C45" s="2663"/>
      <c r="D45" s="2663"/>
      <c r="E45" s="2663"/>
      <c r="F45" s="2663"/>
      <c r="G45" s="2663"/>
      <c r="H45" s="2663"/>
      <c r="I45" s="2663"/>
      <c r="J45" s="2663"/>
      <c r="K45" s="2675"/>
      <c r="L45" s="960"/>
      <c r="M45" s="984"/>
      <c r="N45" s="984"/>
      <c r="O45" s="984"/>
    </row>
    <row r="46" spans="1:29" ht="13.5" customHeight="1">
      <c r="A46" s="2663"/>
      <c r="B46" s="2663"/>
      <c r="C46" s="440" t="s">
        <v>2424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5"/>
      <c r="L46" s="960"/>
      <c r="M46" s="984"/>
      <c r="N46" s="984"/>
      <c r="O46" s="984"/>
    </row>
    <row r="47" spans="1:29" ht="13.5" customHeight="1">
      <c r="A47" s="2663"/>
      <c r="B47" s="2663"/>
      <c r="C47" s="440" t="s">
        <v>2425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5"/>
      <c r="L47" s="960"/>
      <c r="M47" s="984"/>
      <c r="N47" s="984"/>
      <c r="O47" s="984"/>
    </row>
    <row r="48" spans="1:29" s="445" customFormat="1" ht="13.5" customHeight="1">
      <c r="A48" s="2673"/>
      <c r="B48" s="2673"/>
      <c r="C48" s="440" t="s">
        <v>2426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78"/>
      <c r="L48" s="999"/>
      <c r="M48" s="997"/>
      <c r="N48" s="997"/>
      <c r="O48" s="997"/>
    </row>
    <row r="49" spans="1:17" s="445" customFormat="1">
      <c r="A49" s="2673"/>
      <c r="B49" s="2676"/>
      <c r="C49" s="2677"/>
      <c r="D49" s="2673"/>
      <c r="E49" s="2673"/>
      <c r="F49" s="2673"/>
      <c r="G49" s="2673"/>
      <c r="H49" s="2673"/>
      <c r="I49" s="2673"/>
      <c r="J49" s="2673"/>
      <c r="K49" s="2678"/>
      <c r="L49" s="999"/>
      <c r="M49" s="997"/>
      <c r="N49" s="997"/>
      <c r="O49" s="997"/>
    </row>
    <row r="50" spans="1:17">
      <c r="A50" s="2663"/>
      <c r="B50" s="2676"/>
      <c r="C50" s="2677"/>
      <c r="D50" s="2663"/>
      <c r="E50" s="2663"/>
      <c r="F50" s="2663"/>
      <c r="G50" s="2663"/>
      <c r="H50" s="2663"/>
      <c r="I50" s="2663"/>
      <c r="J50" s="2663"/>
      <c r="K50" s="2675"/>
      <c r="L50" s="960"/>
      <c r="M50" s="984"/>
      <c r="N50" s="984"/>
      <c r="O50" s="984"/>
    </row>
    <row r="51" spans="1:17" ht="21.75" thickBot="1">
      <c r="A51" s="666" t="s">
        <v>2427</v>
      </c>
      <c r="B51" s="393"/>
      <c r="C51" s="667"/>
      <c r="D51" s="667"/>
      <c r="E51" s="667"/>
      <c r="F51" s="668"/>
      <c r="G51" s="668"/>
      <c r="H51" s="667"/>
      <c r="I51" s="667"/>
      <c r="J51" s="667"/>
      <c r="K51" s="1010"/>
      <c r="L51" s="1011"/>
      <c r="M51" s="1009"/>
      <c r="N51" s="1009"/>
      <c r="O51" s="1009"/>
      <c r="P51" s="446"/>
      <c r="Q51" s="447"/>
    </row>
    <row r="52" spans="1:17" s="450" customFormat="1" ht="15">
      <c r="A52" s="448" t="s">
        <v>2302</v>
      </c>
      <c r="B52" s="449"/>
      <c r="C52" s="1230" t="str">
        <f>YEAR(C7)&amp;"-"&amp;MONTH(C7)</f>
        <v>2014-2</v>
      </c>
      <c r="D52" s="1231">
        <f>EDATE(C52,-1)</f>
        <v>41640</v>
      </c>
      <c r="E52" s="1231">
        <f t="shared" ref="E52:O52" si="16">EDATE(D52,-1)</f>
        <v>41609</v>
      </c>
      <c r="F52" s="1231">
        <f t="shared" si="16"/>
        <v>41579</v>
      </c>
      <c r="G52" s="1231">
        <f t="shared" si="16"/>
        <v>41548</v>
      </c>
      <c r="H52" s="1231">
        <f t="shared" si="16"/>
        <v>41518</v>
      </c>
      <c r="I52" s="1231">
        <f t="shared" si="16"/>
        <v>41487</v>
      </c>
      <c r="J52" s="1231">
        <f t="shared" si="16"/>
        <v>41456</v>
      </c>
      <c r="K52" s="1231">
        <f t="shared" si="16"/>
        <v>41426</v>
      </c>
      <c r="L52" s="1231">
        <f t="shared" si="16"/>
        <v>41395</v>
      </c>
      <c r="M52" s="1231">
        <f t="shared" si="16"/>
        <v>41365</v>
      </c>
      <c r="N52" s="1231">
        <f t="shared" si="16"/>
        <v>41334</v>
      </c>
      <c r="O52" s="1231">
        <f t="shared" si="16"/>
        <v>41306</v>
      </c>
    </row>
    <row r="53" spans="1:17" s="107" customFormat="1" ht="15">
      <c r="A53" s="451"/>
      <c r="B53" s="452"/>
      <c r="C53" s="1229">
        <v>100</v>
      </c>
      <c r="D53" s="454"/>
      <c r="E53" s="454"/>
      <c r="F53" s="454"/>
      <c r="G53" s="454"/>
      <c r="H53" s="454"/>
      <c r="I53" s="454"/>
      <c r="J53" s="454"/>
      <c r="K53" s="454"/>
      <c r="L53" s="454"/>
      <c r="M53" s="455"/>
      <c r="N53" s="454"/>
      <c r="O53" s="456"/>
      <c r="P53" s="447"/>
    </row>
    <row r="54" spans="1:17" s="107" customFormat="1" ht="15.75" thickBot="1">
      <c r="A54" s="457" t="s">
        <v>2338</v>
      </c>
      <c r="B54" s="458"/>
      <c r="C54" s="459"/>
      <c r="D54" s="460"/>
      <c r="E54" s="460"/>
      <c r="F54" s="460"/>
      <c r="G54" s="460"/>
      <c r="H54" s="460"/>
      <c r="I54" s="460"/>
      <c r="J54" s="460"/>
      <c r="K54" s="460"/>
      <c r="L54" s="460"/>
      <c r="M54" s="461"/>
      <c r="N54" s="2714"/>
      <c r="O54" s="2715"/>
      <c r="P54" s="447"/>
      <c r="Q54" s="447"/>
    </row>
    <row r="55" spans="1:17" s="107" customFormat="1" ht="15">
      <c r="A55" s="463" t="s">
        <v>2304</v>
      </c>
      <c r="B55" s="452"/>
      <c r="C55" s="464" t="s">
        <v>2405</v>
      </c>
      <c r="D55" s="34"/>
      <c r="E55" s="34"/>
      <c r="F55" s="34"/>
      <c r="G55" s="34"/>
      <c r="H55" s="34"/>
      <c r="I55" s="34"/>
      <c r="J55" s="34"/>
      <c r="K55" s="34"/>
      <c r="L55" s="465"/>
      <c r="M55" s="466"/>
      <c r="N55" s="1001"/>
      <c r="O55" s="1001"/>
      <c r="P55" s="467"/>
      <c r="Q55" s="447"/>
    </row>
    <row r="56" spans="1:17" s="107" customFormat="1" ht="15.75" thickBot="1">
      <c r="A56" s="463"/>
      <c r="B56" s="452"/>
      <c r="C56" s="571">
        <v>100</v>
      </c>
      <c r="D56" s="454"/>
      <c r="E56" s="454"/>
      <c r="F56" s="454"/>
      <c r="G56" s="454"/>
      <c r="H56" s="454"/>
      <c r="I56" s="454"/>
      <c r="J56" s="454"/>
      <c r="K56" s="454"/>
      <c r="L56" s="454"/>
      <c r="M56" s="456"/>
      <c r="N56" s="1001"/>
      <c r="O56" s="1001"/>
      <c r="P56" s="447"/>
      <c r="Q56" s="447"/>
    </row>
    <row r="57" spans="1:17">
      <c r="A57" s="387" t="s">
        <v>2341</v>
      </c>
      <c r="B57" s="468" t="s">
        <v>2308</v>
      </c>
      <c r="C57" s="469">
        <f>C9</f>
        <v>0</v>
      </c>
      <c r="D57" s="470"/>
      <c r="E57" s="470"/>
      <c r="F57" s="470"/>
      <c r="G57" s="470"/>
      <c r="H57" s="470"/>
      <c r="I57" s="470"/>
      <c r="J57" s="470"/>
      <c r="K57" s="471"/>
      <c r="L57" s="472"/>
      <c r="M57" s="473"/>
      <c r="N57" s="1002"/>
      <c r="O57" s="1002"/>
      <c r="P57" s="43"/>
      <c r="Q57" s="447"/>
    </row>
    <row r="58" spans="1:17" ht="15.75" thickBot="1">
      <c r="A58" s="375"/>
      <c r="B58" s="474"/>
      <c r="C58" s="475">
        <v>100</v>
      </c>
      <c r="D58" s="475"/>
      <c r="E58" s="475"/>
      <c r="F58" s="475"/>
      <c r="G58" s="475"/>
      <c r="H58" s="475"/>
      <c r="I58" s="475"/>
      <c r="J58" s="475"/>
      <c r="K58" s="475"/>
      <c r="L58" s="475"/>
      <c r="M58" s="476"/>
      <c r="N58" s="1003"/>
      <c r="O58" s="1003"/>
      <c r="P58" s="43"/>
      <c r="Q58" s="447"/>
    </row>
    <row r="59" spans="1:17" ht="27.75" thickTop="1">
      <c r="A59" s="375"/>
      <c r="B59" s="477" t="s">
        <v>2311</v>
      </c>
      <c r="C59" s="478" t="s">
        <v>2342</v>
      </c>
      <c r="D59" s="478" t="s">
        <v>2343</v>
      </c>
      <c r="E59" s="478" t="s">
        <v>2344</v>
      </c>
      <c r="F59" s="478" t="s">
        <v>2345</v>
      </c>
      <c r="G59" s="478" t="s">
        <v>2346</v>
      </c>
      <c r="H59" s="478" t="s">
        <v>2347</v>
      </c>
      <c r="I59" s="478" t="s">
        <v>2348</v>
      </c>
      <c r="J59" s="478"/>
      <c r="K59" s="479"/>
      <c r="L59" s="480"/>
      <c r="M59" s="481"/>
      <c r="N59" s="1002"/>
      <c r="O59" s="1002"/>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1003"/>
      <c r="O60" s="1003"/>
      <c r="P60" s="43"/>
      <c r="Q60" s="447"/>
    </row>
    <row r="61" spans="1:17" ht="15.75" thickTop="1">
      <c r="A61" s="375"/>
      <c r="B61" s="485" t="s">
        <v>2312</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3"/>
      <c r="O61" s="1003"/>
      <c r="P61" s="43"/>
      <c r="Q61" s="447"/>
    </row>
    <row r="62" spans="1:17" ht="15">
      <c r="A62" s="375"/>
      <c r="B62" s="487"/>
      <c r="C62" s="488"/>
      <c r="D62" s="488"/>
      <c r="E62" s="488"/>
      <c r="F62" s="488"/>
      <c r="G62" s="488"/>
      <c r="H62" s="488"/>
      <c r="I62" s="488"/>
      <c r="J62" s="488"/>
      <c r="K62" s="489"/>
      <c r="L62" s="490"/>
      <c r="M62" s="491"/>
      <c r="N62" s="1002"/>
      <c r="O62" s="1002"/>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3"/>
      <c r="O63" s="1003"/>
      <c r="P63" s="43"/>
      <c r="Q63" s="447"/>
    </row>
    <row r="64" spans="1:17" s="416" customFormat="1" ht="15.75" thickTop="1">
      <c r="A64" s="492"/>
      <c r="B64" s="477">
        <f>B12</f>
        <v>111</v>
      </c>
      <c r="C64" s="493"/>
      <c r="D64" s="493"/>
      <c r="E64" s="493"/>
      <c r="F64" s="493"/>
      <c r="G64" s="493"/>
      <c r="H64" s="494"/>
      <c r="I64" s="494"/>
      <c r="J64" s="494"/>
      <c r="K64" s="494"/>
      <c r="L64" s="495"/>
      <c r="M64" s="496"/>
      <c r="N64" s="1004"/>
      <c r="O64" s="1004"/>
      <c r="P64" s="497"/>
      <c r="Q64" s="498"/>
    </row>
    <row r="65" spans="1:17" s="416" customFormat="1" ht="15.75" thickBot="1">
      <c r="A65" s="492"/>
      <c r="B65" s="482"/>
      <c r="C65" s="499"/>
      <c r="D65" s="475"/>
      <c r="E65" s="475"/>
      <c r="F65" s="475"/>
      <c r="G65" s="475"/>
      <c r="H65" s="475"/>
      <c r="I65" s="475"/>
      <c r="J65" s="475"/>
      <c r="K65" s="475"/>
      <c r="L65" s="475"/>
      <c r="M65" s="476"/>
      <c r="N65" s="1003"/>
      <c r="O65" s="1003"/>
      <c r="P65" s="497"/>
      <c r="Q65" s="498"/>
    </row>
    <row r="66" spans="1:17" s="416" customFormat="1" ht="15.75" thickTop="1">
      <c r="A66" s="492"/>
      <c r="B66" s="477">
        <f>B13</f>
        <v>111</v>
      </c>
      <c r="C66" s="493"/>
      <c r="D66" s="493"/>
      <c r="E66" s="493"/>
      <c r="F66" s="493"/>
      <c r="G66" s="493"/>
      <c r="H66" s="494"/>
      <c r="I66" s="494"/>
      <c r="J66" s="494"/>
      <c r="K66" s="494"/>
      <c r="L66" s="495"/>
      <c r="M66" s="496"/>
      <c r="N66" s="1004"/>
      <c r="O66" s="1004"/>
      <c r="Q66" s="500"/>
    </row>
    <row r="67" spans="1:17" s="416" customFormat="1" ht="15.75" thickBot="1">
      <c r="A67" s="492"/>
      <c r="B67" s="482"/>
      <c r="C67" s="499"/>
      <c r="D67" s="475"/>
      <c r="E67" s="475"/>
      <c r="F67" s="475"/>
      <c r="G67" s="499"/>
      <c r="H67" s="501"/>
      <c r="I67" s="501"/>
      <c r="J67" s="501"/>
      <c r="K67" s="501"/>
      <c r="L67" s="501"/>
      <c r="M67" s="502"/>
      <c r="N67" s="1004"/>
      <c r="O67" s="1004"/>
      <c r="P67" s="497"/>
      <c r="Q67" s="498"/>
    </row>
    <row r="68" spans="1:17" s="416" customFormat="1" ht="15.75" thickTop="1">
      <c r="A68" s="492"/>
      <c r="B68" s="485">
        <f>B14</f>
        <v>111</v>
      </c>
      <c r="C68" s="34"/>
      <c r="D68" s="34"/>
      <c r="E68" s="34"/>
      <c r="F68" s="34"/>
      <c r="G68" s="34"/>
      <c r="H68" s="503"/>
      <c r="I68" s="503"/>
      <c r="J68" s="503"/>
      <c r="K68" s="503"/>
      <c r="L68" s="504"/>
      <c r="M68" s="505"/>
      <c r="N68" s="1004"/>
      <c r="O68" s="1004"/>
      <c r="P68" s="506"/>
      <c r="Q68" s="498"/>
    </row>
    <row r="69" spans="1:17" s="416" customFormat="1" ht="15.75" thickBot="1">
      <c r="A69" s="507"/>
      <c r="B69" s="508"/>
      <c r="C69" s="509"/>
      <c r="D69" s="509"/>
      <c r="E69" s="509"/>
      <c r="F69" s="509"/>
      <c r="G69" s="509"/>
      <c r="H69" s="510"/>
      <c r="I69" s="510"/>
      <c r="J69" s="510"/>
      <c r="K69" s="510"/>
      <c r="L69" s="510"/>
      <c r="M69" s="511"/>
      <c r="N69" s="1004"/>
      <c r="O69" s="1004"/>
      <c r="P69" s="497"/>
      <c r="Q69" s="498"/>
    </row>
    <row r="70" spans="1:17">
      <c r="A70" s="387" t="s">
        <v>2313</v>
      </c>
      <c r="B70" s="468" t="s">
        <v>2458</v>
      </c>
      <c r="C70" s="512" t="s">
        <v>2350</v>
      </c>
      <c r="D70" s="512" t="s">
        <v>2351</v>
      </c>
      <c r="E70" s="512" t="s">
        <v>2352</v>
      </c>
      <c r="F70" s="512" t="s">
        <v>2353</v>
      </c>
      <c r="G70" s="512" t="s">
        <v>2354</v>
      </c>
      <c r="H70" s="469"/>
      <c r="I70" s="469"/>
      <c r="J70" s="469"/>
      <c r="K70" s="513"/>
      <c r="L70" s="514"/>
      <c r="M70" s="515"/>
      <c r="N70" s="1002"/>
      <c r="O70" s="1002"/>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1003"/>
      <c r="O71" s="1003"/>
      <c r="P71" s="43"/>
      <c r="Q71" s="447"/>
    </row>
    <row r="72" spans="1:17" ht="15.75" thickTop="1">
      <c r="A72" s="375"/>
      <c r="B72" s="477" t="s">
        <v>2355</v>
      </c>
      <c r="C72" s="517" t="s">
        <v>2350</v>
      </c>
      <c r="D72" s="517" t="s">
        <v>2351</v>
      </c>
      <c r="E72" s="517" t="s">
        <v>2352</v>
      </c>
      <c r="F72" s="517" t="s">
        <v>2353</v>
      </c>
      <c r="G72" s="517" t="s">
        <v>2354</v>
      </c>
      <c r="H72" s="478"/>
      <c r="I72" s="478"/>
      <c r="J72" s="478"/>
      <c r="K72" s="479"/>
      <c r="L72" s="480"/>
      <c r="M72" s="481"/>
      <c r="N72" s="1002"/>
      <c r="O72" s="1002"/>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1003"/>
      <c r="O73" s="1003"/>
      <c r="P73" s="43"/>
      <c r="Q73" s="447"/>
    </row>
    <row r="74" spans="1:17" ht="15.75" thickTop="1">
      <c r="A74" s="375"/>
      <c r="B74" s="477" t="s">
        <v>2356</v>
      </c>
      <c r="C74" s="517" t="s">
        <v>2350</v>
      </c>
      <c r="D74" s="517" t="s">
        <v>2351</v>
      </c>
      <c r="E74" s="517" t="s">
        <v>2352</v>
      </c>
      <c r="F74" s="517" t="s">
        <v>2353</v>
      </c>
      <c r="G74" s="517" t="s">
        <v>2354</v>
      </c>
      <c r="H74" s="478"/>
      <c r="I74" s="478"/>
      <c r="J74" s="478"/>
      <c r="K74" s="479"/>
      <c r="L74" s="480"/>
      <c r="M74" s="481"/>
      <c r="N74" s="1002"/>
      <c r="O74" s="1002"/>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1003"/>
      <c r="O75" s="1003"/>
      <c r="P75" s="43"/>
      <c r="Q75" s="447"/>
    </row>
    <row r="76" spans="1:17" ht="15.75" thickTop="1">
      <c r="A76" s="375"/>
      <c r="B76" s="485" t="s">
        <v>2442</v>
      </c>
      <c r="C76" s="589" t="s">
        <v>2428</v>
      </c>
      <c r="D76" s="589" t="s">
        <v>2429</v>
      </c>
      <c r="E76" s="589" t="s">
        <v>2430</v>
      </c>
      <c r="F76" s="589" t="s">
        <v>2431</v>
      </c>
      <c r="G76" s="589" t="s">
        <v>2432</v>
      </c>
      <c r="H76" s="478"/>
      <c r="I76" s="478"/>
      <c r="J76" s="478"/>
      <c r="K76" s="478"/>
      <c r="L76" s="478"/>
      <c r="M76" s="1190"/>
      <c r="N76" s="1003"/>
      <c r="O76" s="1003"/>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1003"/>
      <c r="O77" s="1003"/>
      <c r="P77" s="43"/>
      <c r="Q77" s="447"/>
    </row>
    <row r="78" spans="1:17" ht="15.75" thickTop="1">
      <c r="A78" s="375"/>
      <c r="B78" s="477" t="s">
        <v>2451</v>
      </c>
      <c r="C78" s="517" t="s">
        <v>2350</v>
      </c>
      <c r="D78" s="517" t="s">
        <v>2351</v>
      </c>
      <c r="E78" s="517" t="s">
        <v>2352</v>
      </c>
      <c r="F78" s="517" t="s">
        <v>2353</v>
      </c>
      <c r="G78" s="517" t="s">
        <v>2354</v>
      </c>
      <c r="H78" s="478"/>
      <c r="I78" s="478"/>
      <c r="J78" s="478"/>
      <c r="K78" s="479"/>
      <c r="L78" s="480"/>
      <c r="M78" s="481"/>
      <c r="N78" s="1002"/>
      <c r="O78" s="1002"/>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1003"/>
      <c r="O79" s="1003"/>
      <c r="P79" s="43"/>
      <c r="Q79" s="447"/>
    </row>
    <row r="80" spans="1:17" s="107" customFormat="1" ht="15.75" thickTop="1">
      <c r="A80" s="378"/>
      <c r="B80" s="477">
        <f>B25</f>
        <v>111</v>
      </c>
      <c r="C80" s="493"/>
      <c r="D80" s="493"/>
      <c r="E80" s="493"/>
      <c r="F80" s="493"/>
      <c r="G80" s="493"/>
      <c r="H80" s="493"/>
      <c r="I80" s="493"/>
      <c r="J80" s="493"/>
      <c r="K80" s="493"/>
      <c r="L80" s="518"/>
      <c r="M80" s="519"/>
      <c r="N80" s="1001"/>
      <c r="O80" s="1001"/>
      <c r="P80" s="43"/>
      <c r="Q80" s="447"/>
    </row>
    <row r="81" spans="1:17" s="107" customFormat="1" ht="15.75" thickBot="1">
      <c r="A81" s="378"/>
      <c r="B81" s="482"/>
      <c r="C81" s="499"/>
      <c r="D81" s="475"/>
      <c r="E81" s="475"/>
      <c r="F81" s="475"/>
      <c r="G81" s="475"/>
      <c r="H81" s="475"/>
      <c r="I81" s="475"/>
      <c r="J81" s="475"/>
      <c r="K81" s="475"/>
      <c r="L81" s="475"/>
      <c r="M81" s="476"/>
      <c r="N81" s="1003"/>
      <c r="O81" s="1003"/>
      <c r="P81" s="43"/>
      <c r="Q81" s="447"/>
    </row>
    <row r="82" spans="1:17" s="107" customFormat="1" ht="15.75" thickTop="1">
      <c r="A82" s="378"/>
      <c r="B82" s="477">
        <f>B26</f>
        <v>111</v>
      </c>
      <c r="C82" s="493"/>
      <c r="D82" s="493"/>
      <c r="E82" s="493"/>
      <c r="F82" s="493"/>
      <c r="G82" s="493"/>
      <c r="H82" s="493"/>
      <c r="I82" s="493"/>
      <c r="J82" s="493"/>
      <c r="K82" s="493"/>
      <c r="L82" s="518"/>
      <c r="M82" s="519"/>
      <c r="N82" s="1001"/>
      <c r="O82" s="1001"/>
      <c r="P82" s="43"/>
      <c r="Q82" s="447"/>
    </row>
    <row r="83" spans="1:17" s="107" customFormat="1" ht="15.75" thickBot="1">
      <c r="A83" s="378"/>
      <c r="B83" s="482"/>
      <c r="C83" s="499"/>
      <c r="D83" s="475"/>
      <c r="E83" s="475"/>
      <c r="F83" s="475"/>
      <c r="G83" s="475"/>
      <c r="H83" s="475"/>
      <c r="I83" s="475"/>
      <c r="J83" s="475"/>
      <c r="K83" s="475"/>
      <c r="L83" s="475"/>
      <c r="M83" s="476"/>
      <c r="N83" s="1003"/>
      <c r="O83" s="1003"/>
      <c r="P83" s="43"/>
      <c r="Q83" s="447"/>
    </row>
    <row r="84" spans="1:17" s="416" customFormat="1" ht="15.75" thickTop="1">
      <c r="A84" s="492"/>
      <c r="B84" s="477">
        <f>B27</f>
        <v>111</v>
      </c>
      <c r="C84" s="493"/>
      <c r="D84" s="493"/>
      <c r="E84" s="493"/>
      <c r="F84" s="493"/>
      <c r="G84" s="493"/>
      <c r="H84" s="493"/>
      <c r="I84" s="493"/>
      <c r="J84" s="493"/>
      <c r="K84" s="493"/>
      <c r="L84" s="518"/>
      <c r="M84" s="519"/>
      <c r="N84" s="1004"/>
      <c r="O84" s="1004"/>
      <c r="P84" s="497"/>
      <c r="Q84" s="498"/>
    </row>
    <row r="85" spans="1:17" s="416" customFormat="1" ht="15.75" thickBot="1">
      <c r="A85" s="492"/>
      <c r="B85" s="482"/>
      <c r="C85" s="499"/>
      <c r="D85" s="475"/>
      <c r="E85" s="475"/>
      <c r="F85" s="475"/>
      <c r="G85" s="475"/>
      <c r="H85" s="475"/>
      <c r="I85" s="475"/>
      <c r="J85" s="475"/>
      <c r="K85" s="475"/>
      <c r="L85" s="475"/>
      <c r="M85" s="476"/>
      <c r="N85" s="1004"/>
      <c r="O85" s="1004"/>
      <c r="P85" s="497"/>
      <c r="Q85" s="498"/>
    </row>
    <row r="86" spans="1:17" ht="15.75" thickTop="1">
      <c r="A86" s="375"/>
      <c r="B86" s="485">
        <f>B28</f>
        <v>111</v>
      </c>
      <c r="C86" s="34"/>
      <c r="D86" s="34"/>
      <c r="E86" s="34"/>
      <c r="F86" s="34"/>
      <c r="G86" s="525"/>
      <c r="H86" s="525"/>
      <c r="I86" s="525"/>
      <c r="J86" s="525"/>
      <c r="K86" s="526"/>
      <c r="L86" s="527"/>
      <c r="M86" s="528"/>
      <c r="N86" s="1002"/>
      <c r="O86" s="1002"/>
      <c r="P86" s="43"/>
      <c r="Q86" s="447"/>
    </row>
    <row r="87" spans="1:17" ht="15.75" thickBot="1">
      <c r="A87" s="383"/>
      <c r="B87" s="508"/>
      <c r="C87" s="509"/>
      <c r="D87" s="509"/>
      <c r="E87" s="509"/>
      <c r="F87" s="509"/>
      <c r="G87" s="529"/>
      <c r="H87" s="529"/>
      <c r="I87" s="529"/>
      <c r="J87" s="529"/>
      <c r="K87" s="529"/>
      <c r="L87" s="529"/>
      <c r="M87" s="530"/>
      <c r="N87" s="1003"/>
      <c r="O87" s="1003"/>
      <c r="P87" s="43"/>
      <c r="Q87" s="447"/>
    </row>
    <row r="88" spans="1:17">
      <c r="A88" s="387" t="s">
        <v>2317</v>
      </c>
      <c r="B88" s="468" t="s">
        <v>2365</v>
      </c>
      <c r="C88" s="470"/>
      <c r="D88" s="470"/>
      <c r="E88" s="470"/>
      <c r="F88" s="470"/>
      <c r="G88" s="470"/>
      <c r="H88" s="470"/>
      <c r="I88" s="470"/>
      <c r="J88" s="470"/>
      <c r="K88" s="471"/>
      <c r="L88" s="472"/>
      <c r="M88" s="473"/>
      <c r="N88" s="1002"/>
      <c r="O88" s="1002"/>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3"/>
      <c r="O89" s="1003"/>
      <c r="P89" s="43"/>
      <c r="Q89" s="447"/>
    </row>
    <row r="90" spans="1:17" ht="15.75" thickTop="1">
      <c r="A90" s="375"/>
      <c r="B90" s="477" t="s">
        <v>2366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1"/>
      <c r="O90" s="1001"/>
      <c r="P90" s="43"/>
      <c r="Q90" s="447"/>
    </row>
    <row r="91" spans="1:17" s="416" customFormat="1">
      <c r="A91" s="414"/>
      <c r="B91" s="531"/>
      <c r="C91" s="9"/>
      <c r="D91" s="9"/>
      <c r="E91" s="9"/>
      <c r="F91" s="9"/>
      <c r="G91" s="9"/>
      <c r="H91" s="9"/>
      <c r="I91" s="9"/>
      <c r="J91" s="532"/>
      <c r="K91" s="532"/>
      <c r="L91" s="533"/>
      <c r="M91" s="534"/>
      <c r="N91" s="1004"/>
      <c r="O91" s="1004"/>
      <c r="P91" s="497"/>
      <c r="Q91" s="498"/>
    </row>
    <row r="92" spans="1:17" s="416" customFormat="1" ht="15.75" thickBot="1">
      <c r="A92" s="492"/>
      <c r="B92" s="482"/>
      <c r="C92" s="499"/>
      <c r="D92" s="475"/>
      <c r="E92" s="475"/>
      <c r="F92" s="475"/>
      <c r="G92" s="475"/>
      <c r="H92" s="475"/>
      <c r="I92" s="475"/>
      <c r="J92" s="475"/>
      <c r="K92" s="475"/>
      <c r="L92" s="475"/>
      <c r="M92" s="476"/>
      <c r="N92" s="1003"/>
      <c r="O92" s="1003"/>
      <c r="P92" s="497"/>
      <c r="Q92" s="498"/>
    </row>
    <row r="93" spans="1:17" ht="15" thickTop="1">
      <c r="A93" s="417"/>
      <c r="B93" s="477" t="s">
        <v>2367</v>
      </c>
      <c r="C93" s="493"/>
      <c r="D93" s="493"/>
      <c r="E93" s="521"/>
      <c r="F93" s="521"/>
      <c r="G93" s="521"/>
      <c r="H93" s="521"/>
      <c r="I93" s="521"/>
      <c r="J93" s="521"/>
      <c r="K93" s="522"/>
      <c r="L93" s="523"/>
      <c r="M93" s="524"/>
      <c r="N93" s="1002"/>
      <c r="O93" s="1002"/>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3"/>
      <c r="O94" s="1003"/>
      <c r="P94" s="43"/>
      <c r="Q94" s="447"/>
    </row>
    <row r="95" spans="1:17" ht="15" thickTop="1">
      <c r="A95" s="417"/>
      <c r="B95" s="477" t="s">
        <v>2369</v>
      </c>
      <c r="C95" s="493"/>
      <c r="D95" s="493"/>
      <c r="E95" s="493"/>
      <c r="F95" s="521"/>
      <c r="G95" s="521"/>
      <c r="H95" s="521"/>
      <c r="I95" s="521"/>
      <c r="J95" s="521"/>
      <c r="K95" s="522"/>
      <c r="L95" s="523"/>
      <c r="M95" s="524"/>
      <c r="N95" s="1002"/>
      <c r="O95" s="1002"/>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3"/>
      <c r="O96" s="1003"/>
      <c r="P96" s="43"/>
      <c r="Q96" s="447"/>
    </row>
    <row r="97" spans="1:17" ht="1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2"/>
      <c r="O97" s="1002"/>
      <c r="P97" s="43"/>
      <c r="Q97" s="447"/>
    </row>
    <row r="98" spans="1:17">
      <c r="A98" s="417"/>
      <c r="B98" s="485"/>
      <c r="C98" s="538">
        <v>0.5</v>
      </c>
      <c r="D98" s="538">
        <v>0.6</v>
      </c>
      <c r="E98" s="538">
        <v>0.7</v>
      </c>
      <c r="F98" s="538">
        <v>0.8</v>
      </c>
      <c r="G98" s="538">
        <v>0.9</v>
      </c>
      <c r="H98" s="538">
        <v>1.0001</v>
      </c>
      <c r="I98" s="556"/>
      <c r="J98" s="556"/>
      <c r="K98" s="557"/>
      <c r="L98" s="558"/>
      <c r="M98" s="559"/>
      <c r="N98" s="1002"/>
      <c r="O98" s="1002"/>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3"/>
      <c r="O99" s="1003"/>
      <c r="P99" s="43"/>
      <c r="Q99" s="447"/>
    </row>
    <row r="100" spans="1:17" s="416" customFormat="1" ht="15" thickTop="1">
      <c r="A100" s="414"/>
      <c r="B100" s="477" t="s">
        <v>2370</v>
      </c>
      <c r="C100" s="493"/>
      <c r="D100" s="493"/>
      <c r="E100" s="493"/>
      <c r="F100" s="493"/>
      <c r="G100" s="493"/>
      <c r="H100" s="521"/>
      <c r="I100" s="521"/>
      <c r="J100" s="521"/>
      <c r="K100" s="522"/>
      <c r="L100" s="523"/>
      <c r="M100" s="524"/>
      <c r="N100" s="1004"/>
      <c r="O100" s="1004"/>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4"/>
      <c r="O101" s="1004"/>
      <c r="P101" s="497"/>
      <c r="Q101" s="498"/>
    </row>
    <row r="102" spans="1:17" ht="15" thickTop="1">
      <c r="A102" s="417"/>
      <c r="B102" s="477" t="s">
        <v>2371</v>
      </c>
      <c r="C102" s="493"/>
      <c r="D102" s="493"/>
      <c r="E102" s="493"/>
      <c r="F102" s="493"/>
      <c r="G102" s="493"/>
      <c r="H102" s="521"/>
      <c r="I102" s="521"/>
      <c r="J102" s="521"/>
      <c r="K102" s="522"/>
      <c r="L102" s="523"/>
      <c r="M102" s="524"/>
      <c r="N102" s="1002"/>
      <c r="O102" s="1002"/>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3"/>
      <c r="O103" s="1003"/>
      <c r="P103" s="43"/>
      <c r="Q103" s="447"/>
    </row>
    <row r="104" spans="1:17" ht="15" thickTop="1">
      <c r="A104" s="417"/>
      <c r="B104" s="477" t="s">
        <v>2373</v>
      </c>
      <c r="C104" s="493"/>
      <c r="D104" s="493"/>
      <c r="E104" s="493"/>
      <c r="F104" s="493"/>
      <c r="G104" s="493"/>
      <c r="H104" s="521"/>
      <c r="I104" s="521"/>
      <c r="J104" s="521"/>
      <c r="K104" s="522"/>
      <c r="L104" s="523"/>
      <c r="M104" s="524"/>
      <c r="N104" s="1002"/>
      <c r="O104" s="1002"/>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1003"/>
      <c r="O105" s="1003"/>
      <c r="P105" s="43"/>
      <c r="Q105" s="447"/>
    </row>
    <row r="106" spans="1:17" ht="15" thickTop="1">
      <c r="A106" s="417"/>
      <c r="B106" s="568" t="s">
        <v>2459</v>
      </c>
      <c r="C106" s="517" t="s">
        <v>2350</v>
      </c>
      <c r="D106" s="517" t="s">
        <v>2351</v>
      </c>
      <c r="E106" s="517" t="s">
        <v>2352</v>
      </c>
      <c r="F106" s="517" t="s">
        <v>2353</v>
      </c>
      <c r="G106" s="517" t="s">
        <v>2354</v>
      </c>
      <c r="H106" s="478"/>
      <c r="I106" s="478"/>
      <c r="J106" s="478"/>
      <c r="K106" s="479"/>
      <c r="L106" s="480"/>
      <c r="M106" s="481"/>
      <c r="N106" s="1003"/>
      <c r="O106" s="1003"/>
      <c r="P106" s="569"/>
      <c r="Q106" s="570"/>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3"/>
      <c r="O107" s="1003"/>
      <c r="P107" s="43"/>
      <c r="Q107" s="447"/>
    </row>
    <row r="108" spans="1:17" s="416" customFormat="1" ht="15" thickTop="1">
      <c r="A108" s="414"/>
      <c r="B108" s="477">
        <f>B38</f>
        <v>111</v>
      </c>
      <c r="C108" s="493"/>
      <c r="D108" s="493"/>
      <c r="E108" s="493"/>
      <c r="F108" s="493"/>
      <c r="G108" s="493"/>
      <c r="H108" s="494"/>
      <c r="I108" s="494"/>
      <c r="J108" s="494"/>
      <c r="K108" s="494"/>
      <c r="L108" s="495"/>
      <c r="M108" s="496"/>
      <c r="N108" s="1004"/>
      <c r="O108" s="1004"/>
      <c r="P108" s="497"/>
      <c r="Q108" s="498"/>
    </row>
    <row r="109" spans="1:17" s="416" customFormat="1" ht="15.75" thickBot="1">
      <c r="A109" s="492"/>
      <c r="B109" s="474"/>
      <c r="C109" s="499"/>
      <c r="D109" s="475"/>
      <c r="E109" s="475"/>
      <c r="F109" s="475"/>
      <c r="G109" s="499"/>
      <c r="H109" s="501"/>
      <c r="I109" s="501"/>
      <c r="J109" s="501"/>
      <c r="K109" s="501"/>
      <c r="L109" s="501"/>
      <c r="M109" s="502"/>
      <c r="N109" s="1004"/>
      <c r="O109" s="1004"/>
      <c r="P109" s="497"/>
      <c r="Q109" s="498"/>
    </row>
    <row r="110" spans="1:17" ht="15" thickTop="1">
      <c r="A110" s="417"/>
      <c r="B110" s="477">
        <f>B39</f>
        <v>111</v>
      </c>
      <c r="C110" s="493"/>
      <c r="D110" s="493"/>
      <c r="E110" s="493"/>
      <c r="F110" s="493"/>
      <c r="G110" s="493"/>
      <c r="H110" s="494"/>
      <c r="I110" s="494"/>
      <c r="J110" s="494"/>
      <c r="K110" s="494"/>
      <c r="L110" s="495"/>
      <c r="M110" s="496"/>
      <c r="N110" s="1002"/>
      <c r="O110" s="1002"/>
      <c r="P110" s="43"/>
      <c r="Q110" s="447"/>
    </row>
    <row r="111" spans="1:17" ht="15.75" thickBot="1">
      <c r="A111" s="375"/>
      <c r="B111" s="482"/>
      <c r="C111" s="499"/>
      <c r="D111" s="475"/>
      <c r="E111" s="475"/>
      <c r="F111" s="475"/>
      <c r="G111" s="499"/>
      <c r="H111" s="501"/>
      <c r="I111" s="501"/>
      <c r="J111" s="501"/>
      <c r="K111" s="501"/>
      <c r="L111" s="501"/>
      <c r="M111" s="502"/>
      <c r="N111" s="1003"/>
      <c r="O111" s="1003"/>
      <c r="P111" s="43"/>
      <c r="Q111" s="447"/>
    </row>
    <row r="112" spans="1:17" ht="15" thickTop="1">
      <c r="A112" s="417"/>
      <c r="B112" s="485">
        <f>B40</f>
        <v>111</v>
      </c>
      <c r="C112" s="34"/>
      <c r="D112" s="34"/>
      <c r="E112" s="34"/>
      <c r="F112" s="34"/>
      <c r="G112" s="525"/>
      <c r="H112" s="525"/>
      <c r="I112" s="525"/>
      <c r="J112" s="525"/>
      <c r="K112" s="34"/>
      <c r="L112" s="465"/>
      <c r="M112" s="528"/>
      <c r="N112" s="1002"/>
      <c r="O112" s="1002"/>
      <c r="P112" s="43"/>
      <c r="Q112" s="447"/>
    </row>
    <row r="113" spans="1:17" ht="15.75" thickBot="1">
      <c r="A113" s="383"/>
      <c r="B113" s="508"/>
      <c r="C113" s="509"/>
      <c r="D113" s="509"/>
      <c r="E113" s="509"/>
      <c r="F113" s="509"/>
      <c r="G113" s="529"/>
      <c r="H113" s="529"/>
      <c r="I113" s="529"/>
      <c r="J113" s="529"/>
      <c r="K113" s="529"/>
      <c r="L113" s="529"/>
      <c r="M113" s="530"/>
      <c r="N113" s="1003"/>
      <c r="O113" s="1003"/>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76"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2460</v>
      </c>
      <c r="B1" s="1272"/>
      <c r="C1" s="1273" t="s">
        <v>2285</v>
      </c>
      <c r="D1" s="1274"/>
      <c r="E1" s="1275"/>
      <c r="F1" s="1879"/>
      <c r="G1" s="1276" t="s">
        <v>2396</v>
      </c>
      <c r="H1" s="1275"/>
      <c r="I1" s="1275"/>
      <c r="J1" s="1275"/>
      <c r="K1" s="1277"/>
      <c r="L1" s="1278"/>
      <c r="M1" s="1279"/>
      <c r="N1" s="1279"/>
      <c r="O1" s="1279"/>
      <c r="P1" s="1280"/>
      <c r="Q1" s="1273"/>
      <c r="R1" s="1273"/>
      <c r="S1" s="1273"/>
      <c r="T1" s="1273"/>
      <c r="U1" s="1273"/>
      <c r="V1" s="1273"/>
      <c r="W1" s="1273"/>
      <c r="X1" s="1273"/>
      <c r="Y1" s="1273"/>
      <c r="Z1" s="1273"/>
      <c r="AA1" s="1273"/>
      <c r="AB1" s="1273"/>
      <c r="AC1" s="1281"/>
    </row>
    <row r="2" spans="1:29" s="348" customFormat="1" ht="28.5" customHeight="1" thickTop="1">
      <c r="A2" s="1270" t="s">
        <v>2082</v>
      </c>
      <c r="B2" s="1212" t="e">
        <f ca="1">IF(C2="——",IF(B37="元/平方米",ROUND(C39*D3/10000,0),ROUND(F3*C39/10000,0)),IF(B37="元/平方米",ROUND(C39*D3/10000,0),ROUND(F3*C39/10000,0))-D2)</f>
        <v>#DIV/0!</v>
      </c>
      <c r="C2" s="1881"/>
      <c r="D2" s="977" t="e">
        <f ca="1">SUMIF(INDIRECT("'"&amp;F2&amp;"'"&amp;"!A:A"),"承租人权益价值",INDIRECT("'"&amp;F2&amp;"'"&amp;"!c:c"))</f>
        <v>#REF!</v>
      </c>
      <c r="E2" s="1882" t="s">
        <v>2083</v>
      </c>
      <c r="F2" s="1883"/>
      <c r="G2" s="978"/>
      <c r="H2" s="978"/>
      <c r="I2" s="978"/>
      <c r="J2" s="978"/>
      <c r="K2" s="980"/>
      <c r="L2" s="2679"/>
      <c r="M2" s="2680"/>
      <c r="N2" s="2680"/>
      <c r="O2" s="2680"/>
      <c r="P2" s="1213"/>
      <c r="Q2" s="347"/>
      <c r="R2" s="347"/>
      <c r="S2" s="347"/>
      <c r="T2" s="347"/>
      <c r="U2" s="347"/>
      <c r="V2" s="347"/>
      <c r="W2" s="347"/>
      <c r="X2" s="347"/>
      <c r="Y2" s="347"/>
      <c r="Z2" s="347"/>
      <c r="AA2" s="347"/>
      <c r="AB2" s="347"/>
      <c r="AC2" s="671"/>
    </row>
    <row r="3" spans="1:29" s="348" customFormat="1" ht="28.5" customHeight="1" thickBot="1">
      <c r="A3" s="201" t="s">
        <v>2084</v>
      </c>
      <c r="B3" s="544" t="e">
        <f ca="1">IF(AND(C2="——",B37="元/平方米"),C39,ROUND(B2*10000/D3,0))</f>
        <v>#DIV/0!</v>
      </c>
      <c r="C3" s="350" t="s">
        <v>2397</v>
      </c>
      <c r="D3" s="349">
        <f>SUMIF('数据-汇总表'!$C19:$C33,D1,'数据-汇总表'!$E19:$E33)</f>
        <v>0</v>
      </c>
      <c r="E3" s="350" t="s">
        <v>2461</v>
      </c>
      <c r="F3" s="349">
        <f>SUMIF('数据-取费表'!A5:A15,D1,'数据-取费表'!AH5:AH15)</f>
        <v>0</v>
      </c>
      <c r="G3" s="978"/>
      <c r="H3" s="978"/>
      <c r="I3" s="978"/>
      <c r="J3" s="978"/>
      <c r="K3" s="980"/>
      <c r="L3" s="2679"/>
      <c r="M3" s="2680"/>
      <c r="N3" s="2680"/>
      <c r="O3" s="2680"/>
      <c r="P3" s="1213"/>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SUMIF(48:48,YEAR(E7)&amp;"-"&amp;MONTH(E7),49:49)</f>
        <v>0</v>
      </c>
      <c r="G7" s="362"/>
      <c r="H7" s="361">
        <f>SUMIF(48:48,YEAR(G7)&amp;"-"&amp;MONTH(G7),49:49)</f>
        <v>0</v>
      </c>
      <c r="I7" s="362"/>
      <c r="J7" s="361">
        <f>SUMIF(48:48,YEAR(I7)&amp;"-"&amp;MONTH(I7),49:49)</f>
        <v>0</v>
      </c>
      <c r="K7" s="41"/>
      <c r="L7" s="2664"/>
      <c r="M7" s="2613"/>
      <c r="N7" s="2613"/>
      <c r="O7" s="2613"/>
      <c r="P7" s="3391" t="s">
        <v>2303</v>
      </c>
      <c r="Q7" s="3392"/>
      <c r="R7" s="672" t="s">
        <v>17</v>
      </c>
      <c r="S7" s="673">
        <f t="shared" ref="S7:S14" si="0">F7</f>
        <v>0</v>
      </c>
      <c r="T7" s="672" t="s">
        <v>17</v>
      </c>
      <c r="U7" s="673">
        <f t="shared" ref="U7:U14" si="1">H7</f>
        <v>0</v>
      </c>
      <c r="V7" s="672" t="s">
        <v>17</v>
      </c>
      <c r="W7" s="673">
        <f t="shared" ref="W7:W14" si="2">J7</f>
        <v>0</v>
      </c>
      <c r="X7" s="674"/>
      <c r="Y7" s="3391" t="s">
        <v>2303</v>
      </c>
      <c r="Z7" s="3390"/>
      <c r="AA7" s="53" t="e">
        <f>D7/F7</f>
        <v>#DIV/0!</v>
      </c>
      <c r="AB7" s="53" t="e">
        <f>D7/H7</f>
        <v>#DIV/0!</v>
      </c>
      <c r="AC7" s="53" t="e">
        <f>D7/J7</f>
        <v>#DIV/0!</v>
      </c>
    </row>
    <row r="8" spans="1:29" s="107" customFormat="1" ht="15.75" thickBot="1">
      <c r="A8" s="358" t="s">
        <v>2304</v>
      </c>
      <c r="B8" s="359"/>
      <c r="C8" s="364" t="s">
        <v>2405</v>
      </c>
      <c r="D8" s="361">
        <v>100</v>
      </c>
      <c r="E8" s="364"/>
      <c r="F8" s="363">
        <f>SUMIF(51:51,E8,52:52)-SUMIF(51:51,C8,52:52)+100</f>
        <v>0</v>
      </c>
      <c r="G8" s="364"/>
      <c r="H8" s="361">
        <f>SUMIF(51:51,G8,52:52)-SUMIF(51:51,C8,52:52)+100</f>
        <v>0</v>
      </c>
      <c r="I8" s="364"/>
      <c r="J8" s="361">
        <f>SUMIF(51:51,I8,52:52)-SUMIF(51:51,C8,52:52)+100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36" si="3">D8/F8</f>
        <v>#DIV/0!</v>
      </c>
      <c r="AB8" s="53" t="e">
        <f t="shared" ref="AB8:AB36" si="4">D8/H8</f>
        <v>#DIV/0!</v>
      </c>
      <c r="AC8" s="53" t="e">
        <f t="shared" ref="AC8:AC36" si="5">D8/J8</f>
        <v>#DIV/0!</v>
      </c>
    </row>
    <row r="9" spans="1:29" s="107" customFormat="1">
      <c r="A9" s="61" t="s">
        <v>2307</v>
      </c>
      <c r="B9" s="572" t="s">
        <v>2308</v>
      </c>
      <c r="C9" s="366"/>
      <c r="D9" s="63">
        <v>100</v>
      </c>
      <c r="E9" s="368"/>
      <c r="F9" s="63">
        <f>SUMIF(53:53,E9,54:54)-SUMIF(53:53,C9,54:54)+100</f>
        <v>100</v>
      </c>
      <c r="G9" s="367"/>
      <c r="H9" s="63">
        <f>SUMIF(53:53,G9,54:54)-SUMIF(53:53,C9,54:54)+100</f>
        <v>100</v>
      </c>
      <c r="I9" s="367"/>
      <c r="J9" s="63">
        <f>SUMIF(53:53,I9,54:54)-SUMIF(53:53,C9,54:54)+100</f>
        <v>100</v>
      </c>
      <c r="K9" s="41"/>
      <c r="L9" s="2664"/>
      <c r="M9" s="2613"/>
      <c r="N9" s="2613"/>
      <c r="O9" s="2613"/>
      <c r="P9" s="3351" t="s">
        <v>2309</v>
      </c>
      <c r="Q9" s="538" t="str">
        <f t="shared" ref="Q9:Q14" si="6">B9</f>
        <v>用途</v>
      </c>
      <c r="R9" s="672" t="s">
        <v>17</v>
      </c>
      <c r="S9" s="673">
        <f t="shared" si="0"/>
        <v>100</v>
      </c>
      <c r="T9" s="672" t="s">
        <v>17</v>
      </c>
      <c r="U9" s="673">
        <f t="shared" si="1"/>
        <v>100</v>
      </c>
      <c r="V9" s="672" t="s">
        <v>17</v>
      </c>
      <c r="W9" s="673">
        <f t="shared" si="2"/>
        <v>100</v>
      </c>
      <c r="X9" s="674"/>
      <c r="Y9" s="3225" t="s">
        <v>2310</v>
      </c>
      <c r="Z9" s="53" t="str">
        <f t="shared" ref="Z9:Z14" si="7">Q9</f>
        <v>用途</v>
      </c>
      <c r="AA9" s="53">
        <f t="shared" si="3"/>
        <v>1</v>
      </c>
      <c r="AB9" s="53">
        <f t="shared" si="4"/>
        <v>1</v>
      </c>
      <c r="AC9" s="53">
        <f t="shared" si="5"/>
        <v>1</v>
      </c>
    </row>
    <row r="10" spans="1:29" s="374" customFormat="1" ht="27">
      <c r="A10" s="573"/>
      <c r="B10" s="574" t="s">
        <v>2311</v>
      </c>
      <c r="C10" s="371"/>
      <c r="D10" s="124">
        <v>100</v>
      </c>
      <c r="E10" s="371"/>
      <c r="F10" s="124">
        <f>SUMIF(55:55,E10,56:56)-SUMIF(55:55,C10,56:56)+100</f>
        <v>100</v>
      </c>
      <c r="G10" s="372"/>
      <c r="H10" s="124">
        <f>SUMIF(55:55,G10,56:56)-SUMIF(55:55,C10,56:56)+100</f>
        <v>100</v>
      </c>
      <c r="I10" s="371"/>
      <c r="J10" s="124">
        <f>SUMIF(55:55,I10,56:56)-SUMIF(55:55,C10,56:56)+100</f>
        <v>100</v>
      </c>
      <c r="K10" s="546"/>
      <c r="L10" s="2665"/>
      <c r="M10" s="2666"/>
      <c r="N10" s="2666"/>
      <c r="O10" s="2666"/>
      <c r="P10" s="3351"/>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67"/>
      <c r="M11" s="2663"/>
      <c r="N11" s="2663"/>
      <c r="O11" s="2663"/>
      <c r="P11" s="3351"/>
      <c r="Q11" s="538">
        <f t="shared" si="6"/>
        <v>111</v>
      </c>
      <c r="R11" s="672" t="s">
        <v>17</v>
      </c>
      <c r="S11" s="673">
        <f t="shared" si="0"/>
        <v>100</v>
      </c>
      <c r="T11" s="672" t="s">
        <v>17</v>
      </c>
      <c r="U11" s="673">
        <f t="shared" si="1"/>
        <v>100</v>
      </c>
      <c r="V11" s="672" t="s">
        <v>17</v>
      </c>
      <c r="W11" s="673">
        <f t="shared" si="2"/>
        <v>100</v>
      </c>
      <c r="X11" s="674"/>
      <c r="Y11" s="3225"/>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64"/>
      <c r="M12" s="2613"/>
      <c r="N12" s="2613"/>
      <c r="O12" s="2613"/>
      <c r="P12" s="3351"/>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68"/>
      <c r="M13" s="2663"/>
      <c r="N13" s="2663"/>
      <c r="O13" s="2663"/>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99.75">
      <c r="A14" s="351" t="s">
        <v>2313</v>
      </c>
      <c r="B14" s="562" t="s">
        <v>2462</v>
      </c>
      <c r="C14" s="1961" t="str">
        <f>IF(B1="工业",估价对象房地状况!G4,估价对象房地状况!C6)</f>
        <v>周边有315路、607路、629路等多条公交线路及地铁8号线育新站，综合评价交通便捷度较好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68"/>
      <c r="M14" s="2663"/>
      <c r="N14" s="2663"/>
      <c r="O14" s="2663"/>
      <c r="P14" s="3358" t="s">
        <v>2314</v>
      </c>
      <c r="Q14" s="1407" t="str">
        <f t="shared" si="6"/>
        <v>交通便捷度</v>
      </c>
      <c r="R14" s="675" t="s">
        <v>17</v>
      </c>
      <c r="S14" s="676">
        <f t="shared" si="0"/>
        <v>100</v>
      </c>
      <c r="T14" s="675" t="s">
        <v>17</v>
      </c>
      <c r="U14" s="676">
        <f t="shared" si="1"/>
        <v>100</v>
      </c>
      <c r="V14" s="675" t="s">
        <v>17</v>
      </c>
      <c r="W14" s="676">
        <f t="shared" si="2"/>
        <v>100</v>
      </c>
      <c r="X14" s="1409"/>
      <c r="Y14" s="3358" t="s">
        <v>2314</v>
      </c>
      <c r="Z14" s="1408" t="str">
        <f t="shared" si="7"/>
        <v>交通便捷度</v>
      </c>
      <c r="AA14" s="1408">
        <f t="shared" si="3"/>
        <v>1</v>
      </c>
      <c r="AB14" s="1408">
        <f t="shared" si="4"/>
        <v>1</v>
      </c>
      <c r="AC14" s="1408">
        <f t="shared" si="5"/>
        <v>1</v>
      </c>
    </row>
    <row r="15" spans="1:29" ht="15">
      <c r="A15" s="354"/>
      <c r="B15" s="579"/>
      <c r="C15" s="394"/>
      <c r="D15" s="395"/>
      <c r="E15" s="394"/>
      <c r="F15" s="396"/>
      <c r="G15" s="394"/>
      <c r="H15" s="397"/>
      <c r="I15" s="394"/>
      <c r="J15" s="395"/>
      <c r="K15" s="549"/>
      <c r="L15" s="2668"/>
      <c r="M15" s="2663"/>
      <c r="N15" s="2663"/>
      <c r="O15" s="2663"/>
      <c r="P15" s="3359"/>
      <c r="Q15" s="1407"/>
      <c r="R15" s="675"/>
      <c r="S15" s="676"/>
      <c r="T15" s="675"/>
      <c r="U15" s="676"/>
      <c r="V15" s="675"/>
      <c r="W15" s="676"/>
      <c r="X15" s="1409"/>
      <c r="Y15" s="3359"/>
      <c r="Z15" s="1408"/>
      <c r="AA15" s="1408">
        <v>1</v>
      </c>
      <c r="AB15" s="1408">
        <v>1</v>
      </c>
      <c r="AC15" s="1408">
        <v>1</v>
      </c>
    </row>
    <row r="16" spans="1:29" ht="256.5">
      <c r="A16" s="354"/>
      <c r="B16" s="564" t="s">
        <v>2441</v>
      </c>
      <c r="C16" s="1898" t="str">
        <f>IF(B1="工业",估价对象房地状况!G5,估价对象房地状况!C7)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6" s="402">
        <v>100</v>
      </c>
      <c r="E16" s="404"/>
      <c r="F16" s="405">
        <f>SUMIF(65:65,E17,66:66)-SUMIF(65:65,C17,66:66)+100</f>
        <v>100</v>
      </c>
      <c r="G16" s="406"/>
      <c r="H16" s="402">
        <f>SUMIF(65:65,G17,66:66)-SUMIF(65:65,C17,66:66)+100</f>
        <v>100</v>
      </c>
      <c r="I16" s="404"/>
      <c r="J16" s="402">
        <f>SUMIF(65:65,I17,66:66)-SUMIF(65:65,C17,66:66)+100</f>
        <v>100</v>
      </c>
      <c r="K16" s="548"/>
      <c r="L16" s="2668"/>
      <c r="M16" s="2663"/>
      <c r="N16" s="2663"/>
      <c r="O16" s="2663"/>
      <c r="P16" s="3359"/>
      <c r="Q16" s="1407" t="str">
        <f>B16</f>
        <v>公共配套设施</v>
      </c>
      <c r="R16" s="675" t="s">
        <v>17</v>
      </c>
      <c r="S16" s="676">
        <f>F16</f>
        <v>100</v>
      </c>
      <c r="T16" s="675" t="s">
        <v>17</v>
      </c>
      <c r="U16" s="676">
        <f>H16</f>
        <v>100</v>
      </c>
      <c r="V16" s="675" t="s">
        <v>17</v>
      </c>
      <c r="W16" s="676">
        <f>J16</f>
        <v>100</v>
      </c>
      <c r="X16" s="1409"/>
      <c r="Y16" s="3359"/>
      <c r="Z16" s="1408" t="str">
        <f>Q16</f>
        <v>公共配套设施</v>
      </c>
      <c r="AA16" s="1408">
        <f t="shared" si="3"/>
        <v>1</v>
      </c>
      <c r="AB16" s="1408">
        <f t="shared" si="4"/>
        <v>1</v>
      </c>
      <c r="AC16" s="1408">
        <f t="shared" si="5"/>
        <v>1</v>
      </c>
    </row>
    <row r="17" spans="1:29" ht="15">
      <c r="A17" s="354"/>
      <c r="B17" s="409"/>
      <c r="C17" s="1899"/>
      <c r="D17" s="395"/>
      <c r="E17" s="394"/>
      <c r="F17" s="396"/>
      <c r="G17" s="394"/>
      <c r="H17" s="395"/>
      <c r="I17" s="394"/>
      <c r="J17" s="395"/>
      <c r="K17" s="549"/>
      <c r="L17" s="2668"/>
      <c r="M17" s="2663"/>
      <c r="N17" s="2663"/>
      <c r="O17" s="2663"/>
      <c r="P17" s="3359"/>
      <c r="Q17" s="1407"/>
      <c r="R17" s="675"/>
      <c r="S17" s="676"/>
      <c r="T17" s="675"/>
      <c r="U17" s="676"/>
      <c r="V17" s="675"/>
      <c r="W17" s="676"/>
      <c r="X17" s="1409"/>
      <c r="Y17" s="3359"/>
      <c r="Z17" s="1408"/>
      <c r="AA17" s="1408">
        <v>1</v>
      </c>
      <c r="AB17" s="1408">
        <v>1</v>
      </c>
      <c r="AC17" s="1408">
        <v>1</v>
      </c>
    </row>
    <row r="18" spans="1:29" ht="15">
      <c r="A18" s="354"/>
      <c r="B18" s="565" t="s">
        <v>2442</v>
      </c>
      <c r="C18" s="1898" t="str">
        <f>IF(B1="工业",估价对象房地状况!G6,估价对象房地状况!C8)</f>
        <v>七通</v>
      </c>
      <c r="D18" s="397">
        <v>100</v>
      </c>
      <c r="E18" s="399"/>
      <c r="F18" s="405">
        <f>SUMIF(67:67,E19,68:68)-SUMIF(67:67,C19,68:68)+100</f>
        <v>100</v>
      </c>
      <c r="G18" s="401"/>
      <c r="H18" s="402">
        <f>SUMIF(67:67,G19,68:68)-SUMIF(67:67,C19,68:68)+100</f>
        <v>100</v>
      </c>
      <c r="I18" s="399"/>
      <c r="J18" s="402">
        <f>SUMIF(67:67,I19,68:68)-SUMIF(67:67,C19,68:68)+100</f>
        <v>100</v>
      </c>
      <c r="K18" s="548"/>
      <c r="L18" s="2668"/>
      <c r="M18" s="2663"/>
      <c r="N18" s="2663"/>
      <c r="O18" s="2663"/>
      <c r="P18" s="3359"/>
      <c r="Q18" s="1407" t="str">
        <f>B18</f>
        <v>基础设施水平</v>
      </c>
      <c r="R18" s="675" t="s">
        <v>17</v>
      </c>
      <c r="S18" s="676">
        <f>F18</f>
        <v>100</v>
      </c>
      <c r="T18" s="675" t="s">
        <v>17</v>
      </c>
      <c r="U18" s="676">
        <f>H18</f>
        <v>100</v>
      </c>
      <c r="V18" s="675" t="s">
        <v>17</v>
      </c>
      <c r="W18" s="676">
        <f>J18</f>
        <v>100</v>
      </c>
      <c r="X18" s="1409"/>
      <c r="Y18" s="3359"/>
      <c r="Z18" s="1408" t="str">
        <f>Q18</f>
        <v>基础设施水平</v>
      </c>
      <c r="AA18" s="1408">
        <f t="shared" ref="AA18" si="8">D18/F18</f>
        <v>1</v>
      </c>
      <c r="AB18" s="1408">
        <f t="shared" ref="AB18" si="9">D18/H18</f>
        <v>1</v>
      </c>
      <c r="AC18" s="1408">
        <f t="shared" ref="AC18" si="10">D18/J18</f>
        <v>1</v>
      </c>
    </row>
    <row r="19" spans="1:29" ht="15">
      <c r="A19" s="354"/>
      <c r="B19" s="565"/>
      <c r="C19" s="1899"/>
      <c r="D19" s="397"/>
      <c r="E19" s="1899"/>
      <c r="F19" s="400"/>
      <c r="G19" s="1899"/>
      <c r="H19" s="395"/>
      <c r="I19" s="394"/>
      <c r="J19" s="395"/>
      <c r="K19" s="1191"/>
      <c r="L19" s="2668"/>
      <c r="M19" s="2663"/>
      <c r="N19" s="2663"/>
      <c r="O19" s="2663"/>
      <c r="P19" s="3359"/>
      <c r="Q19" s="1407"/>
      <c r="R19" s="675"/>
      <c r="S19" s="676"/>
      <c r="T19" s="675"/>
      <c r="U19" s="676"/>
      <c r="V19" s="675"/>
      <c r="W19" s="676"/>
      <c r="X19" s="1409"/>
      <c r="Y19" s="3359"/>
      <c r="Z19" s="1408"/>
      <c r="AA19" s="1408">
        <v>1</v>
      </c>
      <c r="AB19" s="1408">
        <v>1</v>
      </c>
      <c r="AC19" s="1408">
        <v>1</v>
      </c>
    </row>
    <row r="20" spans="1:29" ht="42.75">
      <c r="A20" s="354"/>
      <c r="B20" s="564" t="s">
        <v>2463</v>
      </c>
      <c r="C20" s="1898" t="str">
        <f>IF(B1="工业",估价对象房地状况!G7,估价对象房地状况!C9)</f>
        <v>周边绿化以街区级绿化为主，一般</v>
      </c>
      <c r="D20" s="402">
        <v>100</v>
      </c>
      <c r="E20" s="404"/>
      <c r="F20" s="405">
        <f>SUMIF(69:69,E21,70:70)-SUMIF(69:69,C21,70:70)+100</f>
        <v>100</v>
      </c>
      <c r="G20" s="406"/>
      <c r="H20" s="397">
        <f>SUMIF(69:69,G21,70:70)-SUMIF(69:69,C21,70:70)+100</f>
        <v>100</v>
      </c>
      <c r="I20" s="399"/>
      <c r="J20" s="397">
        <f>SUMIF(69:69,I21,70:70)-SUMIF(69:69,C21,70:70)+100</f>
        <v>100</v>
      </c>
      <c r="K20" s="548"/>
      <c r="L20" s="2668"/>
      <c r="M20" s="2663"/>
      <c r="N20" s="2663"/>
      <c r="O20" s="2663"/>
      <c r="P20" s="3359"/>
      <c r="Q20" s="1407" t="str">
        <f>B20</f>
        <v>自然及人文环境</v>
      </c>
      <c r="R20" s="675" t="s">
        <v>17</v>
      </c>
      <c r="S20" s="676">
        <f>F20</f>
        <v>100</v>
      </c>
      <c r="T20" s="675" t="s">
        <v>17</v>
      </c>
      <c r="U20" s="676">
        <f>H20</f>
        <v>100</v>
      </c>
      <c r="V20" s="675" t="s">
        <v>17</v>
      </c>
      <c r="W20" s="676">
        <f>J20</f>
        <v>100</v>
      </c>
      <c r="X20" s="1409"/>
      <c r="Y20" s="3359"/>
      <c r="Z20" s="1408" t="str">
        <f>Q20</f>
        <v>自然及人文环境</v>
      </c>
      <c r="AA20" s="1408">
        <f t="shared" si="3"/>
        <v>1</v>
      </c>
      <c r="AB20" s="1408">
        <f t="shared" si="4"/>
        <v>1</v>
      </c>
      <c r="AC20" s="1408">
        <f t="shared" si="5"/>
        <v>1</v>
      </c>
    </row>
    <row r="21" spans="1:29" ht="15">
      <c r="A21" s="354"/>
      <c r="B21" s="409"/>
      <c r="C21" s="394"/>
      <c r="D21" s="395"/>
      <c r="E21" s="394"/>
      <c r="F21" s="396"/>
      <c r="G21" s="394"/>
      <c r="H21" s="395"/>
      <c r="I21" s="394"/>
      <c r="J21" s="395"/>
      <c r="K21" s="549"/>
      <c r="L21" s="2668"/>
      <c r="M21" s="2663"/>
      <c r="N21" s="2663"/>
      <c r="O21" s="2663"/>
      <c r="P21" s="3359"/>
      <c r="Q21" s="1407"/>
      <c r="R21" s="675"/>
      <c r="S21" s="676"/>
      <c r="T21" s="675"/>
      <c r="U21" s="676"/>
      <c r="V21" s="675"/>
      <c r="W21" s="676"/>
      <c r="X21" s="1409"/>
      <c r="Y21" s="3359"/>
      <c r="Z21" s="1408"/>
      <c r="AA21" s="1408">
        <v>1</v>
      </c>
      <c r="AB21" s="1408">
        <v>1</v>
      </c>
      <c r="AC21" s="1408">
        <v>1</v>
      </c>
    </row>
    <row r="22" spans="1:29" ht="15">
      <c r="A22" s="354"/>
      <c r="B22" s="564" t="s">
        <v>2464</v>
      </c>
      <c r="C22" s="550"/>
      <c r="D22" s="397">
        <v>100</v>
      </c>
      <c r="E22" s="550"/>
      <c r="F22" s="408">
        <f>SUMIF(71:71,E22,72:72)-SUMIF(71:71,C22,72:72)+100</f>
        <v>100</v>
      </c>
      <c r="G22" s="550"/>
      <c r="H22" s="382">
        <f>SUMIF(71:71,G22,72:72)-SUMIF(71:71,C22,72:72)+100</f>
        <v>100</v>
      </c>
      <c r="I22" s="550"/>
      <c r="J22" s="382">
        <f>SUMIF(71:71,I22,72:72)-SUMIF(71:71,C22,72:72)+100</f>
        <v>100</v>
      </c>
      <c r="K22" s="546"/>
      <c r="L22" s="2668"/>
      <c r="M22" s="2663"/>
      <c r="N22" s="2663"/>
      <c r="O22" s="2663"/>
      <c r="P22" s="3359"/>
      <c r="Q22" s="1407" t="str">
        <f>B22</f>
        <v>楼层</v>
      </c>
      <c r="R22" s="675" t="s">
        <v>17</v>
      </c>
      <c r="S22" s="676">
        <f>F22</f>
        <v>100</v>
      </c>
      <c r="T22" s="675" t="s">
        <v>17</v>
      </c>
      <c r="U22" s="676">
        <f>H22</f>
        <v>100</v>
      </c>
      <c r="V22" s="675" t="s">
        <v>17</v>
      </c>
      <c r="W22" s="676">
        <f>J22</f>
        <v>100</v>
      </c>
      <c r="X22" s="1409"/>
      <c r="Y22" s="3359"/>
      <c r="Z22" s="1408" t="str">
        <f>Q22</f>
        <v>楼层</v>
      </c>
      <c r="AA22" s="1408">
        <f t="shared" si="3"/>
        <v>1</v>
      </c>
      <c r="AB22" s="1408">
        <f t="shared" si="4"/>
        <v>1</v>
      </c>
      <c r="AC22" s="1408">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68"/>
      <c r="M23" s="2663"/>
      <c r="N23" s="2663"/>
      <c r="O23" s="2663"/>
      <c r="P23" s="3359"/>
      <c r="Q23" s="1407">
        <f>B23</f>
        <v>111</v>
      </c>
      <c r="R23" s="675" t="s">
        <v>17</v>
      </c>
      <c r="S23" s="676">
        <f>F23</f>
        <v>100</v>
      </c>
      <c r="T23" s="675" t="s">
        <v>17</v>
      </c>
      <c r="U23" s="676">
        <f>H23</f>
        <v>100</v>
      </c>
      <c r="V23" s="675" t="s">
        <v>17</v>
      </c>
      <c r="W23" s="676">
        <f>J23</f>
        <v>100</v>
      </c>
      <c r="X23" s="1409"/>
      <c r="Y23" s="3359"/>
      <c r="Z23" s="1408">
        <f>Q23</f>
        <v>111</v>
      </c>
      <c r="AA23" s="1408">
        <f t="shared" si="3"/>
        <v>1</v>
      </c>
      <c r="AB23" s="1408">
        <f t="shared" si="4"/>
        <v>1</v>
      </c>
      <c r="AC23" s="1408">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68"/>
      <c r="M24" s="2663"/>
      <c r="N24" s="2663"/>
      <c r="O24" s="2663"/>
      <c r="P24" s="3359"/>
      <c r="Q24" s="1407">
        <f t="shared" ref="Q24:Q36" si="11">B24</f>
        <v>111</v>
      </c>
      <c r="R24" s="675" t="s">
        <v>17</v>
      </c>
      <c r="S24" s="676">
        <f>F24</f>
        <v>100</v>
      </c>
      <c r="T24" s="675" t="s">
        <v>17</v>
      </c>
      <c r="U24" s="676">
        <f>H24</f>
        <v>100</v>
      </c>
      <c r="V24" s="675" t="s">
        <v>17</v>
      </c>
      <c r="W24" s="676">
        <f>J24</f>
        <v>100</v>
      </c>
      <c r="X24" s="1409"/>
      <c r="Y24" s="3359"/>
      <c r="Z24" s="1408">
        <f>Q24</f>
        <v>111</v>
      </c>
      <c r="AA24" s="1408">
        <f t="shared" si="3"/>
        <v>1</v>
      </c>
      <c r="AB24" s="1408">
        <f t="shared" si="4"/>
        <v>1</v>
      </c>
      <c r="AC24" s="1408">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64"/>
      <c r="M25" s="2613"/>
      <c r="N25" s="2613"/>
      <c r="O25" s="2613"/>
      <c r="P25" s="3359"/>
      <c r="Q25" s="538">
        <f t="shared" si="11"/>
        <v>111</v>
      </c>
      <c r="R25" s="672" t="s">
        <v>17</v>
      </c>
      <c r="S25" s="673">
        <f>F25</f>
        <v>100</v>
      </c>
      <c r="T25" s="672" t="s">
        <v>17</v>
      </c>
      <c r="U25" s="673">
        <f>H25</f>
        <v>100</v>
      </c>
      <c r="V25" s="672" t="s">
        <v>17</v>
      </c>
      <c r="W25" s="673">
        <f>J25</f>
        <v>100</v>
      </c>
      <c r="X25" s="674"/>
      <c r="Y25" s="3359"/>
      <c r="Z25" s="53">
        <f>Q25</f>
        <v>111</v>
      </c>
      <c r="AA25" s="1408">
        <f>D25/F25</f>
        <v>1</v>
      </c>
      <c r="AB25" s="1408">
        <f>D25/H25</f>
        <v>1</v>
      </c>
      <c r="AC25" s="1408">
        <f>D25/J25</f>
        <v>1</v>
      </c>
    </row>
    <row r="26" spans="1:29" ht="28.5">
      <c r="A26" s="582" t="s">
        <v>2317</v>
      </c>
      <c r="B26" s="63" t="s">
        <v>2465</v>
      </c>
      <c r="C26" s="1962">
        <f>B1</f>
        <v>0</v>
      </c>
      <c r="D26" s="395">
        <v>100</v>
      </c>
      <c r="E26" s="394"/>
      <c r="F26" s="396">
        <f>SUMIF(79:79,E26,80:80)-SUMIF(79:79,C26,80:80)+100</f>
        <v>100</v>
      </c>
      <c r="G26" s="394"/>
      <c r="H26" s="395">
        <f>SUMIF(79:79,G26,80:80)-SUMIF(79:79,C26,80:80)+100</f>
        <v>100</v>
      </c>
      <c r="I26" s="394"/>
      <c r="J26" s="395">
        <f>SUMIF(79:79,I26,80:80)-SUMIF(79:79,C26,80:80)+100</f>
        <v>100</v>
      </c>
      <c r="K26" s="546"/>
      <c r="L26" s="2668"/>
      <c r="M26" s="2663"/>
      <c r="N26" s="2663"/>
      <c r="O26" s="2663"/>
      <c r="P26" s="3456" t="s">
        <v>2319</v>
      </c>
      <c r="Q26" s="1407" t="str">
        <f t="shared" si="11"/>
        <v>配套类型</v>
      </c>
      <c r="R26" s="675" t="s">
        <v>17</v>
      </c>
      <c r="S26" s="676">
        <f t="shared" ref="S26:S36" si="12">F26</f>
        <v>100</v>
      </c>
      <c r="T26" s="675" t="s">
        <v>17</v>
      </c>
      <c r="U26" s="676">
        <f t="shared" ref="U26:U36" si="13">H26</f>
        <v>100</v>
      </c>
      <c r="V26" s="675" t="s">
        <v>17</v>
      </c>
      <c r="W26" s="676">
        <f t="shared" ref="W26:W36" si="14">J26</f>
        <v>100</v>
      </c>
      <c r="X26" s="1409"/>
      <c r="Y26" s="3363" t="s">
        <v>2319</v>
      </c>
      <c r="Z26" s="1408" t="str">
        <f t="shared" ref="Z26:Z36" si="15">Q26</f>
        <v>配套类型</v>
      </c>
      <c r="AA26" s="1408">
        <f t="shared" si="3"/>
        <v>1</v>
      </c>
      <c r="AB26" s="1408">
        <f t="shared" si="4"/>
        <v>1</v>
      </c>
      <c r="AC26" s="1408">
        <f t="shared" si="5"/>
        <v>1</v>
      </c>
    </row>
    <row r="27" spans="1:29" s="416" customFormat="1" ht="15">
      <c r="A27" s="583"/>
      <c r="B27" s="124" t="s">
        <v>2466</v>
      </c>
      <c r="C27" s="584"/>
      <c r="D27" s="124">
        <v>100</v>
      </c>
      <c r="E27" s="584"/>
      <c r="F27" s="408">
        <f>SUMIF(81:81,E27,82:82)-SUMIF(81:81,C27,82:82)+100</f>
        <v>100</v>
      </c>
      <c r="G27" s="584"/>
      <c r="H27" s="382">
        <f>SUMIF(81:81,G27,82:82)-SUMIF(81:81,C27,82:82)+100</f>
        <v>100</v>
      </c>
      <c r="I27" s="584"/>
      <c r="J27" s="382">
        <f>SUMIF(81:81,I27,82:82)-SUMIF(81:81,C27,82:82)+100</f>
        <v>100</v>
      </c>
      <c r="K27" s="547"/>
      <c r="L27" s="2667"/>
      <c r="M27" s="2669"/>
      <c r="N27" s="2669"/>
      <c r="O27" s="2669"/>
      <c r="P27" s="3363"/>
      <c r="Q27" s="539" t="str">
        <f t="shared" si="11"/>
        <v>项目停车位配比</v>
      </c>
      <c r="R27" s="677" t="s">
        <v>17</v>
      </c>
      <c r="S27" s="678">
        <f t="shared" si="12"/>
        <v>100</v>
      </c>
      <c r="T27" s="677" t="s">
        <v>17</v>
      </c>
      <c r="U27" s="678">
        <f t="shared" si="13"/>
        <v>100</v>
      </c>
      <c r="V27" s="677" t="s">
        <v>17</v>
      </c>
      <c r="W27" s="678">
        <f t="shared" si="14"/>
        <v>100</v>
      </c>
      <c r="X27" s="679"/>
      <c r="Y27" s="3363"/>
      <c r="Z27" s="680" t="str">
        <f t="shared" si="15"/>
        <v>项目停车位配比</v>
      </c>
      <c r="AA27" s="1408">
        <f t="shared" si="3"/>
        <v>1</v>
      </c>
      <c r="AB27" s="1408">
        <f t="shared" si="4"/>
        <v>1</v>
      </c>
      <c r="AC27" s="1408">
        <f t="shared" si="5"/>
        <v>1</v>
      </c>
    </row>
    <row r="28" spans="1:29" ht="15">
      <c r="A28" s="585"/>
      <c r="B28" s="124" t="s">
        <v>2467</v>
      </c>
      <c r="C28" s="407"/>
      <c r="D28" s="382">
        <v>100</v>
      </c>
      <c r="E28" s="407"/>
      <c r="F28" s="408">
        <f>SUMIF(83:83,E28,84:84)-SUMIF(83:83,C28,84:84)+100</f>
        <v>100</v>
      </c>
      <c r="G28" s="407"/>
      <c r="H28" s="382">
        <f>SUMIF(83:83,G28,84:84)-SUMIF(83:83,C28,84:84)+100</f>
        <v>100</v>
      </c>
      <c r="I28" s="407"/>
      <c r="J28" s="382">
        <f>SUMIF(83:83,I28,84:84)-SUMIF(83:83,C28,84:84)+100</f>
        <v>100</v>
      </c>
      <c r="K28" s="546"/>
      <c r="L28" s="2668"/>
      <c r="M28" s="2663"/>
      <c r="N28" s="2663"/>
      <c r="O28" s="2663"/>
      <c r="P28" s="3363"/>
      <c r="Q28" s="1407" t="str">
        <f t="shared" si="11"/>
        <v>公共部分装修</v>
      </c>
      <c r="R28" s="675" t="s">
        <v>17</v>
      </c>
      <c r="S28" s="676">
        <f t="shared" si="12"/>
        <v>100</v>
      </c>
      <c r="T28" s="675" t="s">
        <v>17</v>
      </c>
      <c r="U28" s="676">
        <f t="shared" si="13"/>
        <v>100</v>
      </c>
      <c r="V28" s="675" t="s">
        <v>17</v>
      </c>
      <c r="W28" s="676">
        <f t="shared" si="14"/>
        <v>100</v>
      </c>
      <c r="X28" s="1409"/>
      <c r="Y28" s="3363"/>
      <c r="Z28" s="1408" t="str">
        <f t="shared" si="15"/>
        <v>公共部分装修</v>
      </c>
      <c r="AA28" s="1408">
        <f t="shared" si="3"/>
        <v>1</v>
      </c>
      <c r="AB28" s="1408">
        <f t="shared" si="4"/>
        <v>1</v>
      </c>
      <c r="AC28" s="1408">
        <f t="shared" si="5"/>
        <v>1</v>
      </c>
    </row>
    <row r="29" spans="1:29" ht="15">
      <c r="A29" s="585"/>
      <c r="B29" s="124" t="s">
        <v>2468</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68"/>
      <c r="M29" s="2663"/>
      <c r="N29" s="2663"/>
      <c r="O29" s="2663"/>
      <c r="P29" s="3363"/>
      <c r="Q29" s="1407" t="str">
        <f t="shared" si="11"/>
        <v>成新率</v>
      </c>
      <c r="R29" s="675" t="s">
        <v>17</v>
      </c>
      <c r="S29" s="676" t="e">
        <f t="shared" si="12"/>
        <v>#N/A</v>
      </c>
      <c r="T29" s="675" t="s">
        <v>17</v>
      </c>
      <c r="U29" s="676" t="e">
        <f t="shared" si="13"/>
        <v>#N/A</v>
      </c>
      <c r="V29" s="675" t="s">
        <v>17</v>
      </c>
      <c r="W29" s="676" t="e">
        <f t="shared" si="14"/>
        <v>#N/A</v>
      </c>
      <c r="X29" s="1409"/>
      <c r="Y29" s="3363"/>
      <c r="Z29" s="1408" t="str">
        <f t="shared" si="15"/>
        <v>成新率</v>
      </c>
      <c r="AA29" s="1408" t="e">
        <f t="shared" si="3"/>
        <v>#N/A</v>
      </c>
      <c r="AB29" s="1408" t="e">
        <f t="shared" si="4"/>
        <v>#N/A</v>
      </c>
      <c r="AC29" s="1408" t="e">
        <f t="shared" si="5"/>
        <v>#N/A</v>
      </c>
    </row>
    <row r="30" spans="1:29" ht="15">
      <c r="A30" s="585"/>
      <c r="B30" s="124" t="s">
        <v>2469</v>
      </c>
      <c r="C30" s="586"/>
      <c r="D30" s="382">
        <v>100</v>
      </c>
      <c r="E30" s="586"/>
      <c r="F30" s="408">
        <f>SUMIF(88:88,E30,89:89)-SUMIF(88:88,C30,89:89)+100</f>
        <v>100</v>
      </c>
      <c r="G30" s="586"/>
      <c r="H30" s="382">
        <f>SUMIF(88:88,E30,89:89)-SUMIF(88:88,C30,89:89)+100</f>
        <v>100</v>
      </c>
      <c r="I30" s="586"/>
      <c r="J30" s="382">
        <f>SUMIF(88:88,E30,89:89)-SUMIF(88:88,C30,89:89)+100</f>
        <v>100</v>
      </c>
      <c r="K30" s="546"/>
      <c r="L30" s="2668"/>
      <c r="M30" s="2663"/>
      <c r="N30" s="2663"/>
      <c r="O30" s="2663"/>
      <c r="P30" s="3363"/>
      <c r="Q30" s="1407" t="str">
        <f t="shared" si="11"/>
        <v>物业等级</v>
      </c>
      <c r="R30" s="675" t="s">
        <v>17</v>
      </c>
      <c r="S30" s="676">
        <f t="shared" si="12"/>
        <v>100</v>
      </c>
      <c r="T30" s="675" t="s">
        <v>17</v>
      </c>
      <c r="U30" s="676">
        <f t="shared" si="13"/>
        <v>100</v>
      </c>
      <c r="V30" s="675" t="s">
        <v>17</v>
      </c>
      <c r="W30" s="676">
        <f t="shared" si="14"/>
        <v>100</v>
      </c>
      <c r="X30" s="1409"/>
      <c r="Y30" s="3363"/>
      <c r="Z30" s="1408" t="str">
        <f t="shared" si="15"/>
        <v>物业等级</v>
      </c>
      <c r="AA30" s="1408">
        <f t="shared" si="3"/>
        <v>1</v>
      </c>
      <c r="AB30" s="1408">
        <f t="shared" si="4"/>
        <v>1</v>
      </c>
      <c r="AC30" s="1408">
        <f t="shared" si="5"/>
        <v>1</v>
      </c>
    </row>
    <row r="31" spans="1:29" s="107" customFormat="1" ht="15">
      <c r="A31" s="587"/>
      <c r="B31" s="124" t="s">
        <v>2470</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64"/>
      <c r="M31" s="2613"/>
      <c r="N31" s="2613"/>
      <c r="O31" s="2613"/>
      <c r="P31" s="3363"/>
      <c r="Q31" s="538" t="str">
        <f t="shared" si="11"/>
        <v>停车位面积</v>
      </c>
      <c r="R31" s="672" t="s">
        <v>17</v>
      </c>
      <c r="S31" s="673" t="e">
        <f t="shared" si="12"/>
        <v>#N/A</v>
      </c>
      <c r="T31" s="672" t="s">
        <v>17</v>
      </c>
      <c r="U31" s="673" t="e">
        <f t="shared" si="13"/>
        <v>#N/A</v>
      </c>
      <c r="V31" s="672" t="s">
        <v>17</v>
      </c>
      <c r="W31" s="673" t="e">
        <f t="shared" si="14"/>
        <v>#N/A</v>
      </c>
      <c r="X31" s="674"/>
      <c r="Y31" s="3363"/>
      <c r="Z31" s="53" t="str">
        <f t="shared" si="15"/>
        <v>停车位面积</v>
      </c>
      <c r="AA31" s="53" t="e">
        <f t="shared" si="3"/>
        <v>#N/A</v>
      </c>
      <c r="AB31" s="53" t="e">
        <f t="shared" si="4"/>
        <v>#N/A</v>
      </c>
      <c r="AC31" s="53" t="e">
        <f t="shared" si="5"/>
        <v>#N/A</v>
      </c>
    </row>
    <row r="32" spans="1:29" ht="15">
      <c r="A32" s="585"/>
      <c r="B32" s="124" t="s">
        <v>2471</v>
      </c>
      <c r="C32" s="407"/>
      <c r="D32" s="382">
        <v>100</v>
      </c>
      <c r="E32" s="407"/>
      <c r="F32" s="408">
        <f>SUMIF(93:93,E32,94:94)-SUMIF(93:93,C32,94:94)+100</f>
        <v>100</v>
      </c>
      <c r="G32" s="407"/>
      <c r="H32" s="382">
        <f>SUMIF(93:93,G32,94:94)-SUMIF(93:93,C32,94:94)+100</f>
        <v>100</v>
      </c>
      <c r="I32" s="407"/>
      <c r="J32" s="382">
        <f>SUMIF(93:93,I32,94:94)-SUMIF(93:93,C32,94:94)+100</f>
        <v>100</v>
      </c>
      <c r="K32" s="546"/>
      <c r="L32" s="2668"/>
      <c r="M32" s="2663"/>
      <c r="N32" s="2663"/>
      <c r="O32" s="2663"/>
      <c r="P32" s="3363" t="s">
        <v>2319</v>
      </c>
      <c r="Q32" s="1407" t="str">
        <f t="shared" si="11"/>
        <v>车位类型</v>
      </c>
      <c r="R32" s="675" t="s">
        <v>17</v>
      </c>
      <c r="S32" s="676">
        <f t="shared" si="12"/>
        <v>100</v>
      </c>
      <c r="T32" s="675" t="s">
        <v>17</v>
      </c>
      <c r="U32" s="676">
        <f t="shared" si="13"/>
        <v>100</v>
      </c>
      <c r="V32" s="675" t="s">
        <v>17</v>
      </c>
      <c r="W32" s="676">
        <f t="shared" si="14"/>
        <v>100</v>
      </c>
      <c r="X32" s="1409"/>
      <c r="Y32" s="3363" t="s">
        <v>2319</v>
      </c>
      <c r="Z32" s="1408" t="str">
        <f t="shared" si="15"/>
        <v>车位类型</v>
      </c>
      <c r="AA32" s="1408">
        <f t="shared" si="3"/>
        <v>1</v>
      </c>
      <c r="AB32" s="1408">
        <f t="shared" si="4"/>
        <v>1</v>
      </c>
      <c r="AC32" s="1408">
        <f t="shared" si="5"/>
        <v>1</v>
      </c>
    </row>
    <row r="33" spans="1:29" ht="15">
      <c r="A33" s="585"/>
      <c r="B33" s="124" t="s">
        <v>2472</v>
      </c>
      <c r="C33" s="407"/>
      <c r="D33" s="382">
        <v>100</v>
      </c>
      <c r="E33" s="407"/>
      <c r="F33" s="408">
        <f>SUMIF(95:95,E33,96:96)-SUMIF(95:95,C33,96:96)+100</f>
        <v>100</v>
      </c>
      <c r="G33" s="407"/>
      <c r="H33" s="382">
        <f>SUMIF(95:95,G33,96:96)-SUMIF(95:95,C33,96:96)+100</f>
        <v>100</v>
      </c>
      <c r="I33" s="407"/>
      <c r="J33" s="382">
        <f>SUMIF(95:95,I33,96:96)-SUMIF(95:95,C33,96:96)+100</f>
        <v>100</v>
      </c>
      <c r="K33" s="546"/>
      <c r="L33" s="2668"/>
      <c r="M33" s="2663"/>
      <c r="N33" s="2663"/>
      <c r="O33" s="2663"/>
      <c r="P33" s="3363"/>
      <c r="Q33" s="1407" t="str">
        <f t="shared" si="11"/>
        <v>是否直接入户</v>
      </c>
      <c r="R33" s="675" t="s">
        <v>17</v>
      </c>
      <c r="S33" s="676">
        <f t="shared" si="12"/>
        <v>100</v>
      </c>
      <c r="T33" s="675" t="s">
        <v>17</v>
      </c>
      <c r="U33" s="676">
        <f t="shared" si="13"/>
        <v>100</v>
      </c>
      <c r="V33" s="675" t="s">
        <v>17</v>
      </c>
      <c r="W33" s="676">
        <f t="shared" si="14"/>
        <v>100</v>
      </c>
      <c r="X33" s="1409"/>
      <c r="Y33" s="3363"/>
      <c r="Z33" s="1408" t="str">
        <f t="shared" si="15"/>
        <v>是否直接入户</v>
      </c>
      <c r="AA33" s="1408">
        <f t="shared" si="3"/>
        <v>1</v>
      </c>
      <c r="AB33" s="1408">
        <f t="shared" si="4"/>
        <v>1</v>
      </c>
      <c r="AC33" s="1408">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68"/>
      <c r="M34" s="2663"/>
      <c r="N34" s="2663"/>
      <c r="O34" s="2663"/>
      <c r="P34" s="3363"/>
      <c r="Q34" s="1407">
        <f t="shared" si="11"/>
        <v>111</v>
      </c>
      <c r="R34" s="675" t="s">
        <v>17</v>
      </c>
      <c r="S34" s="676">
        <f t="shared" si="12"/>
        <v>100</v>
      </c>
      <c r="T34" s="675" t="s">
        <v>17</v>
      </c>
      <c r="U34" s="676">
        <f t="shared" si="13"/>
        <v>100</v>
      </c>
      <c r="V34" s="675" t="s">
        <v>17</v>
      </c>
      <c r="W34" s="676">
        <f t="shared" si="14"/>
        <v>100</v>
      </c>
      <c r="X34" s="1409"/>
      <c r="Y34" s="3363"/>
      <c r="Z34" s="1408">
        <f t="shared" si="15"/>
        <v>111</v>
      </c>
      <c r="AA34" s="1408">
        <f t="shared" si="3"/>
        <v>1</v>
      </c>
      <c r="AB34" s="1408">
        <f t="shared" si="4"/>
        <v>1</v>
      </c>
      <c r="AC34" s="1408">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67"/>
      <c r="M35" s="2669"/>
      <c r="N35" s="2669"/>
      <c r="O35" s="2669"/>
      <c r="P35" s="3363"/>
      <c r="Q35" s="539">
        <f t="shared" si="11"/>
        <v>111</v>
      </c>
      <c r="R35" s="677" t="s">
        <v>17</v>
      </c>
      <c r="S35" s="678">
        <f t="shared" si="12"/>
        <v>100</v>
      </c>
      <c r="T35" s="677" t="s">
        <v>17</v>
      </c>
      <c r="U35" s="678">
        <f t="shared" si="13"/>
        <v>100</v>
      </c>
      <c r="V35" s="677" t="s">
        <v>17</v>
      </c>
      <c r="W35" s="678">
        <f t="shared" si="14"/>
        <v>100</v>
      </c>
      <c r="X35" s="679"/>
      <c r="Y35" s="3363"/>
      <c r="Z35" s="680">
        <f t="shared" si="15"/>
        <v>111</v>
      </c>
      <c r="AA35" s="1408">
        <f t="shared" si="3"/>
        <v>1</v>
      </c>
      <c r="AB35" s="1408">
        <f t="shared" si="4"/>
        <v>1</v>
      </c>
      <c r="AC35" s="1408">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68"/>
      <c r="M36" s="2663"/>
      <c r="N36" s="2663"/>
      <c r="O36" s="2663"/>
      <c r="P36" s="3363"/>
      <c r="Q36" s="1407">
        <f t="shared" si="11"/>
        <v>111</v>
      </c>
      <c r="R36" s="675" t="s">
        <v>17</v>
      </c>
      <c r="S36" s="676">
        <f t="shared" si="12"/>
        <v>100</v>
      </c>
      <c r="T36" s="675" t="s">
        <v>17</v>
      </c>
      <c r="U36" s="676">
        <f t="shared" si="13"/>
        <v>100</v>
      </c>
      <c r="V36" s="675" t="s">
        <v>17</v>
      </c>
      <c r="W36" s="676">
        <f t="shared" si="14"/>
        <v>100</v>
      </c>
      <c r="X36" s="1409"/>
      <c r="Y36" s="3363"/>
      <c r="Z36" s="1408">
        <f t="shared" si="15"/>
        <v>111</v>
      </c>
      <c r="AA36" s="1408">
        <f t="shared" si="3"/>
        <v>1</v>
      </c>
      <c r="AB36" s="1408">
        <f t="shared" si="4"/>
        <v>1</v>
      </c>
      <c r="AC36" s="1408">
        <f t="shared" si="5"/>
        <v>1</v>
      </c>
    </row>
    <row r="37" spans="1:29" ht="15">
      <c r="A37" s="424" t="s">
        <v>2473</v>
      </c>
      <c r="B37" s="1963" t="s">
        <v>2474</v>
      </c>
      <c r="C37" s="1208" t="s">
        <v>1</v>
      </c>
      <c r="D37" s="426"/>
      <c r="E37" s="427"/>
      <c r="F37" s="428"/>
      <c r="G37" s="429"/>
      <c r="H37" s="430"/>
      <c r="I37" s="427"/>
      <c r="J37" s="430"/>
      <c r="K37" s="553"/>
      <c r="L37" s="2670"/>
      <c r="M37" s="2663"/>
      <c r="N37" s="2663"/>
      <c r="O37" s="2663"/>
      <c r="P37" s="3351" t="str">
        <f>A37</f>
        <v>成交单价</v>
      </c>
      <c r="Q37" s="3351"/>
      <c r="R37" s="3352">
        <f>E37</f>
        <v>0</v>
      </c>
      <c r="S37" s="3352"/>
      <c r="T37" s="3352">
        <f>G37</f>
        <v>0</v>
      </c>
      <c r="U37" s="3352"/>
      <c r="V37" s="3352">
        <f>I37</f>
        <v>0</v>
      </c>
      <c r="W37" s="3352"/>
      <c r="X37" s="393"/>
      <c r="Y37" s="681"/>
      <c r="Z37" s="393"/>
      <c r="AA37" s="393"/>
      <c r="AB37" s="393"/>
      <c r="AC37" s="393"/>
    </row>
    <row r="38" spans="1:29" ht="15.75" thickBot="1">
      <c r="A38" s="431" t="s">
        <v>2475</v>
      </c>
      <c r="B38" s="432" t="str">
        <f>B37</f>
        <v>元/车位</v>
      </c>
      <c r="C38" s="1209" t="e">
        <f>R39</f>
        <v>#DIV/0!</v>
      </c>
      <c r="D38" s="2312" t="s">
        <v>2807</v>
      </c>
      <c r="E38" s="1210" t="e">
        <f>R38</f>
        <v>#DIV/0!</v>
      </c>
      <c r="F38" s="2313"/>
      <c r="G38" s="1209" t="e">
        <f>T38</f>
        <v>#DIV/0!</v>
      </c>
      <c r="H38" s="2313"/>
      <c r="I38" s="1210" t="e">
        <f>V38</f>
        <v>#DIV/0!</v>
      </c>
      <c r="J38" s="2313"/>
      <c r="K38" s="2315">
        <f>F38+H38+J38</f>
        <v>0</v>
      </c>
      <c r="L38" s="2670"/>
      <c r="M38" s="2663"/>
      <c r="N38" s="2663"/>
      <c r="O38" s="2663"/>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93"/>
      <c r="Y38" s="393"/>
      <c r="Z38" s="393"/>
      <c r="AA38" s="393"/>
      <c r="AB38" s="393"/>
      <c r="AC38" s="393"/>
    </row>
    <row r="39" spans="1:29" ht="15.75" thickBot="1">
      <c r="A39" s="435" t="s">
        <v>2476</v>
      </c>
      <c r="B39" s="436"/>
      <c r="C39" s="357" t="e">
        <f>R39</f>
        <v>#DIV/0!</v>
      </c>
      <c r="D39" s="357"/>
      <c r="E39" s="357"/>
      <c r="F39" s="357"/>
      <c r="G39" s="357"/>
      <c r="H39" s="357"/>
      <c r="I39" s="357"/>
      <c r="J39" s="357"/>
      <c r="K39" s="554"/>
      <c r="L39" s="2670"/>
      <c r="M39" s="2663"/>
      <c r="N39" s="2663"/>
      <c r="O39" s="2663"/>
      <c r="P39" s="3444" t="str">
        <f>A39</f>
        <v>估价对象XX用房的比较价值（楼面单价，元/平方米）</v>
      </c>
      <c r="Q39" s="3445"/>
      <c r="R39" s="3457" t="e">
        <f>IF(F1="售价",ROUND(IF(D38="简单平均",AVERAGE(R38:W38),R38*F38+T38*H38+V38*J38),0),ROUND(IF(D38="简单平均",AVERAGE(R38:V38),R38*F38+T38*H38+V38*J38),1))</f>
        <v>#DIV/0!</v>
      </c>
      <c r="S39" s="3457"/>
      <c r="T39" s="3457"/>
      <c r="U39" s="3457"/>
      <c r="V39" s="3457"/>
      <c r="W39" s="3457"/>
      <c r="X39" s="393"/>
      <c r="Y39" s="393"/>
      <c r="Z39" s="393"/>
      <c r="AA39" s="393"/>
      <c r="AB39" s="393"/>
      <c r="AC39" s="393"/>
    </row>
    <row r="40" spans="1:29">
      <c r="A40" s="2663"/>
      <c r="B40" s="2663"/>
      <c r="C40" s="2663"/>
      <c r="D40" s="2663"/>
      <c r="E40" s="2663"/>
      <c r="F40" s="2663"/>
      <c r="G40" s="2674"/>
      <c r="H40" s="2663"/>
      <c r="I40" s="2663"/>
      <c r="J40" s="2663"/>
      <c r="K40" s="2675"/>
      <c r="L40" s="2671"/>
      <c r="M40" s="2663"/>
      <c r="N40" s="2663"/>
      <c r="O40" s="2663"/>
      <c r="P40" s="2700"/>
      <c r="Q40" s="2663"/>
      <c r="R40" s="2663"/>
      <c r="S40" s="2663"/>
      <c r="T40" s="2663"/>
      <c r="U40" s="2663"/>
      <c r="V40" s="2663"/>
      <c r="W40" s="2663"/>
      <c r="X40" s="2663"/>
      <c r="Y40" s="2663"/>
      <c r="Z40" s="2663"/>
      <c r="AA40" s="2663"/>
      <c r="AB40" s="2663"/>
      <c r="AC40" s="2663"/>
    </row>
    <row r="41" spans="1:29">
      <c r="A41" s="2663"/>
      <c r="B41" s="2663"/>
      <c r="C41" s="2663"/>
      <c r="D41" s="2663"/>
      <c r="E41" s="2663"/>
      <c r="F41" s="2663"/>
      <c r="G41" s="2663"/>
      <c r="H41" s="2663"/>
      <c r="I41" s="2663"/>
      <c r="J41" s="2663"/>
      <c r="K41" s="2675"/>
      <c r="L41" s="2671"/>
      <c r="M41" s="2663"/>
      <c r="N41" s="2663"/>
      <c r="O41" s="2663"/>
      <c r="P41" s="2700"/>
      <c r="Q41" s="2663"/>
      <c r="R41" s="2663"/>
      <c r="S41" s="2663"/>
      <c r="T41" s="2663"/>
      <c r="U41" s="2663"/>
      <c r="V41" s="2663"/>
      <c r="W41" s="2663"/>
      <c r="X41" s="2663"/>
      <c r="Y41" s="2663"/>
      <c r="Z41" s="2663"/>
      <c r="AA41" s="2663"/>
      <c r="AB41" s="2663"/>
      <c r="AC41" s="2663"/>
    </row>
    <row r="42" spans="1:29" ht="13.5" customHeight="1">
      <c r="A42" s="2663"/>
      <c r="B42" s="2663"/>
      <c r="C42" s="440" t="s">
        <v>2477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75"/>
      <c r="L42" s="2671"/>
      <c r="M42" s="2663"/>
      <c r="N42" s="2663"/>
      <c r="O42" s="2663"/>
      <c r="P42" s="2700"/>
      <c r="Q42" s="2663"/>
      <c r="R42" s="2663"/>
      <c r="S42" s="2663"/>
      <c r="T42" s="2663"/>
      <c r="U42" s="2663"/>
      <c r="V42" s="2663"/>
      <c r="W42" s="2663"/>
      <c r="X42" s="2663"/>
      <c r="Y42" s="2663"/>
      <c r="Z42" s="2663"/>
      <c r="AA42" s="2663"/>
      <c r="AB42" s="2663"/>
      <c r="AC42" s="2663"/>
    </row>
    <row r="43" spans="1:29" ht="13.5" customHeight="1">
      <c r="A43" s="2663"/>
      <c r="B43" s="2663"/>
      <c r="C43" s="440" t="s">
        <v>2478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75"/>
      <c r="L43" s="2671"/>
      <c r="M43" s="2663"/>
      <c r="N43" s="2663"/>
      <c r="O43" s="2663"/>
      <c r="P43" s="2700"/>
      <c r="Q43" s="2663"/>
      <c r="R43" s="2663"/>
      <c r="S43" s="2663"/>
      <c r="T43" s="2663"/>
      <c r="U43" s="2663"/>
      <c r="V43" s="2663"/>
      <c r="W43" s="2663"/>
      <c r="X43" s="2663"/>
      <c r="Y43" s="2663"/>
      <c r="Z43" s="2663"/>
      <c r="AA43" s="2663"/>
      <c r="AB43" s="2663"/>
      <c r="AC43" s="2663"/>
    </row>
    <row r="44" spans="1:29" s="445" customFormat="1" ht="13.5" customHeight="1">
      <c r="A44" s="2673"/>
      <c r="B44" s="2673"/>
      <c r="C44" s="440" t="s">
        <v>2479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78"/>
      <c r="L44" s="2672"/>
      <c r="M44" s="2673"/>
      <c r="N44" s="2673"/>
      <c r="O44" s="2673"/>
      <c r="P44" s="2701"/>
      <c r="Q44" s="2673"/>
      <c r="R44" s="2673"/>
      <c r="S44" s="2673"/>
      <c r="T44" s="2673"/>
      <c r="U44" s="2673"/>
      <c r="V44" s="2673"/>
      <c r="W44" s="2673"/>
      <c r="X44" s="2673"/>
      <c r="Y44" s="2673"/>
      <c r="Z44" s="2673"/>
      <c r="AA44" s="2673"/>
      <c r="AB44" s="2673"/>
      <c r="AC44" s="2673"/>
    </row>
    <row r="45" spans="1:29" s="445" customFormat="1">
      <c r="A45" s="2673"/>
      <c r="B45" s="2676"/>
      <c r="C45" s="2677"/>
      <c r="D45" s="2673"/>
      <c r="E45" s="2673"/>
      <c r="F45" s="2673"/>
      <c r="G45" s="2673"/>
      <c r="H45" s="2673"/>
      <c r="I45" s="2673"/>
      <c r="J45" s="2673"/>
      <c r="K45" s="2678"/>
      <c r="L45" s="2672"/>
      <c r="M45" s="2673"/>
      <c r="N45" s="2673"/>
      <c r="O45" s="2673"/>
      <c r="P45" s="2701"/>
      <c r="Q45" s="2673"/>
      <c r="R45" s="2673"/>
      <c r="S45" s="2673"/>
      <c r="T45" s="2673"/>
      <c r="U45" s="2673"/>
      <c r="V45" s="2673"/>
      <c r="W45" s="2673"/>
      <c r="X45" s="2673"/>
      <c r="Y45" s="2673"/>
      <c r="Z45" s="2673"/>
      <c r="AA45" s="2673"/>
      <c r="AB45" s="2673"/>
      <c r="AC45" s="2673"/>
    </row>
    <row r="46" spans="1:29">
      <c r="A46" s="2663"/>
      <c r="B46" s="2676"/>
      <c r="C46" s="2677"/>
      <c r="D46" s="2663"/>
      <c r="E46" s="2663"/>
      <c r="F46" s="2663"/>
      <c r="G46" s="2663"/>
      <c r="H46" s="2663"/>
      <c r="I46" s="2663"/>
      <c r="J46" s="2663"/>
      <c r="K46" s="2675"/>
      <c r="L46" s="2671"/>
      <c r="M46" s="2663"/>
      <c r="N46" s="2663"/>
      <c r="O46" s="2663"/>
      <c r="P46" s="2700"/>
      <c r="Q46" s="2663"/>
      <c r="R46" s="2663"/>
      <c r="S46" s="2663"/>
      <c r="T46" s="2663"/>
      <c r="U46" s="2663"/>
      <c r="V46" s="2663"/>
      <c r="W46" s="2663"/>
      <c r="X46" s="2663"/>
      <c r="Y46" s="2663"/>
      <c r="Z46" s="2663"/>
      <c r="AA46" s="2663"/>
      <c r="AB46" s="2663"/>
      <c r="AC46" s="2663"/>
    </row>
    <row r="47" spans="1:29" ht="21.75" thickBot="1">
      <c r="A47" s="1214" t="s">
        <v>2480</v>
      </c>
      <c r="B47" s="984"/>
      <c r="C47" s="1009"/>
      <c r="D47" s="1009"/>
      <c r="E47" s="1009"/>
      <c r="F47" s="1215"/>
      <c r="G47" s="1215"/>
      <c r="H47" s="1009"/>
      <c r="I47" s="1009"/>
      <c r="J47" s="1009"/>
      <c r="K47" s="1010"/>
      <c r="L47" s="1011"/>
      <c r="M47" s="1009"/>
      <c r="N47" s="2713"/>
      <c r="O47" s="2713"/>
      <c r="P47" s="2702"/>
      <c r="Q47" s="2684"/>
      <c r="R47" s="2663"/>
      <c r="S47" s="2663"/>
      <c r="T47" s="2663"/>
      <c r="U47" s="2663"/>
      <c r="V47" s="2663"/>
      <c r="W47" s="2663"/>
      <c r="X47" s="2663"/>
      <c r="Y47" s="2663"/>
      <c r="Z47" s="2663"/>
      <c r="AA47" s="2663"/>
      <c r="AB47" s="2663"/>
      <c r="AC47" s="2663"/>
    </row>
    <row r="48" spans="1:29" s="450" customFormat="1" ht="15">
      <c r="A48" s="448" t="s">
        <v>2481</v>
      </c>
      <c r="B48" s="449"/>
      <c r="C48" s="1230" t="str">
        <f>YEAR(C7)&amp;"-"&amp;MONTH(C7)</f>
        <v>2014-2</v>
      </c>
      <c r="D48" s="1231">
        <f>EDATE(C48,-1)</f>
        <v>41640</v>
      </c>
      <c r="E48" s="1231">
        <f t="shared" ref="E48:O48" si="16">EDATE(D48,-1)</f>
        <v>41609</v>
      </c>
      <c r="F48" s="1231">
        <f t="shared" si="16"/>
        <v>41579</v>
      </c>
      <c r="G48" s="1231">
        <f t="shared" si="16"/>
        <v>41548</v>
      </c>
      <c r="H48" s="1231">
        <f t="shared" si="16"/>
        <v>41518</v>
      </c>
      <c r="I48" s="1231">
        <f t="shared" si="16"/>
        <v>41487</v>
      </c>
      <c r="J48" s="1231">
        <f t="shared" si="16"/>
        <v>41456</v>
      </c>
      <c r="K48" s="1231">
        <f t="shared" si="16"/>
        <v>41426</v>
      </c>
      <c r="L48" s="1231">
        <f t="shared" si="16"/>
        <v>41395</v>
      </c>
      <c r="M48" s="1231">
        <f t="shared" si="16"/>
        <v>41365</v>
      </c>
      <c r="N48" s="1231">
        <f t="shared" si="16"/>
        <v>41334</v>
      </c>
      <c r="O48" s="1231">
        <f t="shared" si="16"/>
        <v>41306</v>
      </c>
      <c r="P48" s="2703"/>
      <c r="Q48" s="2686"/>
      <c r="R48" s="2686"/>
      <c r="S48" s="2686"/>
      <c r="T48" s="2686"/>
      <c r="U48" s="2686"/>
      <c r="V48" s="2686"/>
      <c r="W48" s="2686"/>
      <c r="X48" s="2686"/>
      <c r="Y48" s="2686"/>
      <c r="Z48" s="2686"/>
      <c r="AA48" s="2686"/>
      <c r="AB48" s="2686"/>
      <c r="AC48" s="2686"/>
    </row>
    <row r="49" spans="1:29" s="107" customFormat="1" ht="15">
      <c r="A49" s="451"/>
      <c r="B49" s="452"/>
      <c r="C49" s="1224">
        <v>100</v>
      </c>
      <c r="D49" s="454"/>
      <c r="E49" s="454"/>
      <c r="F49" s="454"/>
      <c r="G49" s="454"/>
      <c r="H49" s="454"/>
      <c r="I49" s="454"/>
      <c r="J49" s="454"/>
      <c r="K49" s="454"/>
      <c r="L49" s="454"/>
      <c r="M49" s="455"/>
      <c r="N49" s="454"/>
      <c r="O49" s="455"/>
      <c r="P49" s="2704"/>
      <c r="Q49" s="2613"/>
      <c r="R49" s="2613"/>
      <c r="S49" s="2613"/>
      <c r="T49" s="2613"/>
      <c r="U49" s="2613"/>
      <c r="V49" s="2613"/>
      <c r="W49" s="2613"/>
      <c r="X49" s="2613"/>
      <c r="Y49" s="2613"/>
      <c r="Z49" s="2613"/>
      <c r="AA49" s="2613"/>
      <c r="AB49" s="2613"/>
      <c r="AC49" s="2613"/>
    </row>
    <row r="50" spans="1:29" s="107" customFormat="1" ht="15.75" thickBot="1">
      <c r="A50" s="457" t="s">
        <v>2338</v>
      </c>
      <c r="B50" s="458"/>
      <c r="C50" s="459"/>
      <c r="D50" s="460"/>
      <c r="E50" s="460"/>
      <c r="F50" s="460"/>
      <c r="G50" s="460"/>
      <c r="H50" s="460"/>
      <c r="I50" s="460"/>
      <c r="J50" s="460"/>
      <c r="K50" s="460"/>
      <c r="L50" s="460"/>
      <c r="M50" s="461"/>
      <c r="N50" s="460"/>
      <c r="O50" s="461"/>
      <c r="P50" s="2704"/>
      <c r="Q50" s="2684"/>
      <c r="R50" s="2613"/>
      <c r="S50" s="2613"/>
      <c r="T50" s="2613"/>
      <c r="U50" s="2613"/>
      <c r="V50" s="2613"/>
      <c r="W50" s="2613"/>
      <c r="X50" s="2613"/>
      <c r="Y50" s="2613"/>
      <c r="Z50" s="2613"/>
      <c r="AA50" s="2613"/>
      <c r="AB50" s="2613"/>
      <c r="AC50" s="2613"/>
    </row>
    <row r="51" spans="1:29" s="107" customFormat="1" ht="15">
      <c r="A51" s="463" t="s">
        <v>2304</v>
      </c>
      <c r="B51" s="452"/>
      <c r="C51" s="464" t="s">
        <v>2405</v>
      </c>
      <c r="D51" s="34"/>
      <c r="E51" s="34"/>
      <c r="F51" s="34"/>
      <c r="G51" s="34"/>
      <c r="H51" s="34"/>
      <c r="I51" s="34"/>
      <c r="J51" s="34"/>
      <c r="K51" s="34"/>
      <c r="L51" s="465"/>
      <c r="M51" s="466"/>
      <c r="N51" s="2696"/>
      <c r="O51" s="2696"/>
      <c r="P51" s="2705"/>
      <c r="Q51" s="2684"/>
      <c r="R51" s="2613"/>
      <c r="S51" s="2613"/>
      <c r="T51" s="2613"/>
      <c r="U51" s="2613"/>
      <c r="V51" s="2613"/>
      <c r="W51" s="2613"/>
      <c r="X51" s="2613"/>
      <c r="Y51" s="2613"/>
      <c r="Z51" s="2613"/>
      <c r="AA51" s="2613"/>
      <c r="AB51" s="2613"/>
      <c r="AC51" s="2613"/>
    </row>
    <row r="52" spans="1:29" s="107" customFormat="1" ht="15.75" thickBot="1">
      <c r="A52" s="463"/>
      <c r="B52" s="452"/>
      <c r="C52" s="571">
        <v>100</v>
      </c>
      <c r="D52" s="454"/>
      <c r="E52" s="454"/>
      <c r="F52" s="454"/>
      <c r="G52" s="454"/>
      <c r="H52" s="454"/>
      <c r="I52" s="454"/>
      <c r="J52" s="454"/>
      <c r="K52" s="454"/>
      <c r="L52" s="454"/>
      <c r="M52" s="456"/>
      <c r="N52" s="2696"/>
      <c r="O52" s="2696"/>
      <c r="P52" s="2704"/>
      <c r="Q52" s="2684"/>
      <c r="R52" s="2613"/>
      <c r="S52" s="2613"/>
      <c r="T52" s="2613"/>
      <c r="U52" s="2613"/>
      <c r="V52" s="2613"/>
      <c r="W52" s="2613"/>
      <c r="X52" s="2613"/>
      <c r="Y52" s="2613"/>
      <c r="Z52" s="2613"/>
      <c r="AA52" s="2613"/>
      <c r="AB52" s="2613"/>
      <c r="AC52" s="2613"/>
    </row>
    <row r="53" spans="1:29">
      <c r="A53" s="387" t="s">
        <v>2341</v>
      </c>
      <c r="B53" s="468" t="s">
        <v>2308</v>
      </c>
      <c r="C53" s="469">
        <f>C9</f>
        <v>0</v>
      </c>
      <c r="D53" s="470"/>
      <c r="E53" s="470"/>
      <c r="F53" s="470"/>
      <c r="G53" s="470"/>
      <c r="H53" s="470"/>
      <c r="I53" s="470"/>
      <c r="J53" s="470"/>
      <c r="K53" s="471"/>
      <c r="L53" s="472"/>
      <c r="M53" s="473"/>
      <c r="N53" s="2697"/>
      <c r="O53" s="2697"/>
      <c r="P53" s="2706"/>
      <c r="Q53" s="2684"/>
      <c r="R53" s="2663"/>
      <c r="S53" s="2663"/>
      <c r="T53" s="2663"/>
      <c r="U53" s="2663"/>
      <c r="V53" s="2663"/>
      <c r="W53" s="2663"/>
      <c r="X53" s="2663"/>
      <c r="Y53" s="2663"/>
      <c r="Z53" s="2663"/>
      <c r="AA53" s="2663"/>
      <c r="AB53" s="2663"/>
      <c r="AC53" s="2663"/>
    </row>
    <row r="54" spans="1:29" ht="15.75" thickBot="1">
      <c r="A54" s="375"/>
      <c r="B54" s="474"/>
      <c r="C54" s="475">
        <v>100</v>
      </c>
      <c r="D54" s="475"/>
      <c r="E54" s="475"/>
      <c r="F54" s="475"/>
      <c r="G54" s="475"/>
      <c r="H54" s="475"/>
      <c r="I54" s="475"/>
      <c r="J54" s="475"/>
      <c r="K54" s="475"/>
      <c r="L54" s="475"/>
      <c r="M54" s="476"/>
      <c r="N54" s="2698"/>
      <c r="O54" s="2698"/>
      <c r="P54" s="2706"/>
      <c r="Q54" s="2684"/>
      <c r="R54" s="2663"/>
      <c r="S54" s="2663"/>
      <c r="T54" s="2663"/>
      <c r="U54" s="2663"/>
      <c r="V54" s="2663"/>
      <c r="W54" s="2663"/>
      <c r="X54" s="2663"/>
      <c r="Y54" s="2663"/>
      <c r="Z54" s="2663"/>
      <c r="AA54" s="2663"/>
      <c r="AB54" s="2663"/>
      <c r="AC54" s="2663"/>
    </row>
    <row r="55" spans="1:29" ht="27.75" thickTop="1">
      <c r="A55" s="375"/>
      <c r="B55" s="477" t="s">
        <v>2311</v>
      </c>
      <c r="C55" s="478" t="s">
        <v>2342</v>
      </c>
      <c r="D55" s="478" t="s">
        <v>2343</v>
      </c>
      <c r="E55" s="478" t="s">
        <v>2344</v>
      </c>
      <c r="F55" s="478" t="s">
        <v>2345</v>
      </c>
      <c r="G55" s="478" t="s">
        <v>2346</v>
      </c>
      <c r="H55" s="478" t="s">
        <v>2347</v>
      </c>
      <c r="I55" s="478" t="s">
        <v>2348</v>
      </c>
      <c r="J55" s="478"/>
      <c r="K55" s="479"/>
      <c r="L55" s="480"/>
      <c r="M55" s="481"/>
      <c r="N55" s="2697"/>
      <c r="O55" s="2697"/>
      <c r="P55" s="2706"/>
      <c r="Q55" s="2684"/>
      <c r="R55" s="2663"/>
      <c r="S55" s="2663"/>
      <c r="T55" s="2663"/>
      <c r="U55" s="2663"/>
      <c r="V55" s="2663"/>
      <c r="W55" s="2663"/>
      <c r="X55" s="2663"/>
      <c r="Y55" s="2663"/>
      <c r="Z55" s="2663"/>
      <c r="AA55" s="2663"/>
      <c r="AB55" s="2663"/>
      <c r="AC55" s="2663"/>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98"/>
      <c r="O56" s="2698"/>
      <c r="P56" s="2706"/>
      <c r="Q56" s="2684"/>
      <c r="R56" s="2663"/>
      <c r="S56" s="2663"/>
      <c r="T56" s="2663"/>
      <c r="U56" s="2663"/>
      <c r="V56" s="2663"/>
      <c r="W56" s="2663"/>
      <c r="X56" s="2663"/>
      <c r="Y56" s="2663"/>
      <c r="Z56" s="2663"/>
      <c r="AA56" s="2663"/>
      <c r="AB56" s="2663"/>
      <c r="AC56" s="2663"/>
    </row>
    <row r="57" spans="1:29" ht="15.75" thickTop="1">
      <c r="A57" s="375"/>
      <c r="B57" s="589">
        <f>B11</f>
        <v>111</v>
      </c>
      <c r="C57" s="488"/>
      <c r="D57" s="488"/>
      <c r="E57" s="488"/>
      <c r="F57" s="488"/>
      <c r="G57" s="488"/>
      <c r="H57" s="488"/>
      <c r="I57" s="488"/>
      <c r="J57" s="488"/>
      <c r="K57" s="489"/>
      <c r="L57" s="490"/>
      <c r="M57" s="491"/>
      <c r="N57" s="2697"/>
      <c r="O57" s="2697"/>
      <c r="P57" s="2706"/>
      <c r="Q57" s="2684"/>
      <c r="R57" s="2663"/>
      <c r="S57" s="2663"/>
      <c r="T57" s="2663"/>
      <c r="U57" s="2663"/>
      <c r="V57" s="2663"/>
      <c r="W57" s="2663"/>
      <c r="X57" s="2663"/>
      <c r="Y57" s="2663"/>
      <c r="Z57" s="2663"/>
      <c r="AA57" s="2663"/>
      <c r="AB57" s="2663"/>
      <c r="AC57" s="2663"/>
    </row>
    <row r="58" spans="1:29" ht="15.75" thickBot="1">
      <c r="A58" s="375"/>
      <c r="B58" s="474"/>
      <c r="C58" s="499"/>
      <c r="D58" s="475"/>
      <c r="E58" s="475"/>
      <c r="F58" s="475"/>
      <c r="G58" s="475"/>
      <c r="H58" s="475"/>
      <c r="I58" s="475"/>
      <c r="J58" s="475"/>
      <c r="K58" s="475"/>
      <c r="L58" s="475"/>
      <c r="M58" s="476"/>
      <c r="N58" s="2698"/>
      <c r="O58" s="2698"/>
      <c r="P58" s="2706"/>
      <c r="Q58" s="2684"/>
      <c r="R58" s="2663"/>
      <c r="S58" s="2663"/>
      <c r="T58" s="2663"/>
      <c r="U58" s="2663"/>
      <c r="V58" s="2663"/>
      <c r="W58" s="2663"/>
      <c r="X58" s="2663"/>
      <c r="Y58" s="2663"/>
      <c r="Z58" s="2663"/>
      <c r="AA58" s="2663"/>
      <c r="AB58" s="2663"/>
      <c r="AC58" s="2663"/>
    </row>
    <row r="59" spans="1:29" s="416" customFormat="1" ht="15.75" thickTop="1">
      <c r="A59" s="492"/>
      <c r="B59" s="477">
        <f>B12</f>
        <v>111</v>
      </c>
      <c r="C59" s="488"/>
      <c r="D59" s="488"/>
      <c r="E59" s="488"/>
      <c r="F59" s="488"/>
      <c r="G59" s="493"/>
      <c r="H59" s="494"/>
      <c r="I59" s="494"/>
      <c r="J59" s="494"/>
      <c r="K59" s="494"/>
      <c r="L59" s="495"/>
      <c r="M59" s="496"/>
      <c r="N59" s="2699"/>
      <c r="O59" s="2699"/>
      <c r="P59" s="2707"/>
      <c r="Q59" s="2691"/>
      <c r="R59" s="2669"/>
      <c r="S59" s="2669"/>
      <c r="T59" s="2669"/>
      <c r="U59" s="2669"/>
      <c r="V59" s="2669"/>
      <c r="W59" s="2669"/>
      <c r="X59" s="2669"/>
      <c r="Y59" s="2669"/>
      <c r="Z59" s="2669"/>
      <c r="AA59" s="2669"/>
      <c r="AB59" s="2669"/>
      <c r="AC59" s="2669"/>
    </row>
    <row r="60" spans="1:29" s="416" customFormat="1" ht="15.75" thickBot="1">
      <c r="A60" s="492"/>
      <c r="B60" s="482"/>
      <c r="C60" s="499"/>
      <c r="D60" s="475"/>
      <c r="E60" s="475"/>
      <c r="F60" s="475"/>
      <c r="G60" s="475"/>
      <c r="H60" s="475"/>
      <c r="I60" s="475"/>
      <c r="J60" s="475"/>
      <c r="K60" s="475"/>
      <c r="L60" s="475"/>
      <c r="M60" s="476"/>
      <c r="N60" s="2698"/>
      <c r="O60" s="2698"/>
      <c r="P60" s="2707"/>
      <c r="Q60" s="2691"/>
      <c r="R60" s="2669"/>
      <c r="S60" s="2669"/>
      <c r="T60" s="2669"/>
      <c r="U60" s="2669"/>
      <c r="V60" s="2669"/>
      <c r="W60" s="2669"/>
      <c r="X60" s="2669"/>
      <c r="Y60" s="2669"/>
      <c r="Z60" s="2669"/>
      <c r="AA60" s="2669"/>
      <c r="AB60" s="2669"/>
      <c r="AC60" s="2669"/>
    </row>
    <row r="61" spans="1:29" s="416" customFormat="1" ht="15.75" thickTop="1">
      <c r="A61" s="492"/>
      <c r="B61" s="477">
        <f>B13</f>
        <v>111</v>
      </c>
      <c r="C61" s="493"/>
      <c r="D61" s="493"/>
      <c r="E61" s="493"/>
      <c r="F61" s="493"/>
      <c r="G61" s="493"/>
      <c r="H61" s="494"/>
      <c r="I61" s="494"/>
      <c r="J61" s="494"/>
      <c r="K61" s="494"/>
      <c r="L61" s="495"/>
      <c r="M61" s="496"/>
      <c r="N61" s="2699"/>
      <c r="O61" s="2699"/>
      <c r="P61" s="2708"/>
      <c r="Q61" s="2693"/>
      <c r="R61" s="2669"/>
      <c r="S61" s="2669"/>
      <c r="T61" s="2669"/>
      <c r="U61" s="2669"/>
      <c r="V61" s="2669"/>
      <c r="W61" s="2669"/>
      <c r="X61" s="2669"/>
      <c r="Y61" s="2669"/>
      <c r="Z61" s="2669"/>
      <c r="AA61" s="2669"/>
      <c r="AB61" s="2669"/>
      <c r="AC61" s="2669"/>
    </row>
    <row r="62" spans="1:29" s="416" customFormat="1" ht="15.75" thickBot="1">
      <c r="A62" s="492"/>
      <c r="B62" s="482"/>
      <c r="C62" s="499"/>
      <c r="D62" s="499"/>
      <c r="E62" s="499"/>
      <c r="F62" s="499"/>
      <c r="G62" s="499"/>
      <c r="H62" s="501"/>
      <c r="I62" s="501"/>
      <c r="J62" s="501"/>
      <c r="K62" s="501"/>
      <c r="L62" s="501"/>
      <c r="M62" s="502"/>
      <c r="N62" s="2699"/>
      <c r="O62" s="2699"/>
      <c r="P62" s="2707"/>
      <c r="Q62" s="2691"/>
      <c r="R62" s="2669"/>
      <c r="S62" s="2669"/>
      <c r="T62" s="2669"/>
      <c r="U62" s="2669"/>
      <c r="V62" s="2669"/>
      <c r="W62" s="2669"/>
      <c r="X62" s="2669"/>
      <c r="Y62" s="2669"/>
      <c r="Z62" s="2669"/>
      <c r="AA62" s="2669"/>
      <c r="AB62" s="2669"/>
      <c r="AC62" s="2669"/>
    </row>
    <row r="63" spans="1:29" ht="15" thickTop="1">
      <c r="A63" s="387" t="s">
        <v>2313</v>
      </c>
      <c r="B63" s="468" t="s">
        <v>2355</v>
      </c>
      <c r="C63" s="512" t="s">
        <v>2350</v>
      </c>
      <c r="D63" s="512" t="s">
        <v>2351</v>
      </c>
      <c r="E63" s="512" t="s">
        <v>2352</v>
      </c>
      <c r="F63" s="512" t="s">
        <v>2353</v>
      </c>
      <c r="G63" s="512" t="s">
        <v>2354</v>
      </c>
      <c r="H63" s="469"/>
      <c r="I63" s="469"/>
      <c r="J63" s="469"/>
      <c r="K63" s="513"/>
      <c r="L63" s="514"/>
      <c r="M63" s="515"/>
      <c r="N63" s="2697"/>
      <c r="O63" s="2697"/>
      <c r="P63" s="2710"/>
      <c r="Q63" s="2684"/>
      <c r="R63" s="2663"/>
      <c r="S63" s="2663"/>
      <c r="T63" s="2663"/>
      <c r="U63" s="2663"/>
      <c r="V63" s="2663"/>
      <c r="W63" s="2663"/>
      <c r="X63" s="2663"/>
      <c r="Y63" s="2663"/>
      <c r="Z63" s="2663"/>
      <c r="AA63" s="2663"/>
      <c r="AB63" s="2663"/>
      <c r="AC63" s="2663"/>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98"/>
      <c r="O64" s="2698"/>
      <c r="P64" s="2706"/>
      <c r="Q64" s="2684"/>
      <c r="R64" s="2663"/>
      <c r="S64" s="2663"/>
      <c r="T64" s="2663"/>
      <c r="U64" s="2663"/>
      <c r="V64" s="2663"/>
      <c r="W64" s="2663"/>
      <c r="X64" s="2663"/>
      <c r="Y64" s="2663"/>
      <c r="Z64" s="2663"/>
      <c r="AA64" s="2663"/>
      <c r="AB64" s="2663"/>
      <c r="AC64" s="2663"/>
    </row>
    <row r="65" spans="1:29" ht="15.75" thickTop="1">
      <c r="A65" s="375"/>
      <c r="B65" s="477" t="s">
        <v>2356</v>
      </c>
      <c r="C65" s="517" t="s">
        <v>2350</v>
      </c>
      <c r="D65" s="517" t="s">
        <v>2351</v>
      </c>
      <c r="E65" s="517" t="s">
        <v>2352</v>
      </c>
      <c r="F65" s="517" t="s">
        <v>2353</v>
      </c>
      <c r="G65" s="517" t="s">
        <v>2354</v>
      </c>
      <c r="H65" s="478"/>
      <c r="I65" s="478"/>
      <c r="J65" s="478"/>
      <c r="K65" s="479"/>
      <c r="L65" s="480"/>
      <c r="M65" s="481"/>
      <c r="N65" s="2697"/>
      <c r="O65" s="2697"/>
      <c r="P65" s="2706"/>
      <c r="Q65" s="2684"/>
      <c r="R65" s="2663"/>
      <c r="S65" s="2663"/>
      <c r="T65" s="2663"/>
      <c r="U65" s="2663"/>
      <c r="V65" s="2663"/>
      <c r="W65" s="2663"/>
      <c r="X65" s="2663"/>
      <c r="Y65" s="2663"/>
      <c r="Z65" s="2663"/>
      <c r="AA65" s="2663"/>
      <c r="AB65" s="2663"/>
      <c r="AC65" s="2663"/>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98"/>
      <c r="O66" s="2698"/>
      <c r="P66" s="2706"/>
      <c r="Q66" s="2684"/>
      <c r="R66" s="2663"/>
      <c r="S66" s="2663"/>
      <c r="T66" s="2663"/>
      <c r="U66" s="2663"/>
      <c r="V66" s="2663"/>
      <c r="W66" s="2663"/>
      <c r="X66" s="2663"/>
      <c r="Y66" s="2663"/>
      <c r="Z66" s="2663"/>
      <c r="AA66" s="2663"/>
      <c r="AB66" s="2663"/>
      <c r="AC66" s="2663"/>
    </row>
    <row r="67" spans="1:29" ht="15.75" thickTop="1">
      <c r="A67" s="375"/>
      <c r="B67" s="485" t="s">
        <v>2442</v>
      </c>
      <c r="C67" s="589" t="s">
        <v>2428</v>
      </c>
      <c r="D67" s="589" t="s">
        <v>2429</v>
      </c>
      <c r="E67" s="589" t="s">
        <v>2430</v>
      </c>
      <c r="F67" s="589" t="s">
        <v>2431</v>
      </c>
      <c r="G67" s="589" t="s">
        <v>2432</v>
      </c>
      <c r="H67" s="478"/>
      <c r="I67" s="478"/>
      <c r="J67" s="478"/>
      <c r="K67" s="478"/>
      <c r="L67" s="478"/>
      <c r="M67" s="1190"/>
      <c r="N67" s="2698"/>
      <c r="O67" s="2698"/>
      <c r="P67" s="2706"/>
      <c r="Q67" s="2684"/>
      <c r="R67" s="2663"/>
      <c r="S67" s="2663"/>
      <c r="T67" s="2663"/>
      <c r="U67" s="2663"/>
      <c r="V67" s="2663"/>
      <c r="W67" s="2663"/>
      <c r="X67" s="2663"/>
      <c r="Y67" s="2663"/>
      <c r="Z67" s="2663"/>
      <c r="AA67" s="2663"/>
      <c r="AB67" s="2663"/>
      <c r="AC67" s="2663"/>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98"/>
      <c r="O68" s="2698"/>
      <c r="P68" s="2706"/>
      <c r="Q68" s="2684"/>
      <c r="R68" s="2663"/>
      <c r="S68" s="2663"/>
      <c r="T68" s="2663"/>
      <c r="U68" s="2663"/>
      <c r="V68" s="2663"/>
      <c r="W68" s="2663"/>
      <c r="X68" s="2663"/>
      <c r="Y68" s="2663"/>
      <c r="Z68" s="2663"/>
      <c r="AA68" s="2663"/>
      <c r="AB68" s="2663"/>
      <c r="AC68" s="2663"/>
    </row>
    <row r="69" spans="1:29" ht="15.75" thickTop="1">
      <c r="A69" s="375"/>
      <c r="B69" s="477" t="s">
        <v>2362</v>
      </c>
      <c r="C69" s="517" t="s">
        <v>2350</v>
      </c>
      <c r="D69" s="517" t="s">
        <v>2351</v>
      </c>
      <c r="E69" s="517" t="s">
        <v>2352</v>
      </c>
      <c r="F69" s="517" t="s">
        <v>2353</v>
      </c>
      <c r="G69" s="517" t="s">
        <v>2354</v>
      </c>
      <c r="H69" s="478"/>
      <c r="I69" s="478"/>
      <c r="J69" s="478"/>
      <c r="K69" s="479"/>
      <c r="L69" s="480"/>
      <c r="M69" s="481"/>
      <c r="N69" s="2697"/>
      <c r="O69" s="2697"/>
      <c r="P69" s="2706"/>
      <c r="Q69" s="2684"/>
      <c r="R69" s="2663"/>
      <c r="S69" s="2663"/>
      <c r="T69" s="2663"/>
      <c r="U69" s="2663"/>
      <c r="V69" s="2663"/>
      <c r="W69" s="2663"/>
      <c r="X69" s="2663"/>
      <c r="Y69" s="2663"/>
      <c r="Z69" s="2663"/>
      <c r="AA69" s="2663"/>
      <c r="AB69" s="2663"/>
      <c r="AC69" s="2663"/>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98"/>
      <c r="O70" s="2698"/>
      <c r="P70" s="2706"/>
      <c r="Q70" s="2684"/>
      <c r="R70" s="2663"/>
      <c r="S70" s="2663"/>
      <c r="T70" s="2663"/>
      <c r="U70" s="2663"/>
      <c r="V70" s="2663"/>
      <c r="W70" s="2663"/>
      <c r="X70" s="2663"/>
      <c r="Y70" s="2663"/>
      <c r="Z70" s="2663"/>
      <c r="AA70" s="2663"/>
      <c r="AB70" s="2663"/>
      <c r="AC70" s="2663"/>
    </row>
    <row r="71" spans="1:29" ht="15.75" thickTop="1">
      <c r="A71" s="375"/>
      <c r="B71" s="477" t="s">
        <v>2482</v>
      </c>
      <c r="C71" s="493"/>
      <c r="D71" s="493"/>
      <c r="E71" s="493"/>
      <c r="F71" s="493"/>
      <c r="G71" s="493"/>
      <c r="H71" s="521"/>
      <c r="I71" s="521"/>
      <c r="J71" s="521"/>
      <c r="K71" s="522"/>
      <c r="L71" s="523"/>
      <c r="M71" s="524"/>
      <c r="N71" s="2697"/>
      <c r="O71" s="2697"/>
      <c r="P71" s="2706"/>
      <c r="Q71" s="2684"/>
      <c r="R71" s="2663"/>
      <c r="S71" s="2663"/>
      <c r="T71" s="2663"/>
      <c r="U71" s="2663"/>
      <c r="V71" s="2663"/>
      <c r="W71" s="2663"/>
      <c r="X71" s="2663"/>
      <c r="Y71" s="2663"/>
      <c r="Z71" s="2663"/>
      <c r="AA71" s="2663"/>
      <c r="AB71" s="2663"/>
      <c r="AC71" s="2663"/>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98"/>
      <c r="O72" s="2698"/>
      <c r="P72" s="2706"/>
      <c r="Q72" s="2684"/>
      <c r="R72" s="2663"/>
      <c r="S72" s="2663"/>
      <c r="T72" s="2663"/>
      <c r="U72" s="2663"/>
      <c r="V72" s="2663"/>
      <c r="W72" s="2663"/>
      <c r="X72" s="2663"/>
      <c r="Y72" s="2663"/>
      <c r="Z72" s="2663"/>
      <c r="AA72" s="2663"/>
      <c r="AB72" s="2663"/>
      <c r="AC72" s="2663"/>
    </row>
    <row r="73" spans="1:29" s="107" customFormat="1" ht="15.75" thickTop="1">
      <c r="A73" s="378"/>
      <c r="B73" s="477">
        <f>B23</f>
        <v>111</v>
      </c>
      <c r="C73" s="488"/>
      <c r="D73" s="488"/>
      <c r="E73" s="488"/>
      <c r="F73" s="488"/>
      <c r="G73" s="493"/>
      <c r="H73" s="493"/>
      <c r="I73" s="493"/>
      <c r="J73" s="493"/>
      <c r="K73" s="493"/>
      <c r="L73" s="518"/>
      <c r="M73" s="519"/>
      <c r="N73" s="2696"/>
      <c r="O73" s="2696"/>
      <c r="P73" s="2706"/>
      <c r="Q73" s="2684"/>
      <c r="R73" s="2613"/>
      <c r="S73" s="2613"/>
      <c r="T73" s="2613"/>
      <c r="U73" s="2613"/>
      <c r="V73" s="2613"/>
      <c r="W73" s="2613"/>
      <c r="X73" s="2613"/>
      <c r="Y73" s="2613"/>
      <c r="Z73" s="2613"/>
      <c r="AA73" s="2613"/>
      <c r="AB73" s="2613"/>
      <c r="AC73" s="2613"/>
    </row>
    <row r="74" spans="1:29" s="107" customFormat="1" ht="15.75" thickBot="1">
      <c r="A74" s="378"/>
      <c r="B74" s="482"/>
      <c r="C74" s="499"/>
      <c r="D74" s="475"/>
      <c r="E74" s="475"/>
      <c r="F74" s="475"/>
      <c r="G74" s="475"/>
      <c r="H74" s="475"/>
      <c r="I74" s="475"/>
      <c r="J74" s="475"/>
      <c r="K74" s="475"/>
      <c r="L74" s="475"/>
      <c r="M74" s="476"/>
      <c r="N74" s="2698"/>
      <c r="O74" s="2698"/>
      <c r="P74" s="2706"/>
      <c r="Q74" s="2684"/>
      <c r="R74" s="2613"/>
      <c r="S74" s="2613"/>
      <c r="T74" s="2613"/>
      <c r="U74" s="2613"/>
      <c r="V74" s="2613"/>
      <c r="W74" s="2613"/>
      <c r="X74" s="2613"/>
      <c r="Y74" s="2613"/>
      <c r="Z74" s="2613"/>
      <c r="AA74" s="2613"/>
      <c r="AB74" s="2613"/>
      <c r="AC74" s="2613"/>
    </row>
    <row r="75" spans="1:29" s="107" customFormat="1" ht="15.75" thickTop="1">
      <c r="A75" s="378"/>
      <c r="B75" s="477">
        <f>B24</f>
        <v>111</v>
      </c>
      <c r="C75" s="488"/>
      <c r="D75" s="488"/>
      <c r="E75" s="488"/>
      <c r="F75" s="488"/>
      <c r="G75" s="493"/>
      <c r="H75" s="493"/>
      <c r="I75" s="493"/>
      <c r="J75" s="493"/>
      <c r="K75" s="493"/>
      <c r="L75" s="493"/>
      <c r="M75" s="519"/>
      <c r="N75" s="2696"/>
      <c r="O75" s="2696"/>
      <c r="P75" s="2706"/>
      <c r="Q75" s="2684"/>
      <c r="R75" s="2613"/>
      <c r="S75" s="2613"/>
      <c r="T75" s="2613"/>
      <c r="U75" s="2613"/>
      <c r="V75" s="2613"/>
      <c r="W75" s="2613"/>
      <c r="X75" s="2613"/>
      <c r="Y75" s="2613"/>
      <c r="Z75" s="2613"/>
      <c r="AA75" s="2613"/>
      <c r="AB75" s="2613"/>
      <c r="AC75" s="2613"/>
    </row>
    <row r="76" spans="1:29" s="107" customFormat="1" ht="15.75" thickBot="1">
      <c r="A76" s="378"/>
      <c r="B76" s="482"/>
      <c r="C76" s="499"/>
      <c r="D76" s="475"/>
      <c r="E76" s="475"/>
      <c r="F76" s="475"/>
      <c r="G76" s="475"/>
      <c r="H76" s="475"/>
      <c r="I76" s="475"/>
      <c r="J76" s="475"/>
      <c r="K76" s="475"/>
      <c r="L76" s="475"/>
      <c r="M76" s="476"/>
      <c r="N76" s="2698"/>
      <c r="O76" s="2698"/>
      <c r="P76" s="2706"/>
      <c r="Q76" s="2684"/>
      <c r="R76" s="2613"/>
      <c r="S76" s="2613"/>
      <c r="T76" s="2613"/>
      <c r="U76" s="2613"/>
      <c r="V76" s="2613"/>
      <c r="W76" s="2613"/>
      <c r="X76" s="2613"/>
      <c r="Y76" s="2613"/>
      <c r="Z76" s="2613"/>
      <c r="AA76" s="2613"/>
      <c r="AB76" s="2613"/>
      <c r="AC76" s="2613"/>
    </row>
    <row r="77" spans="1:29" s="416" customFormat="1" ht="15.75" thickTop="1">
      <c r="A77" s="492"/>
      <c r="B77" s="477">
        <f>B25</f>
        <v>111</v>
      </c>
      <c r="C77" s="493"/>
      <c r="D77" s="493"/>
      <c r="E77" s="493"/>
      <c r="F77" s="493"/>
      <c r="G77" s="493"/>
      <c r="H77" s="494"/>
      <c r="I77" s="494"/>
      <c r="J77" s="494"/>
      <c r="K77" s="494"/>
      <c r="L77" s="495"/>
      <c r="M77" s="496"/>
      <c r="N77" s="2699"/>
      <c r="O77" s="2699"/>
      <c r="P77" s="2707"/>
      <c r="Q77" s="2691"/>
      <c r="R77" s="2669"/>
      <c r="S77" s="2669"/>
      <c r="T77" s="2669"/>
      <c r="U77" s="2669"/>
      <c r="V77" s="2669"/>
      <c r="W77" s="2669"/>
      <c r="X77" s="2669"/>
      <c r="Y77" s="2669"/>
      <c r="Z77" s="2669"/>
      <c r="AA77" s="2669"/>
      <c r="AB77" s="2669"/>
      <c r="AC77" s="2669"/>
    </row>
    <row r="78" spans="1:29" s="416" customFormat="1" ht="15.75" thickBot="1">
      <c r="A78" s="492"/>
      <c r="B78" s="482"/>
      <c r="C78" s="499"/>
      <c r="D78" s="499"/>
      <c r="E78" s="499"/>
      <c r="F78" s="499"/>
      <c r="G78" s="475"/>
      <c r="H78" s="475"/>
      <c r="I78" s="475"/>
      <c r="J78" s="475"/>
      <c r="K78" s="475"/>
      <c r="L78" s="475"/>
      <c r="M78" s="476"/>
      <c r="N78" s="2699"/>
      <c r="O78" s="2699"/>
      <c r="P78" s="2707"/>
      <c r="Q78" s="2691"/>
      <c r="R78" s="2669"/>
      <c r="S78" s="2669"/>
      <c r="T78" s="2669"/>
      <c r="U78" s="2669"/>
      <c r="V78" s="2669"/>
      <c r="W78" s="2669"/>
      <c r="X78" s="2669"/>
      <c r="Y78" s="2669"/>
      <c r="Z78" s="2669"/>
      <c r="AA78" s="2669"/>
      <c r="AB78" s="2669"/>
      <c r="AC78" s="2669"/>
    </row>
    <row r="79" spans="1:29" ht="27.75" thickTop="1">
      <c r="A79" s="387" t="s">
        <v>2317</v>
      </c>
      <c r="B79" s="468" t="s">
        <v>2483</v>
      </c>
      <c r="C79" s="469">
        <f>C26</f>
        <v>0</v>
      </c>
      <c r="D79" s="470"/>
      <c r="E79" s="470"/>
      <c r="F79" s="470"/>
      <c r="G79" s="470"/>
      <c r="H79" s="470"/>
      <c r="I79" s="470"/>
      <c r="J79" s="470"/>
      <c r="K79" s="471"/>
      <c r="L79" s="472"/>
      <c r="M79" s="473"/>
      <c r="N79" s="2697"/>
      <c r="O79" s="2697"/>
      <c r="P79" s="2706"/>
      <c r="Q79" s="2684"/>
      <c r="R79" s="2663"/>
      <c r="S79" s="2663"/>
      <c r="T79" s="2663"/>
      <c r="U79" s="2663"/>
      <c r="V79" s="2663"/>
      <c r="W79" s="2663"/>
      <c r="X79" s="2663"/>
      <c r="Y79" s="2663"/>
      <c r="Z79" s="2663"/>
      <c r="AA79" s="2663"/>
      <c r="AB79" s="2663"/>
      <c r="AC79" s="2663"/>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98"/>
      <c r="O80" s="2698"/>
      <c r="P80" s="2706"/>
      <c r="Q80" s="2684"/>
      <c r="R80" s="2663"/>
      <c r="S80" s="2663"/>
      <c r="T80" s="2663"/>
      <c r="U80" s="2663"/>
      <c r="V80" s="2663"/>
      <c r="W80" s="2663"/>
      <c r="X80" s="2663"/>
      <c r="Y80" s="2663"/>
      <c r="Z80" s="2663"/>
      <c r="AA80" s="2663"/>
      <c r="AB80" s="2663"/>
      <c r="AC80" s="2663"/>
    </row>
    <row r="81" spans="1:29" ht="15.75" thickTop="1">
      <c r="A81" s="375"/>
      <c r="B81" s="477" t="s">
        <v>2484</v>
      </c>
      <c r="C81" s="590"/>
      <c r="D81" s="590"/>
      <c r="E81" s="590"/>
      <c r="F81" s="590"/>
      <c r="G81" s="590"/>
      <c r="H81" s="590"/>
      <c r="I81" s="590"/>
      <c r="J81" s="590"/>
      <c r="K81" s="591"/>
      <c r="L81" s="592"/>
      <c r="M81" s="593"/>
      <c r="N81" s="2696"/>
      <c r="O81" s="2696"/>
      <c r="P81" s="2706"/>
      <c r="Q81" s="2684"/>
      <c r="R81" s="2663"/>
      <c r="S81" s="2663"/>
      <c r="T81" s="2663"/>
      <c r="U81" s="2663"/>
      <c r="V81" s="2663"/>
      <c r="W81" s="2663"/>
      <c r="X81" s="2663"/>
      <c r="Y81" s="2663"/>
      <c r="Z81" s="2663"/>
      <c r="AA81" s="2663"/>
      <c r="AB81" s="2663"/>
      <c r="AC81" s="2663"/>
    </row>
    <row r="82" spans="1:29" s="416" customFormat="1" ht="15.75" thickBot="1">
      <c r="A82" s="492"/>
      <c r="B82" s="482"/>
      <c r="C82" s="499"/>
      <c r="D82" s="475"/>
      <c r="E82" s="475"/>
      <c r="F82" s="475"/>
      <c r="G82" s="475"/>
      <c r="H82" s="475"/>
      <c r="I82" s="475"/>
      <c r="J82" s="475"/>
      <c r="K82" s="475"/>
      <c r="L82" s="475"/>
      <c r="M82" s="476"/>
      <c r="N82" s="2698"/>
      <c r="O82" s="2698"/>
      <c r="P82" s="2707"/>
      <c r="Q82" s="2691"/>
      <c r="R82" s="2669"/>
      <c r="S82" s="2669"/>
      <c r="T82" s="2669"/>
      <c r="U82" s="2669"/>
      <c r="V82" s="2669"/>
      <c r="W82" s="2669"/>
      <c r="X82" s="2669"/>
      <c r="Y82" s="2669"/>
      <c r="Z82" s="2669"/>
      <c r="AA82" s="2669"/>
      <c r="AB82" s="2669"/>
      <c r="AC82" s="2669"/>
    </row>
    <row r="83" spans="1:29" ht="15" thickTop="1">
      <c r="A83" s="417"/>
      <c r="B83" s="477" t="s">
        <v>2369</v>
      </c>
      <c r="C83" s="493"/>
      <c r="D83" s="493"/>
      <c r="E83" s="521"/>
      <c r="F83" s="521"/>
      <c r="G83" s="521"/>
      <c r="H83" s="521"/>
      <c r="I83" s="521"/>
      <c r="J83" s="521"/>
      <c r="K83" s="522"/>
      <c r="L83" s="523"/>
      <c r="M83" s="524"/>
      <c r="N83" s="2697"/>
      <c r="O83" s="2697"/>
      <c r="P83" s="2706"/>
      <c r="Q83" s="2684"/>
      <c r="R83" s="2663"/>
      <c r="S83" s="2663"/>
      <c r="T83" s="2663"/>
      <c r="U83" s="2663"/>
      <c r="V83" s="2663"/>
      <c r="W83" s="2663"/>
      <c r="X83" s="2663"/>
      <c r="Y83" s="2663"/>
      <c r="Z83" s="2663"/>
      <c r="AA83" s="2663"/>
      <c r="AB83" s="2663"/>
      <c r="AC83" s="2663"/>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98"/>
      <c r="O84" s="2698"/>
      <c r="P84" s="2706"/>
      <c r="Q84" s="2684"/>
      <c r="R84" s="2663"/>
      <c r="S84" s="2663"/>
      <c r="T84" s="2663"/>
      <c r="U84" s="2663"/>
      <c r="V84" s="2663"/>
      <c r="W84" s="2663"/>
      <c r="X84" s="2663"/>
      <c r="Y84" s="2663"/>
      <c r="Z84" s="2663"/>
      <c r="AA84" s="2663"/>
      <c r="AB84" s="2663"/>
      <c r="AC84" s="2663"/>
    </row>
    <row r="85" spans="1:29" ht="15" thickTop="1">
      <c r="A85" s="417"/>
      <c r="B85" s="477" t="s">
        <v>2485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97"/>
      <c r="O85" s="2697"/>
      <c r="P85" s="2706"/>
      <c r="Q85" s="2684"/>
      <c r="R85" s="2663"/>
      <c r="S85" s="2663"/>
      <c r="T85" s="2663"/>
      <c r="U85" s="2663"/>
      <c r="V85" s="2663"/>
      <c r="W85" s="2663"/>
      <c r="X85" s="2663"/>
      <c r="Y85" s="2663"/>
      <c r="Z85" s="2663"/>
      <c r="AA85" s="2663"/>
      <c r="AB85" s="2663"/>
      <c r="AC85" s="2663"/>
    </row>
    <row r="86" spans="1:29">
      <c r="A86" s="417"/>
      <c r="B86" s="485"/>
      <c r="C86" s="538">
        <v>0.5</v>
      </c>
      <c r="D86" s="538">
        <v>0.6</v>
      </c>
      <c r="E86" s="538">
        <v>0.7</v>
      </c>
      <c r="F86" s="538">
        <v>0.8</v>
      </c>
      <c r="G86" s="538">
        <v>0.9</v>
      </c>
      <c r="H86" s="538">
        <v>1.0001</v>
      </c>
      <c r="I86" s="556"/>
      <c r="J86" s="556"/>
      <c r="K86" s="557"/>
      <c r="L86" s="558"/>
      <c r="M86" s="559"/>
      <c r="N86" s="2697"/>
      <c r="O86" s="2697"/>
      <c r="P86" s="2706"/>
      <c r="Q86" s="2684"/>
      <c r="R86" s="2663"/>
      <c r="S86" s="2663"/>
      <c r="T86" s="2663"/>
      <c r="U86" s="2663"/>
      <c r="V86" s="2663"/>
      <c r="W86" s="2663"/>
      <c r="X86" s="2663"/>
      <c r="Y86" s="2663"/>
      <c r="Z86" s="2663"/>
      <c r="AA86" s="2663"/>
      <c r="AB86" s="2663"/>
      <c r="AC86" s="2663"/>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98"/>
      <c r="O87" s="2698"/>
      <c r="P87" s="2706"/>
      <c r="Q87" s="2684"/>
      <c r="R87" s="2663"/>
      <c r="S87" s="2663"/>
      <c r="T87" s="2663"/>
      <c r="U87" s="2663"/>
      <c r="V87" s="2663"/>
      <c r="W87" s="2663"/>
      <c r="X87" s="2663"/>
      <c r="Y87" s="2663"/>
      <c r="Z87" s="2663"/>
      <c r="AA87" s="2663"/>
      <c r="AB87" s="2663"/>
      <c r="AC87" s="2663"/>
    </row>
    <row r="88" spans="1:29" ht="15" thickTop="1">
      <c r="A88" s="417"/>
      <c r="B88" s="485" t="s">
        <v>2486</v>
      </c>
      <c r="C88" s="470"/>
      <c r="D88" s="470"/>
      <c r="E88" s="470"/>
      <c r="F88" s="470"/>
      <c r="G88" s="470"/>
      <c r="H88" s="470"/>
      <c r="I88" s="470"/>
      <c r="J88" s="470"/>
      <c r="K88" s="471"/>
      <c r="L88" s="472"/>
      <c r="M88" s="473"/>
      <c r="N88" s="2697"/>
      <c r="O88" s="2697"/>
      <c r="P88" s="2706"/>
      <c r="Q88" s="2684"/>
      <c r="R88" s="2663"/>
      <c r="S88" s="2663"/>
      <c r="T88" s="2663"/>
      <c r="U88" s="2663"/>
      <c r="V88" s="2663"/>
      <c r="W88" s="2663"/>
      <c r="X88" s="2663"/>
      <c r="Y88" s="2663"/>
      <c r="Z88" s="2663"/>
      <c r="AA88" s="2663"/>
      <c r="AB88" s="2663"/>
      <c r="AC88" s="2663"/>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98"/>
      <c r="O89" s="2698"/>
      <c r="P89" s="2706"/>
      <c r="Q89" s="2684"/>
      <c r="R89" s="2663"/>
      <c r="S89" s="2663"/>
      <c r="T89" s="2663"/>
      <c r="U89" s="2663"/>
      <c r="V89" s="2663"/>
      <c r="W89" s="2663"/>
      <c r="X89" s="2663"/>
      <c r="Y89" s="2663"/>
      <c r="Z89" s="2663"/>
      <c r="AA89" s="2663"/>
      <c r="AB89" s="2663"/>
      <c r="AC89" s="2663"/>
    </row>
    <row r="90" spans="1:29" s="416" customFormat="1" ht="15" thickTop="1">
      <c r="A90" s="414"/>
      <c r="B90" s="477" t="s">
        <v>2487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99"/>
      <c r="O90" s="2699"/>
      <c r="P90" s="2707"/>
      <c r="Q90" s="2691"/>
      <c r="R90" s="2669"/>
      <c r="S90" s="2669"/>
      <c r="T90" s="2669"/>
      <c r="U90" s="2669"/>
      <c r="V90" s="2669"/>
      <c r="W90" s="2669"/>
      <c r="X90" s="2669"/>
      <c r="Y90" s="2669"/>
      <c r="Z90" s="2669"/>
      <c r="AA90" s="2669"/>
      <c r="AB90" s="2669"/>
      <c r="AC90" s="2669"/>
    </row>
    <row r="91" spans="1:29" s="416" customFormat="1">
      <c r="A91" s="414"/>
      <c r="B91" s="485"/>
      <c r="C91" s="9"/>
      <c r="D91" s="9"/>
      <c r="E91" s="9"/>
      <c r="F91" s="9"/>
      <c r="G91" s="9"/>
      <c r="H91" s="9"/>
      <c r="I91" s="9"/>
      <c r="J91" s="532"/>
      <c r="K91" s="532"/>
      <c r="L91" s="533"/>
      <c r="M91" s="534"/>
      <c r="N91" s="2699"/>
      <c r="O91" s="2699"/>
      <c r="P91" s="2707"/>
      <c r="Q91" s="2691"/>
      <c r="R91" s="2669"/>
      <c r="S91" s="2669"/>
      <c r="T91" s="2669"/>
      <c r="U91" s="2669"/>
      <c r="V91" s="2669"/>
      <c r="W91" s="2669"/>
      <c r="X91" s="2669"/>
      <c r="Y91" s="2669"/>
      <c r="Z91" s="2669"/>
      <c r="AA91" s="2669"/>
      <c r="AB91" s="2669"/>
      <c r="AC91" s="2669"/>
    </row>
    <row r="92" spans="1:29" s="416" customFormat="1" ht="15.75" thickBot="1">
      <c r="A92" s="492"/>
      <c r="B92" s="482"/>
      <c r="C92" s="499"/>
      <c r="D92" s="475"/>
      <c r="E92" s="475"/>
      <c r="F92" s="475"/>
      <c r="G92" s="475"/>
      <c r="H92" s="475"/>
      <c r="I92" s="475"/>
      <c r="J92" s="475"/>
      <c r="K92" s="475"/>
      <c r="L92" s="475"/>
      <c r="M92" s="476"/>
      <c r="N92" s="2699"/>
      <c r="O92" s="2699"/>
      <c r="P92" s="2707"/>
      <c r="Q92" s="2691"/>
      <c r="R92" s="2669"/>
      <c r="S92" s="2669"/>
      <c r="T92" s="2669"/>
      <c r="U92" s="2669"/>
      <c r="V92" s="2669"/>
      <c r="W92" s="2669"/>
      <c r="X92" s="2669"/>
      <c r="Y92" s="2669"/>
      <c r="Z92" s="2669"/>
      <c r="AA92" s="2669"/>
      <c r="AB92" s="2669"/>
      <c r="AC92" s="2669"/>
    </row>
    <row r="93" spans="1:29" ht="15" thickTop="1">
      <c r="A93" s="417"/>
      <c r="B93" s="477" t="s">
        <v>2488</v>
      </c>
      <c r="C93" s="493"/>
      <c r="D93" s="493"/>
      <c r="E93" s="521"/>
      <c r="F93" s="521"/>
      <c r="G93" s="521"/>
      <c r="H93" s="521"/>
      <c r="I93" s="521"/>
      <c r="J93" s="521"/>
      <c r="K93" s="522"/>
      <c r="L93" s="523"/>
      <c r="M93" s="524"/>
      <c r="N93" s="2697"/>
      <c r="O93" s="2697"/>
      <c r="P93" s="2706"/>
      <c r="Q93" s="2684"/>
      <c r="R93" s="2663"/>
      <c r="S93" s="2663"/>
      <c r="T93" s="2663"/>
      <c r="U93" s="2663"/>
      <c r="V93" s="2663"/>
      <c r="W93" s="2663"/>
      <c r="X93" s="2663"/>
      <c r="Y93" s="2663"/>
      <c r="Z93" s="2663"/>
      <c r="AA93" s="2663"/>
      <c r="AB93" s="2663"/>
      <c r="AC93" s="2663"/>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98"/>
      <c r="O94" s="2698"/>
      <c r="P94" s="2706"/>
      <c r="Q94" s="2684"/>
      <c r="R94" s="2663"/>
      <c r="S94" s="2663"/>
      <c r="T94" s="2663"/>
      <c r="U94" s="2663"/>
      <c r="V94" s="2663"/>
      <c r="W94" s="2663"/>
      <c r="X94" s="2663"/>
      <c r="Y94" s="2663"/>
      <c r="Z94" s="2663"/>
      <c r="AA94" s="2663"/>
      <c r="AB94" s="2663"/>
      <c r="AC94" s="2663"/>
    </row>
    <row r="95" spans="1:29" ht="15" thickTop="1">
      <c r="A95" s="417"/>
      <c r="B95" s="477" t="s">
        <v>2489</v>
      </c>
      <c r="C95" s="470"/>
      <c r="D95" s="470"/>
      <c r="E95" s="470"/>
      <c r="F95" s="470"/>
      <c r="G95" s="470"/>
      <c r="H95" s="470"/>
      <c r="I95" s="470"/>
      <c r="J95" s="470"/>
      <c r="K95" s="471"/>
      <c r="L95" s="472"/>
      <c r="M95" s="473"/>
      <c r="N95" s="2697"/>
      <c r="O95" s="2697"/>
      <c r="P95" s="2706"/>
      <c r="Q95" s="2684"/>
      <c r="R95" s="2663"/>
      <c r="S95" s="2663"/>
      <c r="T95" s="2663"/>
      <c r="U95" s="2663"/>
      <c r="V95" s="2663"/>
      <c r="W95" s="2663"/>
      <c r="X95" s="2663"/>
      <c r="Y95" s="2663"/>
      <c r="Z95" s="2663"/>
      <c r="AA95" s="2663"/>
      <c r="AB95" s="2663"/>
      <c r="AC95" s="2663"/>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98"/>
      <c r="O96" s="2698"/>
      <c r="P96" s="2706"/>
      <c r="Q96" s="2684"/>
      <c r="R96" s="2663"/>
      <c r="S96" s="2663"/>
      <c r="T96" s="2663"/>
      <c r="U96" s="2663"/>
      <c r="V96" s="2663"/>
      <c r="W96" s="2663"/>
      <c r="X96" s="2663"/>
      <c r="Y96" s="2663"/>
      <c r="Z96" s="2663"/>
      <c r="AA96" s="2663"/>
      <c r="AB96" s="2663"/>
      <c r="AC96" s="2663"/>
    </row>
    <row r="97" spans="1:29" ht="15" thickTop="1">
      <c r="A97" s="417"/>
      <c r="B97" s="568">
        <f>B34</f>
        <v>111</v>
      </c>
      <c r="C97" s="488"/>
      <c r="D97" s="488"/>
      <c r="E97" s="488"/>
      <c r="F97" s="488"/>
      <c r="G97" s="493"/>
      <c r="H97" s="494"/>
      <c r="I97" s="494"/>
      <c r="J97" s="494"/>
      <c r="K97" s="494"/>
      <c r="L97" s="495"/>
      <c r="M97" s="496"/>
      <c r="N97" s="2698"/>
      <c r="O97" s="2698"/>
      <c r="P97" s="2711"/>
      <c r="Q97" s="2712"/>
      <c r="R97" s="2663"/>
      <c r="S97" s="2663"/>
      <c r="T97" s="2663"/>
      <c r="U97" s="2663"/>
      <c r="V97" s="2663"/>
      <c r="W97" s="2663"/>
      <c r="X97" s="2663"/>
      <c r="Y97" s="2663"/>
      <c r="Z97" s="2663"/>
      <c r="AA97" s="2663"/>
      <c r="AB97" s="2663"/>
      <c r="AC97" s="2663"/>
    </row>
    <row r="98" spans="1:29" ht="15.75" thickBot="1">
      <c r="A98" s="375"/>
      <c r="B98" s="482"/>
      <c r="C98" s="499"/>
      <c r="D98" s="475"/>
      <c r="E98" s="475"/>
      <c r="F98" s="475"/>
      <c r="G98" s="499"/>
      <c r="H98" s="501"/>
      <c r="I98" s="501"/>
      <c r="J98" s="501"/>
      <c r="K98" s="501"/>
      <c r="L98" s="501"/>
      <c r="M98" s="502"/>
      <c r="N98" s="2698"/>
      <c r="O98" s="2698"/>
      <c r="P98" s="2706"/>
      <c r="Q98" s="2684"/>
      <c r="R98" s="2663"/>
      <c r="S98" s="2663"/>
      <c r="T98" s="2663"/>
      <c r="U98" s="2663"/>
      <c r="V98" s="2663"/>
      <c r="W98" s="2663"/>
      <c r="X98" s="2663"/>
      <c r="Y98" s="2663"/>
      <c r="Z98" s="2663"/>
      <c r="AA98" s="2663"/>
      <c r="AB98" s="2663"/>
      <c r="AC98" s="2663"/>
    </row>
    <row r="99" spans="1:29" s="416" customFormat="1" ht="15" thickTop="1">
      <c r="A99" s="414"/>
      <c r="B99" s="477">
        <f>B35</f>
        <v>111</v>
      </c>
      <c r="C99" s="488"/>
      <c r="D99" s="488"/>
      <c r="E99" s="488"/>
      <c r="F99" s="488"/>
      <c r="G99" s="493"/>
      <c r="H99" s="494"/>
      <c r="I99" s="494"/>
      <c r="J99" s="494"/>
      <c r="K99" s="494"/>
      <c r="L99" s="495"/>
      <c r="M99" s="496"/>
      <c r="N99" s="2699"/>
      <c r="O99" s="2699"/>
      <c r="P99" s="2707"/>
      <c r="Q99" s="2691"/>
      <c r="R99" s="2669"/>
      <c r="S99" s="2669"/>
      <c r="T99" s="2669"/>
      <c r="U99" s="2669"/>
      <c r="V99" s="2669"/>
      <c r="W99" s="2669"/>
      <c r="X99" s="2669"/>
      <c r="Y99" s="2669"/>
      <c r="Z99" s="2669"/>
      <c r="AA99" s="2669"/>
      <c r="AB99" s="2669"/>
      <c r="AC99" s="2669"/>
    </row>
    <row r="100" spans="1:29" s="416" customFormat="1" ht="15.75" thickBot="1">
      <c r="A100" s="492"/>
      <c r="B100" s="474"/>
      <c r="C100" s="499"/>
      <c r="D100" s="475"/>
      <c r="E100" s="475"/>
      <c r="F100" s="475"/>
      <c r="G100" s="499"/>
      <c r="H100" s="501"/>
      <c r="I100" s="501"/>
      <c r="J100" s="501"/>
      <c r="K100" s="501"/>
      <c r="L100" s="501"/>
      <c r="M100" s="502"/>
      <c r="N100" s="2699"/>
      <c r="O100" s="2699"/>
      <c r="P100" s="2707"/>
      <c r="Q100" s="2691"/>
      <c r="R100" s="2669"/>
      <c r="S100" s="2669"/>
      <c r="T100" s="2669"/>
      <c r="U100" s="2669"/>
      <c r="V100" s="2669"/>
      <c r="W100" s="2669"/>
      <c r="X100" s="2669"/>
      <c r="Y100" s="2669"/>
      <c r="Z100" s="2669"/>
      <c r="AA100" s="2669"/>
      <c r="AB100" s="2669"/>
      <c r="AC100" s="2669"/>
    </row>
    <row r="101" spans="1:29" ht="15" thickTop="1">
      <c r="A101" s="417"/>
      <c r="B101" s="477">
        <f>B36</f>
        <v>111</v>
      </c>
      <c r="C101" s="493"/>
      <c r="D101" s="493"/>
      <c r="E101" s="493"/>
      <c r="F101" s="493"/>
      <c r="G101" s="493"/>
      <c r="H101" s="494"/>
      <c r="I101" s="494"/>
      <c r="J101" s="494"/>
      <c r="K101" s="494"/>
      <c r="L101" s="495"/>
      <c r="M101" s="496"/>
      <c r="N101" s="2697"/>
      <c r="O101" s="2697"/>
      <c r="P101" s="2706"/>
      <c r="Q101" s="2684"/>
      <c r="R101" s="2663"/>
      <c r="S101" s="2663"/>
      <c r="T101" s="2663"/>
      <c r="U101" s="2663"/>
      <c r="V101" s="2663"/>
      <c r="W101" s="2663"/>
      <c r="X101" s="2663"/>
      <c r="Y101" s="2663"/>
      <c r="Z101" s="2663"/>
      <c r="AA101" s="2663"/>
      <c r="AB101" s="2663"/>
      <c r="AC101" s="2663"/>
    </row>
    <row r="102" spans="1:29" ht="15.75" thickBot="1">
      <c r="A102" s="375"/>
      <c r="B102" s="482"/>
      <c r="C102" s="499"/>
      <c r="D102" s="499"/>
      <c r="E102" s="499"/>
      <c r="F102" s="499"/>
      <c r="G102" s="499"/>
      <c r="H102" s="501"/>
      <c r="I102" s="501"/>
      <c r="J102" s="501"/>
      <c r="K102" s="501"/>
      <c r="L102" s="501"/>
      <c r="M102" s="502"/>
      <c r="N102" s="2698"/>
      <c r="O102" s="2698"/>
      <c r="P102" s="2706"/>
      <c r="Q102" s="2684"/>
      <c r="R102" s="2663"/>
      <c r="S102" s="2663"/>
      <c r="T102" s="2663"/>
      <c r="U102" s="2663"/>
      <c r="V102" s="2663"/>
      <c r="W102" s="2663"/>
      <c r="X102" s="2663"/>
      <c r="Y102" s="2663"/>
      <c r="Z102" s="2663"/>
      <c r="AA102" s="2663"/>
      <c r="AB102" s="2663"/>
      <c r="AC102" s="2663"/>
    </row>
    <row r="103" spans="1:29" ht="15" thickTop="1">
      <c r="N103" s="2663"/>
      <c r="O103" s="2663"/>
      <c r="P103" s="2700"/>
      <c r="Q103" s="2663"/>
      <c r="R103" s="2663"/>
      <c r="S103" s="2663"/>
      <c r="T103" s="2663"/>
      <c r="U103" s="2663"/>
      <c r="V103" s="2663"/>
      <c r="W103" s="2663"/>
      <c r="X103" s="2663"/>
      <c r="Y103" s="2663"/>
      <c r="Z103" s="2663"/>
      <c r="AA103" s="2663"/>
      <c r="AB103" s="2663"/>
      <c r="AC103" s="26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2460</v>
      </c>
      <c r="B1" s="1272"/>
      <c r="C1" s="1273" t="s">
        <v>2285</v>
      </c>
      <c r="D1" s="1274"/>
      <c r="E1" s="1283"/>
      <c r="F1" s="1879"/>
      <c r="G1" s="1284" t="s">
        <v>2396</v>
      </c>
      <c r="H1" s="1283"/>
      <c r="I1" s="1283"/>
      <c r="J1" s="1283"/>
      <c r="K1" s="1285"/>
      <c r="L1" s="1286"/>
      <c r="M1" s="1287"/>
      <c r="N1" s="1287"/>
      <c r="O1" s="1287"/>
      <c r="P1" s="1273"/>
      <c r="Q1" s="1273"/>
      <c r="R1" s="1273"/>
      <c r="S1" s="1273"/>
      <c r="T1" s="1273"/>
      <c r="U1" s="1273"/>
      <c r="V1" s="1273"/>
      <c r="W1" s="1273"/>
      <c r="X1" s="1273"/>
      <c r="Y1" s="1273"/>
      <c r="Z1" s="1273"/>
      <c r="AA1" s="1273"/>
      <c r="AB1" s="1273"/>
      <c r="AC1" s="1281"/>
    </row>
    <row r="2" spans="1:29" s="348" customFormat="1" ht="28.5" customHeight="1" thickTop="1">
      <c r="A2" s="1270" t="s">
        <v>2082</v>
      </c>
      <c r="B2" s="1212" t="e">
        <f ca="1">IF(C2="——",ROUND(C37*D3/10000,0),ROUND(C37*D3/10000,0)-D2)</f>
        <v>#DIV/0!</v>
      </c>
      <c r="C2" s="1881"/>
      <c r="D2" s="977" t="e">
        <f ca="1">SUMIF(INDIRECT("'"&amp;F2&amp;"'"&amp;"!A:A"),"承租人权益价值",INDIRECT("'"&amp;F2&amp;"'"&amp;"!c:c"))</f>
        <v>#REF!</v>
      </c>
      <c r="E2" s="1882" t="s">
        <v>2083</v>
      </c>
      <c r="F2" s="1883"/>
      <c r="G2" s="978"/>
      <c r="H2" s="978"/>
      <c r="I2" s="978"/>
      <c r="J2" s="978"/>
      <c r="K2" s="980"/>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 ca="1">IF(C2="——",C37,ROUND(B2*10000/D3,0))</f>
        <v>#DIV/0!</v>
      </c>
      <c r="C3" s="350" t="s">
        <v>2397</v>
      </c>
      <c r="D3" s="349">
        <f>SUMIF('数据-汇总表'!$C19:$C33,D1,'数据-汇总表'!$E19:$E33)</f>
        <v>0</v>
      </c>
      <c r="E3" s="978"/>
      <c r="F3" s="979"/>
      <c r="G3" s="978"/>
      <c r="H3" s="978"/>
      <c r="I3" s="978"/>
      <c r="J3" s="978"/>
      <c r="K3" s="980"/>
      <c r="L3" s="2679"/>
      <c r="M3" s="2680"/>
      <c r="N3" s="2680"/>
      <c r="O3" s="2680"/>
      <c r="P3" s="347"/>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SUMIF(46:46,YEAR(E7)&amp;"-"&amp;MONTH(E7),47:47)</f>
        <v>0</v>
      </c>
      <c r="G7" s="1964"/>
      <c r="H7" s="361">
        <f>SUMIF(46:46,YEAR(G7)&amp;"-"&amp;MONTH(G7),47:47)</f>
        <v>0</v>
      </c>
      <c r="I7" s="362"/>
      <c r="J7" s="361">
        <f>SUMIF(46:46,YEAR(I7)&amp;"-"&amp;MONTH(I7),47:47)</f>
        <v>0</v>
      </c>
      <c r="K7" s="41"/>
      <c r="L7" s="2664"/>
      <c r="M7" s="2613"/>
      <c r="N7" s="2613"/>
      <c r="O7" s="2613"/>
      <c r="P7" s="3391" t="s">
        <v>2303</v>
      </c>
      <c r="Q7" s="3392"/>
      <c r="R7" s="672" t="s">
        <v>17</v>
      </c>
      <c r="S7" s="673">
        <f t="shared" ref="S7:S14" si="0">F7</f>
        <v>0</v>
      </c>
      <c r="T7" s="672" t="s">
        <v>17</v>
      </c>
      <c r="U7" s="673">
        <f t="shared" ref="U7:U14" si="1">H7</f>
        <v>0</v>
      </c>
      <c r="V7" s="672" t="s">
        <v>17</v>
      </c>
      <c r="W7" s="673">
        <f t="shared" ref="W7:W14" si="2">J7</f>
        <v>0</v>
      </c>
      <c r="X7" s="674"/>
      <c r="Y7" s="3391" t="s">
        <v>2303</v>
      </c>
      <c r="Z7" s="3390"/>
      <c r="AA7" s="53" t="e">
        <f>D7/F7</f>
        <v>#DIV/0!</v>
      </c>
      <c r="AB7" s="53" t="e">
        <f>D7/H7</f>
        <v>#DIV/0!</v>
      </c>
      <c r="AC7" s="53" t="e">
        <f>D7/J7</f>
        <v>#DIV/0!</v>
      </c>
    </row>
    <row r="8" spans="1:29" s="107" customFormat="1" ht="15.75" thickBot="1">
      <c r="A8" s="358" t="s">
        <v>2304</v>
      </c>
      <c r="B8" s="359"/>
      <c r="C8" s="364" t="s">
        <v>2405</v>
      </c>
      <c r="D8" s="361">
        <v>100</v>
      </c>
      <c r="E8" s="364"/>
      <c r="F8" s="363">
        <f>SUMIF(49:49,E8,50:50)-SUMIF(49:49,C8,50:50)+100</f>
        <v>0</v>
      </c>
      <c r="G8" s="364"/>
      <c r="H8" s="361">
        <f>SUMIF(49:49,G8,50:50)-SUMIF(49:49,C8,50:50)+100</f>
        <v>0</v>
      </c>
      <c r="I8" s="364"/>
      <c r="J8" s="361">
        <f>SUMIF(49:49,I8,50:50)-SUMIF(49:49,C8,50:50)+100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34" si="3">D8/F8</f>
        <v>#DIV/0!</v>
      </c>
      <c r="AB8" s="53" t="e">
        <f t="shared" ref="AB8:AB34" si="4">D8/H8</f>
        <v>#DIV/0!</v>
      </c>
      <c r="AC8" s="53" t="e">
        <f t="shared" ref="AC8:AC34" si="5">D8/J8</f>
        <v>#DIV/0!</v>
      </c>
    </row>
    <row r="9" spans="1:29" s="107" customFormat="1">
      <c r="A9" s="365" t="s">
        <v>2307</v>
      </c>
      <c r="B9" s="64" t="s">
        <v>2308</v>
      </c>
      <c r="C9" s="366"/>
      <c r="D9" s="63">
        <v>100</v>
      </c>
      <c r="E9" s="368"/>
      <c r="F9" s="64">
        <f>SUMIF(51:51,E9,52:52)-SUMIF(51:51,C9,52:52)+100</f>
        <v>100</v>
      </c>
      <c r="G9" s="368"/>
      <c r="H9" s="63">
        <f>SUMIF(51:51,G9,52:52)-SUMIF(51:51,C9,52:52)+100</f>
        <v>100</v>
      </c>
      <c r="I9" s="368"/>
      <c r="J9" s="63">
        <f>SUMIF(51:51,I9,52:52)-SUMIF(51:51,C9,52:52)+100</f>
        <v>100</v>
      </c>
      <c r="K9" s="41"/>
      <c r="L9" s="2664"/>
      <c r="M9" s="2613"/>
      <c r="N9" s="2613"/>
      <c r="O9" s="2716"/>
      <c r="P9" s="3351" t="s">
        <v>2309</v>
      </c>
      <c r="Q9" s="538" t="str">
        <f t="shared" ref="Q9:Q14" si="6">B9</f>
        <v>用途</v>
      </c>
      <c r="R9" s="672" t="s">
        <v>17</v>
      </c>
      <c r="S9" s="673">
        <f t="shared" si="0"/>
        <v>100</v>
      </c>
      <c r="T9" s="672" t="s">
        <v>17</v>
      </c>
      <c r="U9" s="673">
        <f t="shared" si="1"/>
        <v>100</v>
      </c>
      <c r="V9" s="672" t="s">
        <v>17</v>
      </c>
      <c r="W9" s="673">
        <f t="shared" si="2"/>
        <v>100</v>
      </c>
      <c r="X9" s="674"/>
      <c r="Y9" s="3225" t="s">
        <v>2310</v>
      </c>
      <c r="Z9" s="53" t="str">
        <f t="shared" ref="Z9:Z14" si="7">Q9</f>
        <v>用途</v>
      </c>
      <c r="AA9" s="53">
        <f t="shared" si="3"/>
        <v>1</v>
      </c>
      <c r="AB9" s="53">
        <f t="shared" si="4"/>
        <v>1</v>
      </c>
      <c r="AC9" s="53">
        <f t="shared" si="5"/>
        <v>1</v>
      </c>
    </row>
    <row r="10" spans="1:29" s="374" customFormat="1" ht="27">
      <c r="A10" s="369"/>
      <c r="B10" s="370" t="s">
        <v>2311</v>
      </c>
      <c r="C10" s="371"/>
      <c r="D10" s="124">
        <v>100</v>
      </c>
      <c r="E10" s="371"/>
      <c r="F10" s="370">
        <f>SUMIF(53:53,E10,54:54)-SUMIF(53:53,C10,54:54)+100</f>
        <v>100</v>
      </c>
      <c r="G10" s="371"/>
      <c r="H10" s="124">
        <f>SUMIF(53:53,G10,54:54)-SUMIF(53:53,C10,54:54)+100</f>
        <v>100</v>
      </c>
      <c r="I10" s="371"/>
      <c r="J10" s="124">
        <f>SUMIF(53:53,I10,54:54)-SUMIF(53:53,C10,54:54)+100</f>
        <v>100</v>
      </c>
      <c r="K10" s="546"/>
      <c r="L10" s="2665"/>
      <c r="M10" s="2666"/>
      <c r="N10" s="2666"/>
      <c r="O10" s="2717"/>
      <c r="P10" s="3351"/>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67"/>
      <c r="M11" s="2663"/>
      <c r="N11" s="2663"/>
      <c r="O11" s="2718"/>
      <c r="P11" s="3351"/>
      <c r="Q11" s="538">
        <f t="shared" si="6"/>
        <v>111</v>
      </c>
      <c r="R11" s="672" t="s">
        <v>17</v>
      </c>
      <c r="S11" s="673">
        <f t="shared" si="0"/>
        <v>100</v>
      </c>
      <c r="T11" s="672" t="s">
        <v>17</v>
      </c>
      <c r="U11" s="673">
        <f t="shared" si="1"/>
        <v>100</v>
      </c>
      <c r="V11" s="672" t="s">
        <v>17</v>
      </c>
      <c r="W11" s="673">
        <f t="shared" si="2"/>
        <v>100</v>
      </c>
      <c r="X11" s="674"/>
      <c r="Y11" s="3225"/>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64"/>
      <c r="M12" s="2613"/>
      <c r="N12" s="2613"/>
      <c r="O12" s="2716"/>
      <c r="P12" s="3351"/>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65"/>
      <c r="H13" s="385">
        <f>SUMIF(59:59,G13,60:60)-SUMIF(59:59,C13,60:60)+100</f>
        <v>100</v>
      </c>
      <c r="I13" s="415"/>
      <c r="J13" s="382">
        <f>SUMIF(59:59,I13,60:60)-SUMIF(59:59,C13,60:60)+100</f>
        <v>100</v>
      </c>
      <c r="K13" s="547"/>
      <c r="L13" s="2668"/>
      <c r="M13" s="2663"/>
      <c r="N13" s="2663"/>
      <c r="O13" s="2718"/>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99.75">
      <c r="A14" s="387" t="s">
        <v>2313</v>
      </c>
      <c r="B14" s="62" t="s">
        <v>2462</v>
      </c>
      <c r="C14" s="1961" t="str">
        <f>IF(B1="工业",估价对象房地状况!G4,估价对象房地状况!C6)</f>
        <v>周边有315路、607路、629路等多条公交线路及地铁8号线育新站，综合评价交通便捷度较好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68"/>
      <c r="M14" s="2663"/>
      <c r="N14" s="2663"/>
      <c r="O14" s="2718"/>
      <c r="P14" s="3358" t="s">
        <v>2314</v>
      </c>
      <c r="Q14" s="1407" t="str">
        <f t="shared" si="6"/>
        <v>交通便捷度</v>
      </c>
      <c r="R14" s="675" t="s">
        <v>17</v>
      </c>
      <c r="S14" s="676">
        <f t="shared" si="0"/>
        <v>100</v>
      </c>
      <c r="T14" s="675" t="s">
        <v>17</v>
      </c>
      <c r="U14" s="676">
        <f t="shared" si="1"/>
        <v>100</v>
      </c>
      <c r="V14" s="675" t="s">
        <v>17</v>
      </c>
      <c r="W14" s="676">
        <f t="shared" si="2"/>
        <v>100</v>
      </c>
      <c r="X14" s="1409"/>
      <c r="Y14" s="3358" t="s">
        <v>2314</v>
      </c>
      <c r="Z14" s="1408" t="str">
        <f t="shared" si="7"/>
        <v>交通便捷度</v>
      </c>
      <c r="AA14" s="1408">
        <f t="shared" si="3"/>
        <v>1</v>
      </c>
      <c r="AB14" s="1408">
        <f t="shared" si="4"/>
        <v>1</v>
      </c>
      <c r="AC14" s="1408">
        <f t="shared" si="5"/>
        <v>1</v>
      </c>
    </row>
    <row r="15" spans="1:29" ht="15">
      <c r="A15" s="375"/>
      <c r="B15" s="393"/>
      <c r="C15" s="394"/>
      <c r="D15" s="395"/>
      <c r="E15" s="394"/>
      <c r="F15" s="396"/>
      <c r="G15" s="394"/>
      <c r="H15" s="397"/>
      <c r="I15" s="394"/>
      <c r="J15" s="395"/>
      <c r="K15" s="549"/>
      <c r="L15" s="2668"/>
      <c r="M15" s="2663"/>
      <c r="N15" s="2663"/>
      <c r="O15" s="2718"/>
      <c r="P15" s="3359"/>
      <c r="Q15" s="1407"/>
      <c r="R15" s="675"/>
      <c r="S15" s="676"/>
      <c r="T15" s="675"/>
      <c r="U15" s="676"/>
      <c r="V15" s="675"/>
      <c r="W15" s="676"/>
      <c r="X15" s="1409"/>
      <c r="Y15" s="3359"/>
      <c r="Z15" s="1408"/>
      <c r="AA15" s="1408">
        <v>1</v>
      </c>
      <c r="AB15" s="1408">
        <v>1</v>
      </c>
      <c r="AC15" s="1408">
        <v>1</v>
      </c>
    </row>
    <row r="16" spans="1:29" ht="256.5">
      <c r="A16" s="375"/>
      <c r="B16" s="398" t="s">
        <v>2441</v>
      </c>
      <c r="C16" s="1898" t="str">
        <f>IF(B1="工业",估价对象房地状况!G5,估价对象房地状况!C7)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6" s="402">
        <v>100</v>
      </c>
      <c r="E16" s="404"/>
      <c r="F16" s="405">
        <f>SUMIF(63:63,E17,64:64)-SUMIF(63:63,C17,64:64)+100</f>
        <v>100</v>
      </c>
      <c r="G16" s="406"/>
      <c r="H16" s="402">
        <f>SUMIF(63:63,G17,64:64)-SUMIF(63:63,C17,64:64)+100</f>
        <v>100</v>
      </c>
      <c r="I16" s="404"/>
      <c r="J16" s="402">
        <f>SUMIF(63:63,I17,64:64)-SUMIF(63:63,C17,64:64)+100</f>
        <v>100</v>
      </c>
      <c r="K16" s="548"/>
      <c r="L16" s="2668"/>
      <c r="M16" s="2663"/>
      <c r="N16" s="2663"/>
      <c r="O16" s="2718"/>
      <c r="P16" s="3359"/>
      <c r="Q16" s="1407" t="str">
        <f>B16</f>
        <v>公共配套设施</v>
      </c>
      <c r="R16" s="675" t="s">
        <v>17</v>
      </c>
      <c r="S16" s="676">
        <f>F16</f>
        <v>100</v>
      </c>
      <c r="T16" s="675" t="s">
        <v>17</v>
      </c>
      <c r="U16" s="676">
        <f>H16</f>
        <v>100</v>
      </c>
      <c r="V16" s="675" t="s">
        <v>17</v>
      </c>
      <c r="W16" s="676">
        <f>J16</f>
        <v>100</v>
      </c>
      <c r="X16" s="1409"/>
      <c r="Y16" s="3359"/>
      <c r="Z16" s="1408" t="str">
        <f>Q16</f>
        <v>公共配套设施</v>
      </c>
      <c r="AA16" s="1408">
        <f t="shared" si="3"/>
        <v>1</v>
      </c>
      <c r="AB16" s="1408">
        <f t="shared" si="4"/>
        <v>1</v>
      </c>
      <c r="AC16" s="1408">
        <f t="shared" si="5"/>
        <v>1</v>
      </c>
    </row>
    <row r="17" spans="1:29" ht="15">
      <c r="A17" s="375"/>
      <c r="B17" s="403"/>
      <c r="C17" s="1899"/>
      <c r="D17" s="395"/>
      <c r="E17" s="394"/>
      <c r="F17" s="396"/>
      <c r="G17" s="394"/>
      <c r="H17" s="395"/>
      <c r="I17" s="394"/>
      <c r="J17" s="395"/>
      <c r="K17" s="549"/>
      <c r="L17" s="2668"/>
      <c r="M17" s="2663"/>
      <c r="N17" s="2663"/>
      <c r="O17" s="2718"/>
      <c r="P17" s="3359"/>
      <c r="Q17" s="1407"/>
      <c r="R17" s="675"/>
      <c r="S17" s="676"/>
      <c r="T17" s="675"/>
      <c r="U17" s="676"/>
      <c r="V17" s="675"/>
      <c r="W17" s="676"/>
      <c r="X17" s="1409"/>
      <c r="Y17" s="3359"/>
      <c r="Z17" s="1408"/>
      <c r="AA17" s="1408">
        <v>1</v>
      </c>
      <c r="AB17" s="1408">
        <v>1</v>
      </c>
      <c r="AC17" s="1408">
        <v>1</v>
      </c>
    </row>
    <row r="18" spans="1:29" ht="15">
      <c r="A18" s="375"/>
      <c r="B18" s="594" t="s">
        <v>2442</v>
      </c>
      <c r="C18" s="1898" t="str">
        <f>IF(B1="工业",估价对象房地状况!G6,估价对象房地状况!C8)</f>
        <v>七通</v>
      </c>
      <c r="D18" s="402">
        <v>100</v>
      </c>
      <c r="E18" s="399"/>
      <c r="F18" s="405">
        <f>SUMIF(65:65,E19,66:66)-SUMIF(65:65,C19,66:66)+100</f>
        <v>100</v>
      </c>
      <c r="G18" s="401"/>
      <c r="H18" s="402">
        <f>SUMIF(65:65,G19,66:66)-SUMIF(65:65,C19,66:66)+100</f>
        <v>100</v>
      </c>
      <c r="I18" s="404"/>
      <c r="J18" s="402">
        <f>SUMIF(65:65,I19,66:66)-SUMIF(65:65,C19,66:66)+100</f>
        <v>100</v>
      </c>
      <c r="K18" s="548"/>
      <c r="L18" s="2668"/>
      <c r="M18" s="2663"/>
      <c r="N18" s="2663"/>
      <c r="O18" s="2718"/>
      <c r="P18" s="3359"/>
      <c r="Q18" s="1407" t="str">
        <f>B18</f>
        <v>基础设施水平</v>
      </c>
      <c r="R18" s="675" t="s">
        <v>17</v>
      </c>
      <c r="S18" s="676">
        <f>F18</f>
        <v>100</v>
      </c>
      <c r="T18" s="675" t="s">
        <v>17</v>
      </c>
      <c r="U18" s="676">
        <f>H18</f>
        <v>100</v>
      </c>
      <c r="V18" s="675" t="s">
        <v>17</v>
      </c>
      <c r="W18" s="676">
        <f>J18</f>
        <v>100</v>
      </c>
      <c r="X18" s="1409"/>
      <c r="Y18" s="3359"/>
      <c r="Z18" s="1408" t="str">
        <f>Q18</f>
        <v>基础设施水平</v>
      </c>
      <c r="AA18" s="1408">
        <f t="shared" ref="AA18" si="8">D18/F18</f>
        <v>1</v>
      </c>
      <c r="AB18" s="1408">
        <f t="shared" ref="AB18" si="9">D18/H18</f>
        <v>1</v>
      </c>
      <c r="AC18" s="1408">
        <f t="shared" ref="AC18" si="10">D18/J18</f>
        <v>1</v>
      </c>
    </row>
    <row r="19" spans="1:29" ht="15">
      <c r="A19" s="375"/>
      <c r="B19" s="594"/>
      <c r="C19" s="1899"/>
      <c r="D19" s="397"/>
      <c r="E19" s="1899"/>
      <c r="F19" s="400"/>
      <c r="G19" s="1899"/>
      <c r="H19" s="395"/>
      <c r="I19" s="394"/>
      <c r="J19" s="395"/>
      <c r="K19" s="1191"/>
      <c r="L19" s="2668"/>
      <c r="M19" s="2663"/>
      <c r="N19" s="2663"/>
      <c r="O19" s="2718"/>
      <c r="P19" s="3359"/>
      <c r="Q19" s="1407"/>
      <c r="R19" s="675"/>
      <c r="S19" s="676"/>
      <c r="T19" s="675"/>
      <c r="U19" s="676"/>
      <c r="V19" s="675"/>
      <c r="W19" s="676"/>
      <c r="X19" s="1409"/>
      <c r="Y19" s="3359"/>
      <c r="Z19" s="1408"/>
      <c r="AA19" s="1408">
        <v>1</v>
      </c>
      <c r="AB19" s="1408">
        <v>1</v>
      </c>
      <c r="AC19" s="1408">
        <v>1</v>
      </c>
    </row>
    <row r="20" spans="1:29" ht="42.75">
      <c r="A20" s="375"/>
      <c r="B20" s="398" t="s">
        <v>2463</v>
      </c>
      <c r="C20" s="1898" t="str">
        <f>IF(B1="工业",估价对象房地状况!G7,估价对象房地状况!C9)</f>
        <v>周边绿化以街区级绿化为主，一般</v>
      </c>
      <c r="D20" s="402">
        <v>100</v>
      </c>
      <c r="E20" s="404"/>
      <c r="F20" s="405">
        <f>SUMIF(67:67,E21,68:68)-SUMIF(67:67,C21,68:68)+100</f>
        <v>100</v>
      </c>
      <c r="G20" s="406"/>
      <c r="H20" s="397">
        <f>SUMIF(67:67,G21,68:68)-SUMIF(67:67,C21,68:68)+100</f>
        <v>100</v>
      </c>
      <c r="I20" s="399"/>
      <c r="J20" s="397">
        <f>SUMIF(67:67,I21,68:68)-SUMIF(67:67,C21,68:68)+100</f>
        <v>100</v>
      </c>
      <c r="K20" s="548"/>
      <c r="L20" s="2668"/>
      <c r="M20" s="2663"/>
      <c r="N20" s="2663"/>
      <c r="O20" s="2718"/>
      <c r="P20" s="3359"/>
      <c r="Q20" s="1407" t="str">
        <f>B20</f>
        <v>自然及人文环境</v>
      </c>
      <c r="R20" s="675" t="s">
        <v>17</v>
      </c>
      <c r="S20" s="676">
        <f>F20</f>
        <v>100</v>
      </c>
      <c r="T20" s="675" t="s">
        <v>17</v>
      </c>
      <c r="U20" s="676">
        <f>H20</f>
        <v>100</v>
      </c>
      <c r="V20" s="675" t="s">
        <v>17</v>
      </c>
      <c r="W20" s="676">
        <f>J20</f>
        <v>100</v>
      </c>
      <c r="X20" s="1409"/>
      <c r="Y20" s="3359"/>
      <c r="Z20" s="1408" t="str">
        <f>Q20</f>
        <v>自然及人文环境</v>
      </c>
      <c r="AA20" s="1408">
        <f t="shared" si="3"/>
        <v>1</v>
      </c>
      <c r="AB20" s="1408">
        <f t="shared" si="4"/>
        <v>1</v>
      </c>
      <c r="AC20" s="1408">
        <f t="shared" si="5"/>
        <v>1</v>
      </c>
    </row>
    <row r="21" spans="1:29" ht="15">
      <c r="A21" s="375"/>
      <c r="B21" s="403"/>
      <c r="C21" s="394"/>
      <c r="D21" s="395"/>
      <c r="E21" s="394"/>
      <c r="F21" s="396"/>
      <c r="G21" s="394"/>
      <c r="H21" s="395"/>
      <c r="I21" s="394"/>
      <c r="J21" s="395"/>
      <c r="K21" s="549"/>
      <c r="L21" s="2668"/>
      <c r="M21" s="2663"/>
      <c r="N21" s="2663"/>
      <c r="O21" s="2718"/>
      <c r="P21" s="3359"/>
      <c r="Q21" s="1407"/>
      <c r="R21" s="675"/>
      <c r="S21" s="676"/>
      <c r="T21" s="675"/>
      <c r="U21" s="676"/>
      <c r="V21" s="675"/>
      <c r="W21" s="676"/>
      <c r="X21" s="1409"/>
      <c r="Y21" s="3359"/>
      <c r="Z21" s="1408"/>
      <c r="AA21" s="1408">
        <v>1</v>
      </c>
      <c r="AB21" s="1408">
        <v>1</v>
      </c>
      <c r="AC21" s="1408">
        <v>1</v>
      </c>
    </row>
    <row r="22" spans="1:29" ht="15">
      <c r="A22" s="375"/>
      <c r="B22" s="398" t="s">
        <v>2464</v>
      </c>
      <c r="C22" s="550"/>
      <c r="D22" s="397">
        <v>100</v>
      </c>
      <c r="E22" s="550"/>
      <c r="F22" s="408">
        <f>SUMIF(69:69,E22,70:70)-SUMIF(69:69,C22,70:70)+100</f>
        <v>100</v>
      </c>
      <c r="G22" s="550"/>
      <c r="H22" s="382">
        <f>SUMIF(69:69,G22,70:70)-SUMIF(69:69,C22,70:70)+100</f>
        <v>100</v>
      </c>
      <c r="I22" s="550"/>
      <c r="J22" s="382">
        <f>SUMIF(69:69,I22,70:70)-SUMIF(69:69,C22,70:70)+100</f>
        <v>100</v>
      </c>
      <c r="K22" s="546"/>
      <c r="L22" s="2668"/>
      <c r="M22" s="2663"/>
      <c r="N22" s="2663"/>
      <c r="O22" s="2718"/>
      <c r="P22" s="3359"/>
      <c r="Q22" s="1407" t="str">
        <f>B22</f>
        <v>楼层</v>
      </c>
      <c r="R22" s="675" t="s">
        <v>17</v>
      </c>
      <c r="S22" s="676">
        <f>F22</f>
        <v>100</v>
      </c>
      <c r="T22" s="675" t="s">
        <v>17</v>
      </c>
      <c r="U22" s="676">
        <f>H22</f>
        <v>100</v>
      </c>
      <c r="V22" s="675" t="s">
        <v>17</v>
      </c>
      <c r="W22" s="676">
        <f>J22</f>
        <v>100</v>
      </c>
      <c r="X22" s="1409"/>
      <c r="Y22" s="3359"/>
      <c r="Z22" s="1408" t="str">
        <f>Q22</f>
        <v>楼层</v>
      </c>
      <c r="AA22" s="1408">
        <f t="shared" si="3"/>
        <v>1</v>
      </c>
      <c r="AB22" s="1408">
        <f t="shared" si="4"/>
        <v>1</v>
      </c>
      <c r="AC22" s="1408">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68"/>
      <c r="M23" s="2663"/>
      <c r="N23" s="2663"/>
      <c r="O23" s="2718"/>
      <c r="P23" s="3359"/>
      <c r="Q23" s="1407">
        <f>B23</f>
        <v>111</v>
      </c>
      <c r="R23" s="675" t="s">
        <v>17</v>
      </c>
      <c r="S23" s="676">
        <f>F23</f>
        <v>100</v>
      </c>
      <c r="T23" s="675" t="s">
        <v>17</v>
      </c>
      <c r="U23" s="676">
        <f>H23</f>
        <v>100</v>
      </c>
      <c r="V23" s="675" t="s">
        <v>17</v>
      </c>
      <c r="W23" s="676">
        <f>J23</f>
        <v>100</v>
      </c>
      <c r="X23" s="1409"/>
      <c r="Y23" s="3359"/>
      <c r="Z23" s="1408">
        <f>Q23</f>
        <v>111</v>
      </c>
      <c r="AA23" s="1408">
        <f t="shared" si="3"/>
        <v>1</v>
      </c>
      <c r="AB23" s="1408">
        <f t="shared" si="4"/>
        <v>1</v>
      </c>
      <c r="AC23" s="1408">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68"/>
      <c r="M24" s="2663"/>
      <c r="N24" s="2663"/>
      <c r="O24" s="2718"/>
      <c r="P24" s="3359"/>
      <c r="Q24" s="1407">
        <f t="shared" ref="Q24:Q34" si="11">B24</f>
        <v>111</v>
      </c>
      <c r="R24" s="675" t="s">
        <v>17</v>
      </c>
      <c r="S24" s="676">
        <f>F24</f>
        <v>100</v>
      </c>
      <c r="T24" s="675" t="s">
        <v>17</v>
      </c>
      <c r="U24" s="676">
        <f>H24</f>
        <v>100</v>
      </c>
      <c r="V24" s="675" t="s">
        <v>17</v>
      </c>
      <c r="W24" s="676">
        <f>J24</f>
        <v>100</v>
      </c>
      <c r="X24" s="1409"/>
      <c r="Y24" s="3359"/>
      <c r="Z24" s="1408">
        <f>Q24</f>
        <v>111</v>
      </c>
      <c r="AA24" s="1408">
        <f t="shared" si="3"/>
        <v>1</v>
      </c>
      <c r="AB24" s="1408">
        <f t="shared" si="4"/>
        <v>1</v>
      </c>
      <c r="AC24" s="1408">
        <f t="shared" si="5"/>
        <v>1</v>
      </c>
    </row>
    <row r="25" spans="1:29" s="107" customFormat="1" ht="15.75" thickBot="1">
      <c r="A25" s="378"/>
      <c r="B25" s="455">
        <v>111</v>
      </c>
      <c r="C25" s="1966"/>
      <c r="D25" s="565">
        <v>100</v>
      </c>
      <c r="E25" s="1966"/>
      <c r="F25" s="594">
        <f>SUMIF(75:75,E25,76:76)-SUMIF(75:75,C25,76:76)+100</f>
        <v>100</v>
      </c>
      <c r="G25" s="1966"/>
      <c r="H25" s="565">
        <f>SUMIF(75:75,G25,76:76)-SUMIF(75:75,C25,76:76)+100</f>
        <v>100</v>
      </c>
      <c r="I25" s="1966"/>
      <c r="J25" s="565">
        <f>SUMIF(75:75,I25,76:76)-SUMIF(75:75,C25,76:76)+100</f>
        <v>100</v>
      </c>
      <c r="K25" s="547"/>
      <c r="L25" s="2664"/>
      <c r="M25" s="2613"/>
      <c r="N25" s="2613"/>
      <c r="O25" s="2716"/>
      <c r="P25" s="3359"/>
      <c r="Q25" s="538">
        <f t="shared" si="11"/>
        <v>111</v>
      </c>
      <c r="R25" s="672" t="s">
        <v>17</v>
      </c>
      <c r="S25" s="673">
        <f>F25</f>
        <v>100</v>
      </c>
      <c r="T25" s="672" t="s">
        <v>17</v>
      </c>
      <c r="U25" s="673">
        <f>H25</f>
        <v>100</v>
      </c>
      <c r="V25" s="672" t="s">
        <v>17</v>
      </c>
      <c r="W25" s="673">
        <f>J25</f>
        <v>100</v>
      </c>
      <c r="X25" s="674"/>
      <c r="Y25" s="3359"/>
      <c r="Z25" s="53">
        <f>Q25</f>
        <v>111</v>
      </c>
      <c r="AA25" s="1408">
        <f>D25/F25</f>
        <v>1</v>
      </c>
      <c r="AB25" s="1408">
        <f>D25/H25</f>
        <v>1</v>
      </c>
      <c r="AC25" s="1408">
        <f>D25/J25</f>
        <v>1</v>
      </c>
    </row>
    <row r="26" spans="1:29" ht="28.5">
      <c r="A26" s="412" t="s">
        <v>2317</v>
      </c>
      <c r="B26" s="64" t="s">
        <v>2467</v>
      </c>
      <c r="C26" s="1908"/>
      <c r="D26" s="413">
        <v>100</v>
      </c>
      <c r="E26" s="1908"/>
      <c r="F26" s="595">
        <f>SUMIF(77:77,E26,78:78)-SUMIF(77:77,C26,78:78)+100</f>
        <v>100</v>
      </c>
      <c r="G26" s="1908"/>
      <c r="H26" s="413">
        <f>SUMIF(77:77,G26,78:78)-SUMIF(77:77,C26,78:78)+100</f>
        <v>100</v>
      </c>
      <c r="I26" s="1908"/>
      <c r="J26" s="413">
        <f>SUMIF(77:77,I26,78:78)-SUMIF(77:77,C26,78:78)+100</f>
        <v>100</v>
      </c>
      <c r="K26" s="546"/>
      <c r="L26" s="2668"/>
      <c r="M26" s="2663"/>
      <c r="N26" s="2663"/>
      <c r="O26" s="2718"/>
      <c r="P26" s="3456" t="s">
        <v>2319</v>
      </c>
      <c r="Q26" s="1407" t="str">
        <f t="shared" si="11"/>
        <v>公共部分装修</v>
      </c>
      <c r="R26" s="675" t="s">
        <v>17</v>
      </c>
      <c r="S26" s="676">
        <f t="shared" ref="S26:S34" si="12">F26</f>
        <v>100</v>
      </c>
      <c r="T26" s="675" t="s">
        <v>17</v>
      </c>
      <c r="U26" s="676">
        <f t="shared" ref="U26:U34" si="13">H26</f>
        <v>100</v>
      </c>
      <c r="V26" s="675" t="s">
        <v>17</v>
      </c>
      <c r="W26" s="676">
        <f t="shared" ref="W26:W34" si="14">J26</f>
        <v>100</v>
      </c>
      <c r="X26" s="1409"/>
      <c r="Y26" s="3363" t="s">
        <v>2319</v>
      </c>
      <c r="Z26" s="1408" t="str">
        <f t="shared" ref="Z26:Z34" si="15">Q26</f>
        <v>公共部分装修</v>
      </c>
      <c r="AA26" s="1408">
        <f t="shared" si="3"/>
        <v>1</v>
      </c>
      <c r="AB26" s="1408">
        <f t="shared" si="4"/>
        <v>1</v>
      </c>
      <c r="AC26" s="1408">
        <f t="shared" si="5"/>
        <v>1</v>
      </c>
    </row>
    <row r="27" spans="1:29" s="416" customFormat="1" ht="15">
      <c r="A27" s="414"/>
      <c r="B27" s="370" t="s">
        <v>2468</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67"/>
      <c r="M27" s="2669"/>
      <c r="N27" s="2669"/>
      <c r="O27" s="2719"/>
      <c r="P27" s="3363"/>
      <c r="Q27" s="539" t="str">
        <f t="shared" si="11"/>
        <v>成新率</v>
      </c>
      <c r="R27" s="677" t="s">
        <v>17</v>
      </c>
      <c r="S27" s="678" t="e">
        <f t="shared" si="12"/>
        <v>#N/A</v>
      </c>
      <c r="T27" s="677" t="s">
        <v>17</v>
      </c>
      <c r="U27" s="678" t="e">
        <f t="shared" si="13"/>
        <v>#N/A</v>
      </c>
      <c r="V27" s="677" t="s">
        <v>17</v>
      </c>
      <c r="W27" s="678" t="e">
        <f t="shared" si="14"/>
        <v>#N/A</v>
      </c>
      <c r="X27" s="679"/>
      <c r="Y27" s="3363"/>
      <c r="Z27" s="680" t="str">
        <f t="shared" si="15"/>
        <v>成新率</v>
      </c>
      <c r="AA27" s="1408" t="e">
        <f t="shared" si="3"/>
        <v>#N/A</v>
      </c>
      <c r="AB27" s="1408" t="e">
        <f t="shared" si="4"/>
        <v>#N/A</v>
      </c>
      <c r="AC27" s="1408" t="e">
        <f t="shared" si="5"/>
        <v>#N/A</v>
      </c>
    </row>
    <row r="28" spans="1:29" ht="15">
      <c r="A28" s="417"/>
      <c r="B28" s="370" t="s">
        <v>2469</v>
      </c>
      <c r="C28" s="407"/>
      <c r="D28" s="382">
        <v>100</v>
      </c>
      <c r="E28" s="407"/>
      <c r="F28" s="408">
        <f>SUMIF(82:82,E28,83:83)-SUMIF(82:82,C28,83:83)+100</f>
        <v>100</v>
      </c>
      <c r="G28" s="407"/>
      <c r="H28" s="382">
        <f>SUMIF(82:82,G28,83:83)-SUMIF(82:82,C28,83:83)+100</f>
        <v>100</v>
      </c>
      <c r="I28" s="407"/>
      <c r="J28" s="382">
        <f>SUMIF(82:82,I28,83:83)-SUMIF(82:82,C28,83:83)+100</f>
        <v>100</v>
      </c>
      <c r="K28" s="546"/>
      <c r="L28" s="2668"/>
      <c r="M28" s="2663"/>
      <c r="N28" s="2663"/>
      <c r="O28" s="2718"/>
      <c r="P28" s="3363"/>
      <c r="Q28" s="1407" t="str">
        <f t="shared" si="11"/>
        <v>物业等级</v>
      </c>
      <c r="R28" s="675" t="s">
        <v>17</v>
      </c>
      <c r="S28" s="676">
        <f t="shared" si="12"/>
        <v>100</v>
      </c>
      <c r="T28" s="675" t="s">
        <v>17</v>
      </c>
      <c r="U28" s="676">
        <f t="shared" si="13"/>
        <v>100</v>
      </c>
      <c r="V28" s="675" t="s">
        <v>17</v>
      </c>
      <c r="W28" s="676">
        <f t="shared" si="14"/>
        <v>100</v>
      </c>
      <c r="X28" s="1409"/>
      <c r="Y28" s="3363"/>
      <c r="Z28" s="1408" t="str">
        <f t="shared" si="15"/>
        <v>物业等级</v>
      </c>
      <c r="AA28" s="1408">
        <f t="shared" si="3"/>
        <v>1</v>
      </c>
      <c r="AB28" s="1408">
        <f t="shared" si="4"/>
        <v>1</v>
      </c>
      <c r="AC28" s="1408">
        <f t="shared" si="5"/>
        <v>1</v>
      </c>
    </row>
    <row r="29" spans="1:29" ht="15">
      <c r="A29" s="417"/>
      <c r="B29" s="370" t="s">
        <v>2490</v>
      </c>
      <c r="C29" s="586"/>
      <c r="D29" s="382">
        <v>100</v>
      </c>
      <c r="E29" s="586"/>
      <c r="F29" s="408">
        <f>SUMIF(84:84,E29,85:85)-SUMIF(84:84,C29,85:85)+100</f>
        <v>100</v>
      </c>
      <c r="G29" s="586"/>
      <c r="H29" s="382">
        <f>SUMIF(84:84,G29,85:85)-SUMIF(84:84,C29,85:85)+100</f>
        <v>100</v>
      </c>
      <c r="I29" s="586"/>
      <c r="J29" s="382">
        <f>SUMIF(84:84,I29,85:85)-SUMIF(84:84,C29,85:85)+100</f>
        <v>100</v>
      </c>
      <c r="K29" s="546"/>
      <c r="L29" s="2668"/>
      <c r="M29" s="2663"/>
      <c r="N29" s="2663"/>
      <c r="O29" s="2718"/>
      <c r="P29" s="3363"/>
      <c r="Q29" s="1407" t="str">
        <f t="shared" si="11"/>
        <v>有无电梯</v>
      </c>
      <c r="R29" s="675" t="s">
        <v>17</v>
      </c>
      <c r="S29" s="676">
        <f t="shared" si="12"/>
        <v>100</v>
      </c>
      <c r="T29" s="675" t="s">
        <v>17</v>
      </c>
      <c r="U29" s="676">
        <f t="shared" si="13"/>
        <v>100</v>
      </c>
      <c r="V29" s="675" t="s">
        <v>17</v>
      </c>
      <c r="W29" s="676">
        <f t="shared" si="14"/>
        <v>100</v>
      </c>
      <c r="X29" s="1409"/>
      <c r="Y29" s="3363"/>
      <c r="Z29" s="1408" t="str">
        <f t="shared" si="15"/>
        <v>有无电梯</v>
      </c>
      <c r="AA29" s="1408">
        <f t="shared" si="3"/>
        <v>1</v>
      </c>
      <c r="AB29" s="1408">
        <f t="shared" si="4"/>
        <v>1</v>
      </c>
      <c r="AC29" s="1408">
        <f t="shared" si="5"/>
        <v>1</v>
      </c>
    </row>
    <row r="30" spans="1:29" ht="15">
      <c r="A30" s="417"/>
      <c r="B30" s="370" t="s">
        <v>2491</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68"/>
      <c r="M30" s="2663"/>
      <c r="N30" s="2663"/>
      <c r="O30" s="2718"/>
      <c r="P30" s="3363"/>
      <c r="Q30" s="1407" t="str">
        <f t="shared" si="11"/>
        <v>建筑面积</v>
      </c>
      <c r="R30" s="675" t="s">
        <v>17</v>
      </c>
      <c r="S30" s="676" t="e">
        <f t="shared" si="12"/>
        <v>#N/A</v>
      </c>
      <c r="T30" s="675" t="s">
        <v>17</v>
      </c>
      <c r="U30" s="676" t="e">
        <f t="shared" si="13"/>
        <v>#N/A</v>
      </c>
      <c r="V30" s="675" t="s">
        <v>17</v>
      </c>
      <c r="W30" s="676" t="e">
        <f t="shared" si="14"/>
        <v>#N/A</v>
      </c>
      <c r="X30" s="1409"/>
      <c r="Y30" s="3363"/>
      <c r="Z30" s="1408" t="str">
        <f t="shared" si="15"/>
        <v>建筑面积</v>
      </c>
      <c r="AA30" s="1408" t="e">
        <f t="shared" si="3"/>
        <v>#N/A</v>
      </c>
      <c r="AB30" s="1408" t="e">
        <f t="shared" si="4"/>
        <v>#N/A</v>
      </c>
      <c r="AC30" s="1408" t="e">
        <f t="shared" si="5"/>
        <v>#N/A</v>
      </c>
    </row>
    <row r="31" spans="1:29" s="107" customFormat="1" ht="15">
      <c r="A31" s="418"/>
      <c r="B31" s="370" t="s">
        <v>2492</v>
      </c>
      <c r="C31" s="586"/>
      <c r="D31" s="124">
        <v>100</v>
      </c>
      <c r="E31" s="586"/>
      <c r="F31" s="408">
        <f>SUMIF(89:89,E31,90:90)-SUMIF(89:89,C31,90:90)+100</f>
        <v>100</v>
      </c>
      <c r="G31" s="586"/>
      <c r="H31" s="382">
        <f>SUMIF(89:89,G31,90:90)-SUMIF(89:89,C31,90:90)+100</f>
        <v>100</v>
      </c>
      <c r="I31" s="586"/>
      <c r="J31" s="382">
        <f>SUMIF(89:89,I31,90:90)-SUMIF(89:89,C31,90:90)+100</f>
        <v>100</v>
      </c>
      <c r="K31" s="546"/>
      <c r="L31" s="2664"/>
      <c r="M31" s="2613"/>
      <c r="N31" s="2613"/>
      <c r="O31" s="2716"/>
      <c r="P31" s="3363"/>
      <c r="Q31" s="538" t="str">
        <f t="shared" si="11"/>
        <v>是否封闭</v>
      </c>
      <c r="R31" s="672" t="s">
        <v>17</v>
      </c>
      <c r="S31" s="673">
        <f t="shared" si="12"/>
        <v>100</v>
      </c>
      <c r="T31" s="672" t="s">
        <v>17</v>
      </c>
      <c r="U31" s="673">
        <f t="shared" si="13"/>
        <v>100</v>
      </c>
      <c r="V31" s="672" t="s">
        <v>17</v>
      </c>
      <c r="W31" s="673">
        <f t="shared" si="14"/>
        <v>100</v>
      </c>
      <c r="X31" s="674"/>
      <c r="Y31" s="3363"/>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68"/>
      <c r="M32" s="2663"/>
      <c r="N32" s="2663"/>
      <c r="O32" s="2718"/>
      <c r="P32" s="3363" t="s">
        <v>2319</v>
      </c>
      <c r="Q32" s="1407">
        <f t="shared" si="11"/>
        <v>111</v>
      </c>
      <c r="R32" s="675" t="s">
        <v>17</v>
      </c>
      <c r="S32" s="676">
        <f t="shared" si="12"/>
        <v>100</v>
      </c>
      <c r="T32" s="675" t="s">
        <v>17</v>
      </c>
      <c r="U32" s="676">
        <f t="shared" si="13"/>
        <v>100</v>
      </c>
      <c r="V32" s="675" t="s">
        <v>17</v>
      </c>
      <c r="W32" s="676">
        <f t="shared" si="14"/>
        <v>100</v>
      </c>
      <c r="X32" s="1409"/>
      <c r="Y32" s="3363" t="s">
        <v>2319</v>
      </c>
      <c r="Z32" s="1408">
        <f t="shared" si="15"/>
        <v>111</v>
      </c>
      <c r="AA32" s="1408">
        <f t="shared" si="3"/>
        <v>1</v>
      </c>
      <c r="AB32" s="1408">
        <f t="shared" si="4"/>
        <v>1</v>
      </c>
      <c r="AC32" s="1408">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68"/>
      <c r="M33" s="2663"/>
      <c r="N33" s="2663"/>
      <c r="O33" s="2718"/>
      <c r="P33" s="3363"/>
      <c r="Q33" s="1407">
        <f t="shared" si="11"/>
        <v>111</v>
      </c>
      <c r="R33" s="675" t="s">
        <v>17</v>
      </c>
      <c r="S33" s="676">
        <f t="shared" si="12"/>
        <v>100</v>
      </c>
      <c r="T33" s="675" t="s">
        <v>17</v>
      </c>
      <c r="U33" s="676">
        <f t="shared" si="13"/>
        <v>100</v>
      </c>
      <c r="V33" s="675" t="s">
        <v>17</v>
      </c>
      <c r="W33" s="676">
        <f t="shared" si="14"/>
        <v>100</v>
      </c>
      <c r="X33" s="1409"/>
      <c r="Y33" s="3363"/>
      <c r="Z33" s="1408">
        <f t="shared" si="15"/>
        <v>111</v>
      </c>
      <c r="AA33" s="1408">
        <f t="shared" si="3"/>
        <v>1</v>
      </c>
      <c r="AB33" s="1408">
        <f t="shared" si="4"/>
        <v>1</v>
      </c>
      <c r="AC33" s="1408">
        <f t="shared" si="5"/>
        <v>1</v>
      </c>
    </row>
    <row r="34" spans="1:30" ht="15.75" thickBot="1">
      <c r="A34" s="423"/>
      <c r="B34" s="1893">
        <v>111</v>
      </c>
      <c r="C34" s="384"/>
      <c r="D34" s="385">
        <v>100</v>
      </c>
      <c r="E34" s="1965"/>
      <c r="F34" s="386">
        <f>SUMIF(95:95,E34,96:96)-SUMIF(95:95,C34,96:96)+100</f>
        <v>100</v>
      </c>
      <c r="G34" s="1965"/>
      <c r="H34" s="385">
        <f>SUMIF(95:95,G34,96:96)-SUMIF(95:95,C34,96:96)+100</f>
        <v>100</v>
      </c>
      <c r="I34" s="1965"/>
      <c r="J34" s="385">
        <f>SUMIF(95:95,I34,96:96)-SUMIF(95:95,C34,96:96)+100</f>
        <v>100</v>
      </c>
      <c r="K34" s="547"/>
      <c r="L34" s="2668"/>
      <c r="M34" s="2663"/>
      <c r="N34" s="2663"/>
      <c r="O34" s="2718"/>
      <c r="P34" s="3363"/>
      <c r="Q34" s="1407">
        <f t="shared" si="11"/>
        <v>111</v>
      </c>
      <c r="R34" s="675" t="s">
        <v>17</v>
      </c>
      <c r="S34" s="676">
        <f t="shared" si="12"/>
        <v>100</v>
      </c>
      <c r="T34" s="675" t="s">
        <v>17</v>
      </c>
      <c r="U34" s="676">
        <f t="shared" si="13"/>
        <v>100</v>
      </c>
      <c r="V34" s="675" t="s">
        <v>17</v>
      </c>
      <c r="W34" s="676">
        <f t="shared" si="14"/>
        <v>100</v>
      </c>
      <c r="X34" s="1409"/>
      <c r="Y34" s="3363"/>
      <c r="Z34" s="1408">
        <f t="shared" si="15"/>
        <v>111</v>
      </c>
      <c r="AA34" s="1408">
        <f t="shared" si="3"/>
        <v>1</v>
      </c>
      <c r="AB34" s="1408">
        <f t="shared" si="4"/>
        <v>1</v>
      </c>
      <c r="AC34" s="1408">
        <f t="shared" si="5"/>
        <v>1</v>
      </c>
    </row>
    <row r="35" spans="1:30" ht="15">
      <c r="A35" s="424" t="s">
        <v>2330</v>
      </c>
      <c r="B35" s="425"/>
      <c r="C35" s="1208" t="s">
        <v>1</v>
      </c>
      <c r="D35" s="426"/>
      <c r="E35" s="427"/>
      <c r="F35" s="428"/>
      <c r="G35" s="429"/>
      <c r="H35" s="430"/>
      <c r="I35" s="427"/>
      <c r="J35" s="430"/>
      <c r="K35" s="682"/>
      <c r="L35" s="2670"/>
      <c r="M35" s="2663"/>
      <c r="N35" s="2663"/>
      <c r="O35" s="2663"/>
      <c r="P35" s="3351" t="str">
        <f>A35</f>
        <v>成交单价（元/平方米）</v>
      </c>
      <c r="Q35" s="3351"/>
      <c r="R35" s="3352">
        <f>E35</f>
        <v>0</v>
      </c>
      <c r="S35" s="3352"/>
      <c r="T35" s="3352">
        <f>G35</f>
        <v>0</v>
      </c>
      <c r="U35" s="3352"/>
      <c r="V35" s="3352">
        <f>I35</f>
        <v>0</v>
      </c>
      <c r="W35" s="3352"/>
      <c r="X35" s="393"/>
      <c r="Y35" s="681"/>
      <c r="Z35" s="393"/>
      <c r="AA35" s="393"/>
      <c r="AB35" s="393"/>
      <c r="AC35" s="393"/>
    </row>
    <row r="36" spans="1:30" ht="15.75" thickBot="1">
      <c r="A36" s="431" t="s">
        <v>2422</v>
      </c>
      <c r="B36" s="432"/>
      <c r="C36" s="1209" t="e">
        <f>R37</f>
        <v>#DIV/0!</v>
      </c>
      <c r="D36" s="2312" t="s">
        <v>2807</v>
      </c>
      <c r="E36" s="1210" t="e">
        <f>R36</f>
        <v>#DIV/0!</v>
      </c>
      <c r="F36" s="2313"/>
      <c r="G36" s="1209" t="e">
        <f>T36</f>
        <v>#DIV/0!</v>
      </c>
      <c r="H36" s="2313"/>
      <c r="I36" s="1210" t="e">
        <f>V36</f>
        <v>#DIV/0!</v>
      </c>
      <c r="J36" s="2313"/>
      <c r="K36" s="2315">
        <f>F36+H36+J36</f>
        <v>0</v>
      </c>
      <c r="L36" s="2670"/>
      <c r="M36" s="2663"/>
      <c r="N36" s="2663"/>
      <c r="O36" s="2663"/>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93"/>
      <c r="Y36" s="393"/>
      <c r="Z36" s="393"/>
      <c r="AA36" s="393"/>
      <c r="AB36" s="393"/>
      <c r="AC36" s="393"/>
    </row>
    <row r="37" spans="1:30" ht="15.75" thickBot="1">
      <c r="A37" s="435" t="s">
        <v>2423</v>
      </c>
      <c r="B37" s="436"/>
      <c r="C37" s="357" t="e">
        <f>R37</f>
        <v>#DIV/0!</v>
      </c>
      <c r="D37" s="357"/>
      <c r="E37" s="357"/>
      <c r="F37" s="357"/>
      <c r="G37" s="357"/>
      <c r="H37" s="357"/>
      <c r="I37" s="357"/>
      <c r="J37" s="357"/>
      <c r="K37" s="683"/>
      <c r="L37" s="2670"/>
      <c r="M37" s="2663"/>
      <c r="N37" s="2663"/>
      <c r="O37" s="2663"/>
      <c r="P37" s="3444" t="str">
        <f>A37</f>
        <v>估价对象XX用房的比较价值（楼面单价，元/平方米）</v>
      </c>
      <c r="Q37" s="3445"/>
      <c r="R37" s="3457" t="e">
        <f>IF(F1="售价",ROUND(IF(D36="简单平均",AVERAGE(R36:W36),R36*F36+T36*H36+V36*J36),0),ROUND(IF(D36="简单平均",AVERAGE(R36:V36),R36*F36+T36*H36+V36*J36),1))</f>
        <v>#DIV/0!</v>
      </c>
      <c r="S37" s="3457"/>
      <c r="T37" s="3457"/>
      <c r="U37" s="3457"/>
      <c r="V37" s="3457"/>
      <c r="W37" s="3457"/>
      <c r="X37" s="393"/>
      <c r="Y37" s="393"/>
      <c r="Z37" s="393"/>
      <c r="AA37" s="393"/>
      <c r="AB37" s="393"/>
      <c r="AC37" s="393"/>
    </row>
    <row r="38" spans="1:30">
      <c r="A38" s="2663"/>
      <c r="B38" s="2663"/>
      <c r="C38" s="2663"/>
      <c r="D38" s="2663"/>
      <c r="E38" s="2663"/>
      <c r="F38" s="2663"/>
      <c r="G38" s="2674"/>
      <c r="H38" s="2663"/>
      <c r="I38" s="2663"/>
      <c r="J38" s="2663"/>
      <c r="K38" s="2675"/>
      <c r="L38" s="2671"/>
      <c r="M38" s="2663"/>
      <c r="N38" s="2663"/>
      <c r="O38" s="2663"/>
      <c r="P38" s="2663"/>
      <c r="Q38" s="2663"/>
      <c r="R38" s="2663"/>
      <c r="S38" s="2663"/>
      <c r="T38" s="2663"/>
      <c r="U38" s="2663"/>
      <c r="V38" s="2663"/>
      <c r="W38" s="2663"/>
      <c r="X38" s="2663"/>
      <c r="Y38" s="2663"/>
      <c r="Z38" s="2663"/>
      <c r="AA38" s="2663"/>
      <c r="AB38" s="2663"/>
      <c r="AC38" s="2663"/>
      <c r="AD38" s="2663"/>
    </row>
    <row r="39" spans="1:30">
      <c r="A39" s="2663"/>
      <c r="B39" s="2663"/>
      <c r="C39" s="2663"/>
      <c r="D39" s="2663"/>
      <c r="E39" s="2663"/>
      <c r="F39" s="2663"/>
      <c r="G39" s="2663"/>
      <c r="H39" s="2663"/>
      <c r="I39" s="2663"/>
      <c r="J39" s="2663"/>
      <c r="K39" s="2675"/>
      <c r="L39" s="2671"/>
      <c r="M39" s="2663"/>
      <c r="N39" s="2663"/>
      <c r="O39" s="2663"/>
      <c r="P39" s="2663"/>
      <c r="Q39" s="2663"/>
      <c r="R39" s="2663"/>
      <c r="S39" s="2663"/>
      <c r="T39" s="2663"/>
      <c r="U39" s="2663"/>
      <c r="V39" s="2663"/>
      <c r="W39" s="2663"/>
      <c r="X39" s="2663"/>
      <c r="Y39" s="2663"/>
      <c r="Z39" s="2663"/>
      <c r="AA39" s="2663"/>
      <c r="AB39" s="2663"/>
      <c r="AC39" s="2663"/>
      <c r="AD39" s="2663"/>
    </row>
    <row r="40" spans="1:30" ht="13.5" customHeight="1">
      <c r="A40" s="2663"/>
      <c r="B40" s="2663"/>
      <c r="C40" s="440" t="s">
        <v>2424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75"/>
      <c r="L40" s="2671"/>
      <c r="M40" s="2663"/>
      <c r="N40" s="2663"/>
      <c r="O40" s="2663"/>
      <c r="P40" s="2663"/>
      <c r="Q40" s="2663"/>
      <c r="R40" s="2663"/>
      <c r="S40" s="2663"/>
      <c r="T40" s="2663"/>
      <c r="U40" s="2663"/>
      <c r="V40" s="2663"/>
      <c r="W40" s="2663"/>
      <c r="X40" s="2663"/>
      <c r="Y40" s="2663"/>
      <c r="Z40" s="2663"/>
      <c r="AA40" s="2663"/>
      <c r="AB40" s="2663"/>
      <c r="AC40" s="2663"/>
      <c r="AD40" s="2663"/>
    </row>
    <row r="41" spans="1:30" ht="13.5" customHeight="1">
      <c r="A41" s="2663"/>
      <c r="B41" s="2663"/>
      <c r="C41" s="440" t="s">
        <v>2425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75"/>
      <c r="L41" s="2671"/>
      <c r="M41" s="2663"/>
      <c r="N41" s="2663"/>
      <c r="O41" s="2663"/>
      <c r="P41" s="2663"/>
      <c r="Q41" s="2663"/>
      <c r="R41" s="2663"/>
      <c r="S41" s="2663"/>
      <c r="T41" s="2663"/>
      <c r="U41" s="2663"/>
      <c r="V41" s="2663"/>
      <c r="W41" s="2663"/>
      <c r="X41" s="2663"/>
      <c r="Y41" s="2663"/>
      <c r="Z41" s="2663"/>
      <c r="AA41" s="2663"/>
      <c r="AB41" s="2663"/>
      <c r="AC41" s="2663"/>
      <c r="AD41" s="2663"/>
    </row>
    <row r="42" spans="1:30" s="445" customFormat="1" ht="13.5" customHeight="1">
      <c r="A42" s="2673"/>
      <c r="B42" s="2673"/>
      <c r="C42" s="440" t="s">
        <v>2426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78"/>
      <c r="L42" s="2672"/>
      <c r="M42" s="2673"/>
      <c r="N42" s="2673"/>
      <c r="O42" s="2673"/>
      <c r="P42" s="2673"/>
      <c r="Q42" s="2673"/>
      <c r="R42" s="2673"/>
      <c r="S42" s="2673"/>
      <c r="T42" s="2673"/>
      <c r="U42" s="2673"/>
      <c r="V42" s="2673"/>
      <c r="W42" s="2673"/>
      <c r="X42" s="2673"/>
      <c r="Y42" s="2673"/>
      <c r="Z42" s="2673"/>
      <c r="AA42" s="2673"/>
      <c r="AB42" s="2673"/>
      <c r="AC42" s="2673"/>
      <c r="AD42" s="2673"/>
    </row>
    <row r="43" spans="1:30" s="445" customFormat="1">
      <c r="A43" s="2673"/>
      <c r="B43" s="2676"/>
      <c r="C43" s="2677"/>
      <c r="D43" s="2673"/>
      <c r="E43" s="2673"/>
      <c r="F43" s="2673"/>
      <c r="G43" s="2673"/>
      <c r="H43" s="2673"/>
      <c r="I43" s="2673"/>
      <c r="J43" s="2673"/>
      <c r="K43" s="2678"/>
      <c r="L43" s="2672"/>
      <c r="M43" s="2673"/>
      <c r="N43" s="2673"/>
      <c r="O43" s="2673"/>
      <c r="P43" s="2673"/>
      <c r="Q43" s="2673"/>
      <c r="R43" s="2673"/>
      <c r="S43" s="2673"/>
      <c r="T43" s="2673"/>
      <c r="U43" s="2673"/>
      <c r="V43" s="2673"/>
      <c r="W43" s="2673"/>
      <c r="X43" s="2673"/>
      <c r="Y43" s="2673"/>
      <c r="Z43" s="2673"/>
      <c r="AA43" s="2673"/>
      <c r="AB43" s="2673"/>
      <c r="AC43" s="2673"/>
      <c r="AD43" s="2673"/>
    </row>
    <row r="44" spans="1:30">
      <c r="A44" s="2663"/>
      <c r="B44" s="2676"/>
      <c r="C44" s="2677"/>
      <c r="D44" s="2663"/>
      <c r="E44" s="2663"/>
      <c r="F44" s="2663"/>
      <c r="G44" s="2663"/>
      <c r="H44" s="2663"/>
      <c r="I44" s="2663"/>
      <c r="J44" s="2663"/>
      <c r="K44" s="2675"/>
      <c r="L44" s="2671"/>
      <c r="M44" s="2663"/>
      <c r="N44" s="2663"/>
      <c r="O44" s="2663"/>
      <c r="P44" s="2663"/>
      <c r="Q44" s="2663"/>
      <c r="R44" s="2663"/>
      <c r="S44" s="2663"/>
      <c r="T44" s="2663"/>
      <c r="U44" s="2663"/>
      <c r="V44" s="2663"/>
      <c r="W44" s="2663"/>
      <c r="X44" s="2663"/>
      <c r="Y44" s="2663"/>
      <c r="Z44" s="2663"/>
      <c r="AA44" s="2663"/>
      <c r="AB44" s="2663"/>
      <c r="AC44" s="2663"/>
      <c r="AD44" s="2663"/>
    </row>
    <row r="45" spans="1:30" ht="21.75" thickBot="1">
      <c r="A45" s="666" t="s">
        <v>2427</v>
      </c>
      <c r="B45" s="393"/>
      <c r="C45" s="667"/>
      <c r="D45" s="667"/>
      <c r="E45" s="667"/>
      <c r="F45" s="668"/>
      <c r="G45" s="668"/>
      <c r="H45" s="667"/>
      <c r="I45" s="667"/>
      <c r="J45" s="667"/>
      <c r="K45" s="669"/>
      <c r="L45" s="670"/>
      <c r="M45" s="667"/>
      <c r="N45" s="2713"/>
      <c r="O45" s="2713"/>
      <c r="P45" s="2713"/>
      <c r="Q45" s="2684"/>
      <c r="R45" s="2663"/>
      <c r="S45" s="2663"/>
      <c r="T45" s="2663"/>
      <c r="U45" s="2663"/>
      <c r="V45" s="2663"/>
      <c r="W45" s="2663"/>
      <c r="X45" s="2663"/>
      <c r="Y45" s="2663"/>
      <c r="Z45" s="2663"/>
      <c r="AA45" s="2663"/>
      <c r="AB45" s="2663"/>
      <c r="AC45" s="2663"/>
      <c r="AD45" s="2663"/>
    </row>
    <row r="46" spans="1:30" s="450" customFormat="1" ht="15">
      <c r="A46" s="448" t="s">
        <v>2302</v>
      </c>
      <c r="B46" s="449"/>
      <c r="C46" s="1230" t="str">
        <f>YEAR(C7)&amp;"-"&amp;MONTH(C7)</f>
        <v>2014-2</v>
      </c>
      <c r="D46" s="1231">
        <f>EDATE(C46,-1)</f>
        <v>41640</v>
      </c>
      <c r="E46" s="1231">
        <f t="shared" ref="E46:O46" si="16">EDATE(D46,-1)</f>
        <v>41609</v>
      </c>
      <c r="F46" s="1231">
        <f t="shared" si="16"/>
        <v>41579</v>
      </c>
      <c r="G46" s="1231">
        <f t="shared" si="16"/>
        <v>41548</v>
      </c>
      <c r="H46" s="1231">
        <f t="shared" si="16"/>
        <v>41518</v>
      </c>
      <c r="I46" s="1231">
        <f t="shared" si="16"/>
        <v>41487</v>
      </c>
      <c r="J46" s="1231">
        <f t="shared" si="16"/>
        <v>41456</v>
      </c>
      <c r="K46" s="1231">
        <f t="shared" si="16"/>
        <v>41426</v>
      </c>
      <c r="L46" s="1231">
        <f t="shared" si="16"/>
        <v>41395</v>
      </c>
      <c r="M46" s="1231">
        <f t="shared" si="16"/>
        <v>41365</v>
      </c>
      <c r="N46" s="1231">
        <f t="shared" si="16"/>
        <v>41334</v>
      </c>
      <c r="O46" s="1231">
        <f t="shared" si="16"/>
        <v>41306</v>
      </c>
      <c r="P46" s="2686"/>
      <c r="Q46" s="2686"/>
      <c r="R46" s="2686"/>
      <c r="S46" s="2686"/>
      <c r="T46" s="2686"/>
      <c r="U46" s="2686"/>
      <c r="V46" s="2686"/>
      <c r="W46" s="2686"/>
      <c r="X46" s="2686"/>
      <c r="Y46" s="2686"/>
      <c r="Z46" s="2686"/>
      <c r="AA46" s="2686"/>
      <c r="AB46" s="2686"/>
      <c r="AC46" s="2686"/>
      <c r="AD46" s="2686"/>
    </row>
    <row r="47" spans="1:30" s="107" customFormat="1" ht="15">
      <c r="A47" s="451"/>
      <c r="B47" s="452"/>
      <c r="C47" s="1229">
        <v>100</v>
      </c>
      <c r="D47" s="454"/>
      <c r="E47" s="454"/>
      <c r="F47" s="454"/>
      <c r="G47" s="454"/>
      <c r="H47" s="454"/>
      <c r="I47" s="454"/>
      <c r="J47" s="454"/>
      <c r="K47" s="454"/>
      <c r="L47" s="454"/>
      <c r="M47" s="455"/>
      <c r="N47" s="454"/>
      <c r="O47" s="456"/>
      <c r="P47" s="2684"/>
      <c r="Q47" s="2613"/>
      <c r="R47" s="2613"/>
      <c r="S47" s="2613"/>
      <c r="T47" s="2613"/>
      <c r="U47" s="2613"/>
      <c r="V47" s="2613"/>
      <c r="W47" s="2613"/>
      <c r="X47" s="2613"/>
      <c r="Y47" s="2613"/>
      <c r="Z47" s="2613"/>
      <c r="AA47" s="2613"/>
      <c r="AB47" s="2613"/>
      <c r="AC47" s="2613"/>
      <c r="AD47" s="2613"/>
    </row>
    <row r="48" spans="1:30" s="107" customFormat="1" ht="15.75" thickBot="1">
      <c r="A48" s="457" t="s">
        <v>2338</v>
      </c>
      <c r="B48" s="458"/>
      <c r="C48" s="459"/>
      <c r="D48" s="460"/>
      <c r="E48" s="460"/>
      <c r="F48" s="460"/>
      <c r="G48" s="460"/>
      <c r="H48" s="460"/>
      <c r="I48" s="460"/>
      <c r="J48" s="460"/>
      <c r="K48" s="460"/>
      <c r="L48" s="460"/>
      <c r="M48" s="461"/>
      <c r="N48" s="460"/>
      <c r="O48" s="462"/>
      <c r="P48" s="2684"/>
      <c r="Q48" s="2684"/>
      <c r="R48" s="2613"/>
      <c r="S48" s="2613"/>
      <c r="T48" s="2613"/>
      <c r="U48" s="2613"/>
      <c r="V48" s="2613"/>
      <c r="W48" s="2613"/>
      <c r="X48" s="2613"/>
      <c r="Y48" s="2613"/>
      <c r="Z48" s="2613"/>
      <c r="AA48" s="2613"/>
      <c r="AB48" s="2613"/>
      <c r="AC48" s="2613"/>
      <c r="AD48" s="2613"/>
    </row>
    <row r="49" spans="1:30" s="107" customFormat="1" ht="15">
      <c r="A49" s="463" t="s">
        <v>2304</v>
      </c>
      <c r="B49" s="452"/>
      <c r="C49" s="464" t="s">
        <v>2405</v>
      </c>
      <c r="D49" s="34"/>
      <c r="E49" s="34"/>
      <c r="F49" s="34"/>
      <c r="G49" s="34"/>
      <c r="H49" s="34"/>
      <c r="I49" s="34"/>
      <c r="J49" s="34"/>
      <c r="K49" s="34"/>
      <c r="L49" s="465"/>
      <c r="M49" s="466"/>
      <c r="N49" s="2696"/>
      <c r="O49" s="2696"/>
      <c r="P49" s="2720"/>
      <c r="Q49" s="2684"/>
      <c r="R49" s="2613"/>
      <c r="S49" s="2613"/>
      <c r="T49" s="2613"/>
      <c r="U49" s="2613"/>
      <c r="V49" s="2613"/>
      <c r="W49" s="2613"/>
      <c r="X49" s="2613"/>
      <c r="Y49" s="2613"/>
      <c r="Z49" s="2613"/>
      <c r="AA49" s="2613"/>
      <c r="AB49" s="2613"/>
      <c r="AC49" s="2613"/>
      <c r="AD49" s="2613"/>
    </row>
    <row r="50" spans="1:30" s="107" customFormat="1" ht="15.75" thickBot="1">
      <c r="A50" s="463"/>
      <c r="B50" s="452"/>
      <c r="C50" s="571">
        <v>100</v>
      </c>
      <c r="D50" s="454"/>
      <c r="E50" s="454"/>
      <c r="F50" s="454"/>
      <c r="G50" s="454"/>
      <c r="H50" s="454"/>
      <c r="I50" s="454"/>
      <c r="J50" s="454"/>
      <c r="K50" s="454"/>
      <c r="L50" s="454"/>
      <c r="M50" s="456"/>
      <c r="N50" s="2696"/>
      <c r="O50" s="2696"/>
      <c r="P50" s="2684"/>
      <c r="Q50" s="2684"/>
      <c r="R50" s="2613"/>
      <c r="S50" s="2613"/>
      <c r="T50" s="2613"/>
      <c r="U50" s="2613"/>
      <c r="V50" s="2613"/>
      <c r="W50" s="2613"/>
      <c r="X50" s="2613"/>
      <c r="Y50" s="2613"/>
      <c r="Z50" s="2613"/>
      <c r="AA50" s="2613"/>
      <c r="AB50" s="2613"/>
      <c r="AC50" s="2613"/>
      <c r="AD50" s="2613"/>
    </row>
    <row r="51" spans="1:30">
      <c r="A51" s="387" t="s">
        <v>2341</v>
      </c>
      <c r="B51" s="468" t="s">
        <v>2308</v>
      </c>
      <c r="C51" s="469">
        <f>C9</f>
        <v>0</v>
      </c>
      <c r="D51" s="470"/>
      <c r="E51" s="470"/>
      <c r="F51" s="470"/>
      <c r="G51" s="470"/>
      <c r="H51" s="470"/>
      <c r="I51" s="470"/>
      <c r="J51" s="470"/>
      <c r="K51" s="471"/>
      <c r="L51" s="472"/>
      <c r="M51" s="473"/>
      <c r="N51" s="2697"/>
      <c r="O51" s="2697"/>
      <c r="P51" s="2696"/>
      <c r="Q51" s="2684"/>
      <c r="R51" s="2663"/>
      <c r="S51" s="2663"/>
      <c r="T51" s="2663"/>
      <c r="U51" s="2663"/>
      <c r="V51" s="2663"/>
      <c r="W51" s="2663"/>
      <c r="X51" s="2663"/>
      <c r="Y51" s="2663"/>
      <c r="Z51" s="2663"/>
      <c r="AA51" s="2663"/>
      <c r="AB51" s="2663"/>
      <c r="AC51" s="2663"/>
      <c r="AD51" s="2663"/>
    </row>
    <row r="52" spans="1:30" ht="15.75" thickBot="1">
      <c r="A52" s="375"/>
      <c r="B52" s="474"/>
      <c r="C52" s="475">
        <v>100</v>
      </c>
      <c r="D52" s="475"/>
      <c r="E52" s="475"/>
      <c r="F52" s="475"/>
      <c r="G52" s="475"/>
      <c r="H52" s="475"/>
      <c r="I52" s="475"/>
      <c r="J52" s="475"/>
      <c r="K52" s="475"/>
      <c r="L52" s="475"/>
      <c r="M52" s="476"/>
      <c r="N52" s="2698"/>
      <c r="O52" s="2698"/>
      <c r="P52" s="2696"/>
      <c r="Q52" s="2684"/>
      <c r="R52" s="2663"/>
      <c r="S52" s="2663"/>
      <c r="T52" s="2663"/>
      <c r="U52" s="2663"/>
      <c r="V52" s="2663"/>
      <c r="W52" s="2663"/>
      <c r="X52" s="2663"/>
      <c r="Y52" s="2663"/>
      <c r="Z52" s="2663"/>
      <c r="AA52" s="2663"/>
      <c r="AB52" s="2663"/>
      <c r="AC52" s="2663"/>
      <c r="AD52" s="2663"/>
    </row>
    <row r="53" spans="1:30" ht="27.75" thickTop="1">
      <c r="A53" s="375"/>
      <c r="B53" s="477" t="s">
        <v>2311</v>
      </c>
      <c r="C53" s="478" t="s">
        <v>2342</v>
      </c>
      <c r="D53" s="478" t="s">
        <v>2343</v>
      </c>
      <c r="E53" s="478" t="s">
        <v>2344</v>
      </c>
      <c r="F53" s="478" t="s">
        <v>2345</v>
      </c>
      <c r="G53" s="478" t="s">
        <v>2346</v>
      </c>
      <c r="H53" s="478" t="s">
        <v>2347</v>
      </c>
      <c r="I53" s="478" t="s">
        <v>2348</v>
      </c>
      <c r="J53" s="478"/>
      <c r="K53" s="479"/>
      <c r="L53" s="480"/>
      <c r="M53" s="481"/>
      <c r="N53" s="2697"/>
      <c r="O53" s="2697"/>
      <c r="P53" s="2696"/>
      <c r="Q53" s="2684"/>
      <c r="R53" s="2663"/>
      <c r="S53" s="2663"/>
      <c r="T53" s="2663"/>
      <c r="U53" s="2663"/>
      <c r="V53" s="2663"/>
      <c r="W53" s="2663"/>
      <c r="X53" s="2663"/>
      <c r="Y53" s="2663"/>
      <c r="Z53" s="2663"/>
      <c r="AA53" s="2663"/>
      <c r="AB53" s="2663"/>
      <c r="AC53" s="2663"/>
      <c r="AD53" s="2663"/>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98"/>
      <c r="O54" s="2698"/>
      <c r="P54" s="2696"/>
      <c r="Q54" s="2684"/>
      <c r="R54" s="2663"/>
      <c r="S54" s="2663"/>
      <c r="T54" s="2663"/>
      <c r="U54" s="2663"/>
      <c r="V54" s="2663"/>
      <c r="W54" s="2663"/>
      <c r="X54" s="2663"/>
      <c r="Y54" s="2663"/>
      <c r="Z54" s="2663"/>
      <c r="AA54" s="2663"/>
      <c r="AB54" s="2663"/>
      <c r="AC54" s="2663"/>
      <c r="AD54" s="2663"/>
    </row>
    <row r="55" spans="1:30" ht="15.75" thickTop="1">
      <c r="A55" s="375"/>
      <c r="B55" s="589">
        <f>B11</f>
        <v>111</v>
      </c>
      <c r="C55" s="488"/>
      <c r="D55" s="488"/>
      <c r="E55" s="488"/>
      <c r="F55" s="488"/>
      <c r="G55" s="488"/>
      <c r="H55" s="488"/>
      <c r="I55" s="488"/>
      <c r="J55" s="488"/>
      <c r="K55" s="489"/>
      <c r="L55" s="490"/>
      <c r="M55" s="491"/>
      <c r="N55" s="2697"/>
      <c r="O55" s="2697"/>
      <c r="P55" s="2696"/>
      <c r="Q55" s="2684"/>
      <c r="R55" s="2663"/>
      <c r="S55" s="2663"/>
      <c r="T55" s="2663"/>
      <c r="U55" s="2663"/>
      <c r="V55" s="2663"/>
      <c r="W55" s="2663"/>
      <c r="X55" s="2663"/>
      <c r="Y55" s="2663"/>
      <c r="Z55" s="2663"/>
      <c r="AA55" s="2663"/>
      <c r="AB55" s="2663"/>
      <c r="AC55" s="2663"/>
      <c r="AD55" s="2663"/>
    </row>
    <row r="56" spans="1:30" ht="15.75" thickBot="1">
      <c r="A56" s="375"/>
      <c r="B56" s="474"/>
      <c r="C56" s="499"/>
      <c r="D56" s="475"/>
      <c r="E56" s="475"/>
      <c r="F56" s="475"/>
      <c r="G56" s="475"/>
      <c r="H56" s="475"/>
      <c r="I56" s="475"/>
      <c r="J56" s="475"/>
      <c r="K56" s="475"/>
      <c r="L56" s="475"/>
      <c r="M56" s="476"/>
      <c r="N56" s="2698"/>
      <c r="O56" s="2698"/>
      <c r="P56" s="2696"/>
      <c r="Q56" s="2684"/>
      <c r="R56" s="2663"/>
      <c r="S56" s="2663"/>
      <c r="T56" s="2663"/>
      <c r="U56" s="2663"/>
      <c r="V56" s="2663"/>
      <c r="W56" s="2663"/>
      <c r="X56" s="2663"/>
      <c r="Y56" s="2663"/>
      <c r="Z56" s="2663"/>
      <c r="AA56" s="2663"/>
      <c r="AB56" s="2663"/>
      <c r="AC56" s="2663"/>
      <c r="AD56" s="2663"/>
    </row>
    <row r="57" spans="1:30" s="416" customFormat="1" ht="15.75" thickTop="1">
      <c r="A57" s="492"/>
      <c r="B57" s="477">
        <f>B12</f>
        <v>111</v>
      </c>
      <c r="C57" s="488"/>
      <c r="D57" s="488"/>
      <c r="E57" s="488"/>
      <c r="F57" s="488"/>
      <c r="G57" s="493"/>
      <c r="H57" s="494"/>
      <c r="I57" s="494"/>
      <c r="J57" s="494"/>
      <c r="K57" s="494"/>
      <c r="L57" s="495"/>
      <c r="M57" s="496"/>
      <c r="N57" s="2699"/>
      <c r="O57" s="2699"/>
      <c r="P57" s="2699"/>
      <c r="Q57" s="2691"/>
      <c r="R57" s="2669"/>
      <c r="S57" s="2669"/>
      <c r="T57" s="2669"/>
      <c r="U57" s="2669"/>
      <c r="V57" s="2669"/>
      <c r="W57" s="2669"/>
      <c r="X57" s="2669"/>
      <c r="Y57" s="2669"/>
      <c r="Z57" s="2669"/>
      <c r="AA57" s="2669"/>
      <c r="AB57" s="2669"/>
      <c r="AC57" s="2669"/>
      <c r="AD57" s="2669"/>
    </row>
    <row r="58" spans="1:30" s="416" customFormat="1" ht="15.75" thickBot="1">
      <c r="A58" s="492"/>
      <c r="B58" s="482"/>
      <c r="C58" s="499"/>
      <c r="D58" s="475"/>
      <c r="E58" s="475"/>
      <c r="F58" s="475"/>
      <c r="G58" s="475"/>
      <c r="H58" s="475"/>
      <c r="I58" s="475"/>
      <c r="J58" s="475"/>
      <c r="K58" s="475"/>
      <c r="L58" s="475"/>
      <c r="M58" s="476"/>
      <c r="N58" s="2698"/>
      <c r="O58" s="2698"/>
      <c r="P58" s="2699"/>
      <c r="Q58" s="2691"/>
      <c r="R58" s="2669"/>
      <c r="S58" s="2669"/>
      <c r="T58" s="2669"/>
      <c r="U58" s="2669"/>
      <c r="V58" s="2669"/>
      <c r="W58" s="2669"/>
      <c r="X58" s="2669"/>
      <c r="Y58" s="2669"/>
      <c r="Z58" s="2669"/>
      <c r="AA58" s="2669"/>
      <c r="AB58" s="2669"/>
      <c r="AC58" s="2669"/>
      <c r="AD58" s="2669"/>
    </row>
    <row r="59" spans="1:30" s="416" customFormat="1" ht="15.75" thickTop="1">
      <c r="A59" s="492"/>
      <c r="B59" s="477">
        <f>B13</f>
        <v>111</v>
      </c>
      <c r="C59" s="488"/>
      <c r="D59" s="488"/>
      <c r="E59" s="488"/>
      <c r="F59" s="488"/>
      <c r="G59" s="493"/>
      <c r="H59" s="494"/>
      <c r="I59" s="494"/>
      <c r="J59" s="494"/>
      <c r="K59" s="494"/>
      <c r="L59" s="495"/>
      <c r="M59" s="496"/>
      <c r="N59" s="2699"/>
      <c r="O59" s="2699"/>
      <c r="P59" s="2669"/>
      <c r="Q59" s="2693"/>
      <c r="R59" s="2669"/>
      <c r="S59" s="2669"/>
      <c r="T59" s="2669"/>
      <c r="U59" s="2669"/>
      <c r="V59" s="2669"/>
      <c r="W59" s="2669"/>
      <c r="X59" s="2669"/>
      <c r="Y59" s="2669"/>
      <c r="Z59" s="2669"/>
      <c r="AA59" s="2669"/>
      <c r="AB59" s="2669"/>
      <c r="AC59" s="2669"/>
      <c r="AD59" s="2669"/>
    </row>
    <row r="60" spans="1:30" s="416" customFormat="1" ht="15.75" thickBot="1">
      <c r="A60" s="492"/>
      <c r="B60" s="482"/>
      <c r="C60" s="499"/>
      <c r="D60" s="499"/>
      <c r="E60" s="499"/>
      <c r="F60" s="499"/>
      <c r="G60" s="499"/>
      <c r="H60" s="501"/>
      <c r="I60" s="501"/>
      <c r="J60" s="501"/>
      <c r="K60" s="501"/>
      <c r="L60" s="501"/>
      <c r="M60" s="502"/>
      <c r="N60" s="2699"/>
      <c r="O60" s="2699"/>
      <c r="P60" s="2699"/>
      <c r="Q60" s="2691"/>
      <c r="R60" s="2669"/>
      <c r="S60" s="2669"/>
      <c r="T60" s="2669"/>
      <c r="U60" s="2669"/>
      <c r="V60" s="2669"/>
      <c r="W60" s="2669"/>
      <c r="X60" s="2669"/>
      <c r="Y60" s="2669"/>
      <c r="Z60" s="2669"/>
      <c r="AA60" s="2669"/>
      <c r="AB60" s="2669"/>
      <c r="AC60" s="2669"/>
      <c r="AD60" s="2669"/>
    </row>
    <row r="61" spans="1:30" ht="15" thickTop="1">
      <c r="A61" s="387" t="s">
        <v>2313</v>
      </c>
      <c r="B61" s="468" t="s">
        <v>2355</v>
      </c>
      <c r="C61" s="512" t="s">
        <v>2350</v>
      </c>
      <c r="D61" s="512" t="s">
        <v>2351</v>
      </c>
      <c r="E61" s="512" t="s">
        <v>2352</v>
      </c>
      <c r="F61" s="512" t="s">
        <v>2353</v>
      </c>
      <c r="G61" s="512" t="s">
        <v>2354</v>
      </c>
      <c r="H61" s="469"/>
      <c r="I61" s="469"/>
      <c r="J61" s="469"/>
      <c r="K61" s="513"/>
      <c r="L61" s="514"/>
      <c r="M61" s="515"/>
      <c r="N61" s="2697"/>
      <c r="O61" s="2697"/>
      <c r="P61" s="2721"/>
      <c r="Q61" s="2684"/>
      <c r="R61" s="2663"/>
      <c r="S61" s="2663"/>
      <c r="T61" s="2663"/>
      <c r="U61" s="2663"/>
      <c r="V61" s="2663"/>
      <c r="W61" s="2663"/>
      <c r="X61" s="2663"/>
      <c r="Y61" s="2663"/>
      <c r="Z61" s="2663"/>
      <c r="AA61" s="2663"/>
      <c r="AB61" s="2663"/>
      <c r="AC61" s="2663"/>
      <c r="AD61" s="2663"/>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98"/>
      <c r="O62" s="2698"/>
      <c r="P62" s="2696"/>
      <c r="Q62" s="2684"/>
      <c r="R62" s="2663"/>
      <c r="S62" s="2663"/>
      <c r="T62" s="2663"/>
      <c r="U62" s="2663"/>
      <c r="V62" s="2663"/>
      <c r="W62" s="2663"/>
      <c r="X62" s="2663"/>
      <c r="Y62" s="2663"/>
      <c r="Z62" s="2663"/>
      <c r="AA62" s="2663"/>
      <c r="AB62" s="2663"/>
      <c r="AC62" s="2663"/>
      <c r="AD62" s="2663"/>
    </row>
    <row r="63" spans="1:30" ht="27.75" thickTop="1">
      <c r="A63" s="375"/>
      <c r="B63" s="477" t="s">
        <v>2493</v>
      </c>
      <c r="C63" s="517" t="s">
        <v>2350</v>
      </c>
      <c r="D63" s="517" t="s">
        <v>2351</v>
      </c>
      <c r="E63" s="517" t="s">
        <v>2352</v>
      </c>
      <c r="F63" s="517" t="s">
        <v>2353</v>
      </c>
      <c r="G63" s="517" t="s">
        <v>2354</v>
      </c>
      <c r="H63" s="478"/>
      <c r="I63" s="478"/>
      <c r="J63" s="478"/>
      <c r="K63" s="479"/>
      <c r="L63" s="480"/>
      <c r="M63" s="481"/>
      <c r="N63" s="2697"/>
      <c r="O63" s="2697"/>
      <c r="P63" s="2696"/>
      <c r="Q63" s="2684"/>
      <c r="R63" s="2663"/>
      <c r="S63" s="2663"/>
      <c r="T63" s="2663"/>
      <c r="U63" s="2663"/>
      <c r="V63" s="2663"/>
      <c r="W63" s="2663"/>
      <c r="X63" s="2663"/>
      <c r="Y63" s="2663"/>
      <c r="Z63" s="2663"/>
      <c r="AA63" s="2663"/>
      <c r="AB63" s="2663"/>
      <c r="AC63" s="2663"/>
      <c r="AD63" s="2663"/>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98"/>
      <c r="O64" s="2698"/>
      <c r="P64" s="2696"/>
      <c r="Q64" s="2684"/>
      <c r="R64" s="2663"/>
      <c r="S64" s="2663"/>
      <c r="T64" s="2663"/>
      <c r="U64" s="2663"/>
      <c r="V64" s="2663"/>
      <c r="W64" s="2663"/>
      <c r="X64" s="2663"/>
      <c r="Y64" s="2663"/>
      <c r="Z64" s="2663"/>
      <c r="AA64" s="2663"/>
      <c r="AB64" s="2663"/>
      <c r="AC64" s="2663"/>
      <c r="AD64" s="2663"/>
    </row>
    <row r="65" spans="1:30" ht="15.75" thickTop="1">
      <c r="A65" s="375"/>
      <c r="B65" s="485" t="s">
        <v>2442</v>
      </c>
      <c r="C65" s="589" t="s">
        <v>2428</v>
      </c>
      <c r="D65" s="589" t="s">
        <v>2429</v>
      </c>
      <c r="E65" s="589" t="s">
        <v>2430</v>
      </c>
      <c r="F65" s="589" t="s">
        <v>2431</v>
      </c>
      <c r="G65" s="589" t="s">
        <v>2432</v>
      </c>
      <c r="H65" s="478"/>
      <c r="I65" s="478"/>
      <c r="J65" s="478"/>
      <c r="K65" s="478"/>
      <c r="L65" s="478"/>
      <c r="M65" s="1190"/>
      <c r="N65" s="2698"/>
      <c r="O65" s="2698"/>
      <c r="P65" s="2696"/>
      <c r="Q65" s="2684"/>
      <c r="R65" s="2663"/>
      <c r="S65" s="2663"/>
      <c r="T65" s="2663"/>
      <c r="U65" s="2663"/>
      <c r="V65" s="2663"/>
      <c r="W65" s="2663"/>
      <c r="X65" s="2663"/>
      <c r="Y65" s="2663"/>
      <c r="Z65" s="2663"/>
      <c r="AA65" s="2663"/>
      <c r="AB65" s="2663"/>
      <c r="AC65" s="2663"/>
      <c r="AD65" s="2663"/>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98"/>
      <c r="O66" s="2698"/>
      <c r="P66" s="2696"/>
      <c r="Q66" s="2684"/>
      <c r="R66" s="2663"/>
      <c r="S66" s="2663"/>
      <c r="T66" s="2663"/>
      <c r="U66" s="2663"/>
      <c r="V66" s="2663"/>
      <c r="W66" s="2663"/>
      <c r="X66" s="2663"/>
      <c r="Y66" s="2663"/>
      <c r="Z66" s="2663"/>
      <c r="AA66" s="2663"/>
      <c r="AB66" s="2663"/>
      <c r="AC66" s="2663"/>
      <c r="AD66" s="2663"/>
    </row>
    <row r="67" spans="1:30" ht="15.75" thickTop="1">
      <c r="A67" s="375"/>
      <c r="B67" s="477" t="s">
        <v>2362</v>
      </c>
      <c r="C67" s="517" t="s">
        <v>2350</v>
      </c>
      <c r="D67" s="517" t="s">
        <v>2351</v>
      </c>
      <c r="E67" s="517" t="s">
        <v>2352</v>
      </c>
      <c r="F67" s="517" t="s">
        <v>2353</v>
      </c>
      <c r="G67" s="517" t="s">
        <v>2354</v>
      </c>
      <c r="H67" s="478"/>
      <c r="I67" s="478"/>
      <c r="J67" s="478"/>
      <c r="K67" s="479"/>
      <c r="L67" s="480"/>
      <c r="M67" s="481"/>
      <c r="N67" s="2697"/>
      <c r="O67" s="2697"/>
      <c r="P67" s="2696"/>
      <c r="Q67" s="2684"/>
      <c r="R67" s="2663"/>
      <c r="S67" s="2663"/>
      <c r="T67" s="2663"/>
      <c r="U67" s="2663"/>
      <c r="V67" s="2663"/>
      <c r="W67" s="2663"/>
      <c r="X67" s="2663"/>
      <c r="Y67" s="2663"/>
      <c r="Z67" s="2663"/>
      <c r="AA67" s="2663"/>
      <c r="AB67" s="2663"/>
      <c r="AC67" s="2663"/>
      <c r="AD67" s="2663"/>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98"/>
      <c r="O68" s="2698"/>
      <c r="P68" s="2696"/>
      <c r="Q68" s="2684"/>
      <c r="R68" s="2663"/>
      <c r="S68" s="2663"/>
      <c r="T68" s="2663"/>
      <c r="U68" s="2663"/>
      <c r="V68" s="2663"/>
      <c r="W68" s="2663"/>
      <c r="X68" s="2663"/>
      <c r="Y68" s="2663"/>
      <c r="Z68" s="2663"/>
      <c r="AA68" s="2663"/>
      <c r="AB68" s="2663"/>
      <c r="AC68" s="2663"/>
      <c r="AD68" s="2663"/>
    </row>
    <row r="69" spans="1:30" ht="15.75" thickTop="1">
      <c r="A69" s="375"/>
      <c r="B69" s="477" t="s">
        <v>2482</v>
      </c>
      <c r="C69" s="493"/>
      <c r="D69" s="493"/>
      <c r="E69" s="493"/>
      <c r="F69" s="493"/>
      <c r="G69" s="493"/>
      <c r="H69" s="521"/>
      <c r="I69" s="521"/>
      <c r="J69" s="521"/>
      <c r="K69" s="522"/>
      <c r="L69" s="523"/>
      <c r="M69" s="524"/>
      <c r="N69" s="2697"/>
      <c r="O69" s="2697"/>
      <c r="P69" s="2696"/>
      <c r="Q69" s="2684"/>
      <c r="R69" s="2663"/>
      <c r="S69" s="2663"/>
      <c r="T69" s="2663"/>
      <c r="U69" s="2663"/>
      <c r="V69" s="2663"/>
      <c r="W69" s="2663"/>
      <c r="X69" s="2663"/>
      <c r="Y69" s="2663"/>
      <c r="Z69" s="2663"/>
      <c r="AA69" s="2663"/>
      <c r="AB69" s="2663"/>
      <c r="AC69" s="2663"/>
      <c r="AD69" s="2663"/>
    </row>
    <row r="70" spans="1:30" ht="15.75" thickBot="1">
      <c r="A70" s="375"/>
      <c r="B70" s="482"/>
      <c r="C70" s="483">
        <v>100</v>
      </c>
      <c r="D70" s="483">
        <f>C70-$K22</f>
        <v>100</v>
      </c>
      <c r="E70" s="483"/>
      <c r="F70" s="483"/>
      <c r="G70" s="483"/>
      <c r="H70" s="483"/>
      <c r="I70" s="483"/>
      <c r="J70" s="483"/>
      <c r="K70" s="483"/>
      <c r="L70" s="483"/>
      <c r="M70" s="484"/>
      <c r="N70" s="2698"/>
      <c r="O70" s="2698"/>
      <c r="P70" s="2696"/>
      <c r="Q70" s="2684"/>
      <c r="R70" s="2663"/>
      <c r="S70" s="2663"/>
      <c r="T70" s="2663"/>
      <c r="U70" s="2663"/>
      <c r="V70" s="2663"/>
      <c r="W70" s="2663"/>
      <c r="X70" s="2663"/>
      <c r="Y70" s="2663"/>
      <c r="Z70" s="2663"/>
      <c r="AA70" s="2663"/>
      <c r="AB70" s="2663"/>
      <c r="AC70" s="2663"/>
      <c r="AD70" s="2663"/>
    </row>
    <row r="71" spans="1:30" s="107" customFormat="1" ht="15.75" thickTop="1">
      <c r="A71" s="378"/>
      <c r="B71" s="477">
        <f>B23</f>
        <v>111</v>
      </c>
      <c r="C71" s="488"/>
      <c r="D71" s="488"/>
      <c r="E71" s="488"/>
      <c r="F71" s="488"/>
      <c r="G71" s="493"/>
      <c r="H71" s="493"/>
      <c r="I71" s="493"/>
      <c r="J71" s="493"/>
      <c r="K71" s="493"/>
      <c r="L71" s="518"/>
      <c r="M71" s="519"/>
      <c r="N71" s="2696"/>
      <c r="O71" s="2696"/>
      <c r="P71" s="2696"/>
      <c r="Q71" s="2684"/>
      <c r="R71" s="2613"/>
      <c r="S71" s="2613"/>
      <c r="T71" s="2613"/>
      <c r="U71" s="2613"/>
      <c r="V71" s="2613"/>
      <c r="W71" s="2613"/>
      <c r="X71" s="2613"/>
      <c r="Y71" s="2613"/>
      <c r="Z71" s="2613"/>
      <c r="AA71" s="2613"/>
      <c r="AB71" s="2613"/>
      <c r="AC71" s="2613"/>
      <c r="AD71" s="2613"/>
    </row>
    <row r="72" spans="1:30" s="107" customFormat="1" ht="15.75" thickBot="1">
      <c r="A72" s="378"/>
      <c r="B72" s="482"/>
      <c r="C72" s="499"/>
      <c r="D72" s="475"/>
      <c r="E72" s="475"/>
      <c r="F72" s="475"/>
      <c r="G72" s="475"/>
      <c r="H72" s="475"/>
      <c r="I72" s="475"/>
      <c r="J72" s="475"/>
      <c r="K72" s="475"/>
      <c r="L72" s="475"/>
      <c r="M72" s="476"/>
      <c r="N72" s="2698"/>
      <c r="O72" s="2698"/>
      <c r="P72" s="2696"/>
      <c r="Q72" s="2684"/>
      <c r="R72" s="2613"/>
      <c r="S72" s="2613"/>
      <c r="T72" s="2613"/>
      <c r="U72" s="2613"/>
      <c r="V72" s="2613"/>
      <c r="W72" s="2613"/>
      <c r="X72" s="2613"/>
      <c r="Y72" s="2613"/>
      <c r="Z72" s="2613"/>
      <c r="AA72" s="2613"/>
      <c r="AB72" s="2613"/>
      <c r="AC72" s="2613"/>
      <c r="AD72" s="2613"/>
    </row>
    <row r="73" spans="1:30" s="107" customFormat="1" ht="15.75" thickTop="1">
      <c r="A73" s="378"/>
      <c r="B73" s="477">
        <f>B24</f>
        <v>111</v>
      </c>
      <c r="C73" s="488"/>
      <c r="D73" s="488"/>
      <c r="E73" s="488"/>
      <c r="F73" s="488"/>
      <c r="G73" s="493"/>
      <c r="H73" s="493"/>
      <c r="I73" s="493"/>
      <c r="J73" s="493"/>
      <c r="K73" s="493"/>
      <c r="L73" s="493"/>
      <c r="M73" s="519"/>
      <c r="N73" s="2696"/>
      <c r="O73" s="2696"/>
      <c r="P73" s="2696"/>
      <c r="Q73" s="2684"/>
      <c r="R73" s="2613"/>
      <c r="S73" s="2613"/>
      <c r="T73" s="2613"/>
      <c r="U73" s="2613"/>
      <c r="V73" s="2613"/>
      <c r="W73" s="2613"/>
      <c r="X73" s="2613"/>
      <c r="Y73" s="2613"/>
      <c r="Z73" s="2613"/>
      <c r="AA73" s="2613"/>
      <c r="AB73" s="2613"/>
      <c r="AC73" s="2613"/>
      <c r="AD73" s="2613"/>
    </row>
    <row r="74" spans="1:30" s="107" customFormat="1" ht="15.75" thickBot="1">
      <c r="A74" s="378"/>
      <c r="B74" s="482"/>
      <c r="C74" s="499"/>
      <c r="D74" s="475"/>
      <c r="E74" s="475"/>
      <c r="F74" s="475"/>
      <c r="G74" s="475"/>
      <c r="H74" s="475"/>
      <c r="I74" s="475"/>
      <c r="J74" s="475"/>
      <c r="K74" s="475"/>
      <c r="L74" s="475"/>
      <c r="M74" s="476"/>
      <c r="N74" s="2698"/>
      <c r="O74" s="2698"/>
      <c r="P74" s="2696"/>
      <c r="Q74" s="2684"/>
      <c r="R74" s="2613"/>
      <c r="S74" s="2613"/>
      <c r="T74" s="2613"/>
      <c r="U74" s="2613"/>
      <c r="V74" s="2613"/>
      <c r="W74" s="2613"/>
      <c r="X74" s="2613"/>
      <c r="Y74" s="2613"/>
      <c r="Z74" s="2613"/>
      <c r="AA74" s="2613"/>
      <c r="AB74" s="2613"/>
      <c r="AC74" s="2613"/>
      <c r="AD74" s="2613"/>
    </row>
    <row r="75" spans="1:30" s="416" customFormat="1" ht="15.75" thickTop="1">
      <c r="A75" s="492"/>
      <c r="B75" s="477">
        <f>B25</f>
        <v>111</v>
      </c>
      <c r="C75" s="488"/>
      <c r="D75" s="488"/>
      <c r="E75" s="488"/>
      <c r="F75" s="488"/>
      <c r="G75" s="493"/>
      <c r="H75" s="494"/>
      <c r="I75" s="494"/>
      <c r="J75" s="494"/>
      <c r="K75" s="494"/>
      <c r="L75" s="495"/>
      <c r="M75" s="496"/>
      <c r="N75" s="2699"/>
      <c r="O75" s="2699"/>
      <c r="P75" s="2699"/>
      <c r="Q75" s="2691"/>
      <c r="R75" s="2669"/>
      <c r="S75" s="2669"/>
      <c r="T75" s="2669"/>
      <c r="U75" s="2669"/>
      <c r="V75" s="2669"/>
      <c r="W75" s="2669"/>
      <c r="X75" s="2669"/>
      <c r="Y75" s="2669"/>
      <c r="Z75" s="2669"/>
      <c r="AA75" s="2669"/>
      <c r="AB75" s="2669"/>
      <c r="AC75" s="2669"/>
      <c r="AD75" s="2669"/>
    </row>
    <row r="76" spans="1:30" s="416" customFormat="1" ht="15.75" thickBot="1">
      <c r="A76" s="492"/>
      <c r="B76" s="482"/>
      <c r="C76" s="499"/>
      <c r="D76" s="499"/>
      <c r="E76" s="499"/>
      <c r="F76" s="499"/>
      <c r="G76" s="475"/>
      <c r="H76" s="475"/>
      <c r="I76" s="475"/>
      <c r="J76" s="475"/>
      <c r="K76" s="475"/>
      <c r="L76" s="475"/>
      <c r="M76" s="476"/>
      <c r="N76" s="2699"/>
      <c r="O76" s="2699"/>
      <c r="P76" s="2699"/>
      <c r="Q76" s="2691"/>
      <c r="R76" s="2669"/>
      <c r="S76" s="2669"/>
      <c r="T76" s="2669"/>
      <c r="U76" s="2669"/>
      <c r="V76" s="2669"/>
      <c r="W76" s="2669"/>
      <c r="X76" s="2669"/>
      <c r="Y76" s="2669"/>
      <c r="Z76" s="2669"/>
      <c r="AA76" s="2669"/>
      <c r="AB76" s="2669"/>
      <c r="AC76" s="2669"/>
      <c r="AD76" s="2669"/>
    </row>
    <row r="77" spans="1:30" ht="15" thickTop="1">
      <c r="A77" s="387" t="s">
        <v>2317</v>
      </c>
      <c r="B77" s="468" t="s">
        <v>2369</v>
      </c>
      <c r="C77" s="493"/>
      <c r="D77" s="493"/>
      <c r="E77" s="470"/>
      <c r="F77" s="470"/>
      <c r="G77" s="470"/>
      <c r="H77" s="470"/>
      <c r="I77" s="470"/>
      <c r="J77" s="470"/>
      <c r="K77" s="471"/>
      <c r="L77" s="472"/>
      <c r="M77" s="473"/>
      <c r="N77" s="2697"/>
      <c r="O77" s="2697"/>
      <c r="P77" s="2696"/>
      <c r="Q77" s="2684"/>
      <c r="R77" s="2663"/>
      <c r="S77" s="2663"/>
      <c r="T77" s="2663"/>
      <c r="U77" s="2663"/>
      <c r="V77" s="2663"/>
      <c r="W77" s="2663"/>
      <c r="X77" s="2663"/>
      <c r="Y77" s="2663"/>
      <c r="Z77" s="2663"/>
      <c r="AA77" s="2663"/>
      <c r="AB77" s="2663"/>
      <c r="AC77" s="2663"/>
      <c r="AD77" s="2663"/>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98"/>
      <c r="O78" s="2698"/>
      <c r="P78" s="2696"/>
      <c r="Q78" s="2684"/>
      <c r="R78" s="2663"/>
      <c r="S78" s="2663"/>
      <c r="T78" s="2663"/>
      <c r="U78" s="2663"/>
      <c r="V78" s="2663"/>
      <c r="W78" s="2663"/>
      <c r="X78" s="2663"/>
      <c r="Y78" s="2663"/>
      <c r="Z78" s="2663"/>
      <c r="AA78" s="2663"/>
      <c r="AB78" s="2663"/>
      <c r="AC78" s="2663"/>
      <c r="AD78" s="2663"/>
    </row>
    <row r="79" spans="1:30" ht="15.75" thickTop="1">
      <c r="A79" s="375"/>
      <c r="B79" s="477" t="s">
        <v>2485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96"/>
      <c r="O79" s="2696"/>
      <c r="P79" s="2696"/>
      <c r="Q79" s="2684"/>
      <c r="R79" s="2663"/>
      <c r="S79" s="2663"/>
      <c r="T79" s="2663"/>
      <c r="U79" s="2663"/>
      <c r="V79" s="2663"/>
      <c r="W79" s="2663"/>
      <c r="X79" s="2663"/>
      <c r="Y79" s="2663"/>
      <c r="Z79" s="2663"/>
      <c r="AA79" s="2663"/>
      <c r="AB79" s="2663"/>
      <c r="AC79" s="2663"/>
      <c r="AD79" s="2663"/>
    </row>
    <row r="80" spans="1:30" ht="15">
      <c r="A80" s="375"/>
      <c r="B80" s="485"/>
      <c r="C80" s="538">
        <v>0.5</v>
      </c>
      <c r="D80" s="538">
        <v>0.6</v>
      </c>
      <c r="E80" s="538">
        <v>0.7</v>
      </c>
      <c r="F80" s="538">
        <v>0.8</v>
      </c>
      <c r="G80" s="538">
        <v>0.9</v>
      </c>
      <c r="H80" s="538">
        <v>1.0001</v>
      </c>
      <c r="I80" s="589"/>
      <c r="J80" s="589"/>
      <c r="K80" s="596"/>
      <c r="L80" s="597"/>
      <c r="M80" s="598"/>
      <c r="N80" s="2696"/>
      <c r="O80" s="2696"/>
      <c r="P80" s="2696"/>
      <c r="Q80" s="2684"/>
      <c r="R80" s="2663"/>
      <c r="S80" s="2663"/>
      <c r="T80" s="2663"/>
      <c r="U80" s="2663"/>
      <c r="V80" s="2663"/>
      <c r="W80" s="2663"/>
      <c r="X80" s="2663"/>
      <c r="Y80" s="2663"/>
      <c r="Z80" s="2663"/>
      <c r="AA80" s="2663"/>
      <c r="AB80" s="2663"/>
      <c r="AC80" s="2663"/>
      <c r="AD80" s="2663"/>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98"/>
      <c r="O81" s="2698"/>
      <c r="P81" s="2699"/>
      <c r="Q81" s="2691"/>
      <c r="R81" s="2669"/>
      <c r="S81" s="2669"/>
      <c r="T81" s="2669"/>
      <c r="U81" s="2669"/>
      <c r="V81" s="2669"/>
      <c r="W81" s="2669"/>
      <c r="X81" s="2669"/>
      <c r="Y81" s="2669"/>
      <c r="Z81" s="2669"/>
      <c r="AA81" s="2669"/>
      <c r="AB81" s="2669"/>
      <c r="AC81" s="2669"/>
      <c r="AD81" s="2669"/>
    </row>
    <row r="82" spans="1:30" ht="15" thickTop="1">
      <c r="A82" s="417"/>
      <c r="B82" s="485" t="s">
        <v>2486</v>
      </c>
      <c r="C82" s="493"/>
      <c r="D82" s="493"/>
      <c r="E82" s="521"/>
      <c r="F82" s="521"/>
      <c r="G82" s="521"/>
      <c r="H82" s="521"/>
      <c r="I82" s="521"/>
      <c r="J82" s="521"/>
      <c r="K82" s="522"/>
      <c r="L82" s="523"/>
      <c r="M82" s="524"/>
      <c r="N82" s="2697"/>
      <c r="O82" s="2697"/>
      <c r="P82" s="2696"/>
      <c r="Q82" s="2684"/>
      <c r="R82" s="2663"/>
      <c r="S82" s="2663"/>
      <c r="T82" s="2663"/>
      <c r="U82" s="2663"/>
      <c r="V82" s="2663"/>
      <c r="W82" s="2663"/>
      <c r="X82" s="2663"/>
      <c r="Y82" s="2663"/>
      <c r="Z82" s="2663"/>
      <c r="AA82" s="2663"/>
      <c r="AB82" s="2663"/>
      <c r="AC82" s="2663"/>
      <c r="AD82" s="2663"/>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98"/>
      <c r="O83" s="2698"/>
      <c r="P83" s="2696"/>
      <c r="Q83" s="2684"/>
      <c r="R83" s="2663"/>
      <c r="S83" s="2663"/>
      <c r="T83" s="2663"/>
      <c r="U83" s="2663"/>
      <c r="V83" s="2663"/>
      <c r="W83" s="2663"/>
      <c r="X83" s="2663"/>
      <c r="Y83" s="2663"/>
      <c r="Z83" s="2663"/>
      <c r="AA83" s="2663"/>
      <c r="AB83" s="2663"/>
      <c r="AC83" s="2663"/>
      <c r="AD83" s="2663"/>
    </row>
    <row r="84" spans="1:30" ht="15" thickTop="1">
      <c r="A84" s="417"/>
      <c r="B84" s="477" t="s">
        <v>2494</v>
      </c>
      <c r="C84" s="493"/>
      <c r="D84" s="493"/>
      <c r="E84" s="493"/>
      <c r="F84" s="493"/>
      <c r="G84" s="493"/>
      <c r="H84" s="493"/>
      <c r="I84" s="521"/>
      <c r="J84" s="521"/>
      <c r="K84" s="522"/>
      <c r="L84" s="523"/>
      <c r="M84" s="524"/>
      <c r="N84" s="2697"/>
      <c r="O84" s="2697"/>
      <c r="P84" s="2696"/>
      <c r="Q84" s="2684"/>
      <c r="R84" s="2663"/>
      <c r="S84" s="2663"/>
      <c r="T84" s="2663"/>
      <c r="U84" s="2663"/>
      <c r="V84" s="2663"/>
      <c r="W84" s="2663"/>
      <c r="X84" s="2663"/>
      <c r="Y84" s="2663"/>
      <c r="Z84" s="2663"/>
      <c r="AA84" s="2663"/>
      <c r="AB84" s="2663"/>
      <c r="AC84" s="2663"/>
      <c r="AD84" s="2663"/>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98"/>
      <c r="O85" s="2698"/>
      <c r="P85" s="2696"/>
      <c r="Q85" s="2684"/>
      <c r="R85" s="2663"/>
      <c r="S85" s="2663"/>
      <c r="T85" s="2663"/>
      <c r="U85" s="2663"/>
      <c r="V85" s="2663"/>
      <c r="W85" s="2663"/>
      <c r="X85" s="2663"/>
      <c r="Y85" s="2663"/>
      <c r="Z85" s="2663"/>
      <c r="AA85" s="2663"/>
      <c r="AB85" s="2663"/>
      <c r="AC85" s="2663"/>
      <c r="AD85" s="2663"/>
    </row>
    <row r="86" spans="1:30" ht="15" thickTop="1">
      <c r="A86" s="417"/>
      <c r="B86" s="485" t="s">
        <v>2495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97"/>
      <c r="O86" s="2697"/>
      <c r="P86" s="2696"/>
      <c r="Q86" s="2684"/>
      <c r="R86" s="2663"/>
      <c r="S86" s="2663"/>
      <c r="T86" s="2663"/>
      <c r="U86" s="2663"/>
      <c r="V86" s="2663"/>
      <c r="W86" s="2663"/>
      <c r="X86" s="2663"/>
      <c r="Y86" s="2663"/>
      <c r="Z86" s="2663"/>
      <c r="AA86" s="2663"/>
      <c r="AB86" s="2663"/>
      <c r="AC86" s="2663"/>
      <c r="AD86" s="2663"/>
    </row>
    <row r="87" spans="1:30">
      <c r="A87" s="417"/>
      <c r="B87" s="485"/>
      <c r="C87" s="9"/>
      <c r="D87" s="9"/>
      <c r="E87" s="9"/>
      <c r="F87" s="9"/>
      <c r="G87" s="9"/>
      <c r="H87" s="9"/>
      <c r="I87" s="9"/>
      <c r="J87" s="532"/>
      <c r="K87" s="532"/>
      <c r="L87" s="533"/>
      <c r="M87" s="534"/>
      <c r="N87" s="2697"/>
      <c r="O87" s="2697"/>
      <c r="P87" s="2696"/>
      <c r="Q87" s="2684"/>
      <c r="R87" s="2663"/>
      <c r="S87" s="2663"/>
      <c r="T87" s="2663"/>
      <c r="U87" s="2663"/>
      <c r="V87" s="2663"/>
      <c r="W87" s="2663"/>
      <c r="X87" s="2663"/>
      <c r="Y87" s="2663"/>
      <c r="Z87" s="2663"/>
      <c r="AA87" s="2663"/>
      <c r="AB87" s="2663"/>
      <c r="AC87" s="2663"/>
      <c r="AD87" s="2663"/>
    </row>
    <row r="88" spans="1:30" ht="15.75" thickBot="1">
      <c r="A88" s="375"/>
      <c r="B88" s="482"/>
      <c r="C88" s="499"/>
      <c r="D88" s="475"/>
      <c r="E88" s="475"/>
      <c r="F88" s="475"/>
      <c r="G88" s="475"/>
      <c r="H88" s="475"/>
      <c r="I88" s="475"/>
      <c r="J88" s="475"/>
      <c r="K88" s="475"/>
      <c r="L88" s="475"/>
      <c r="M88" s="475"/>
      <c r="N88" s="2698"/>
      <c r="O88" s="2698"/>
      <c r="P88" s="2696"/>
      <c r="Q88" s="2684"/>
      <c r="R88" s="2663"/>
      <c r="S88" s="2663"/>
      <c r="T88" s="2663"/>
      <c r="U88" s="2663"/>
      <c r="V88" s="2663"/>
      <c r="W88" s="2663"/>
      <c r="X88" s="2663"/>
      <c r="Y88" s="2663"/>
      <c r="Z88" s="2663"/>
      <c r="AA88" s="2663"/>
      <c r="AB88" s="2663"/>
      <c r="AC88" s="2663"/>
      <c r="AD88" s="2663"/>
    </row>
    <row r="89" spans="1:30" s="416" customFormat="1" ht="15" thickTop="1">
      <c r="A89" s="414"/>
      <c r="B89" s="477" t="s">
        <v>2496</v>
      </c>
      <c r="C89" s="493"/>
      <c r="D89" s="493"/>
      <c r="E89" s="493"/>
      <c r="F89" s="493"/>
      <c r="G89" s="493"/>
      <c r="H89" s="493"/>
      <c r="I89" s="493"/>
      <c r="J89" s="493"/>
      <c r="K89" s="493"/>
      <c r="L89" s="493"/>
      <c r="M89" s="519"/>
      <c r="N89" s="2699"/>
      <c r="O89" s="2699"/>
      <c r="P89" s="2699"/>
      <c r="Q89" s="2691"/>
      <c r="R89" s="2669"/>
      <c r="S89" s="2669"/>
      <c r="T89" s="2669"/>
      <c r="U89" s="2669"/>
      <c r="V89" s="2669"/>
      <c r="W89" s="2669"/>
      <c r="X89" s="2669"/>
      <c r="Y89" s="2669"/>
      <c r="Z89" s="2669"/>
      <c r="AA89" s="2669"/>
      <c r="AB89" s="2669"/>
      <c r="AC89" s="2669"/>
      <c r="AD89" s="2669"/>
    </row>
    <row r="90" spans="1:30" s="416" customFormat="1" ht="15.75" thickBot="1">
      <c r="A90" s="492"/>
      <c r="B90" s="482"/>
      <c r="C90" s="499"/>
      <c r="D90" s="475"/>
      <c r="E90" s="475"/>
      <c r="F90" s="475"/>
      <c r="G90" s="475"/>
      <c r="H90" s="475"/>
      <c r="I90" s="475"/>
      <c r="J90" s="475"/>
      <c r="K90" s="475"/>
      <c r="L90" s="475"/>
      <c r="M90" s="476"/>
      <c r="N90" s="2699"/>
      <c r="O90" s="2699"/>
      <c r="P90" s="2699"/>
      <c r="Q90" s="2691"/>
      <c r="R90" s="2669"/>
      <c r="S90" s="2669"/>
      <c r="T90" s="2669"/>
      <c r="U90" s="2669"/>
      <c r="V90" s="2669"/>
      <c r="W90" s="2669"/>
      <c r="X90" s="2669"/>
      <c r="Y90" s="2669"/>
      <c r="Z90" s="2669"/>
      <c r="AA90" s="2669"/>
      <c r="AB90" s="2669"/>
      <c r="AC90" s="2669"/>
      <c r="AD90" s="2669"/>
    </row>
    <row r="91" spans="1:30" ht="15" thickTop="1">
      <c r="A91" s="417"/>
      <c r="B91" s="477">
        <f>B32</f>
        <v>111</v>
      </c>
      <c r="C91" s="488"/>
      <c r="D91" s="488"/>
      <c r="E91" s="488"/>
      <c r="F91" s="488"/>
      <c r="G91" s="493"/>
      <c r="H91" s="494"/>
      <c r="I91" s="494"/>
      <c r="J91" s="494"/>
      <c r="K91" s="494"/>
      <c r="L91" s="495"/>
      <c r="M91" s="496"/>
      <c r="N91" s="2697"/>
      <c r="O91" s="2697"/>
      <c r="P91" s="2696"/>
      <c r="Q91" s="2684"/>
      <c r="R91" s="2663"/>
      <c r="S91" s="2663"/>
      <c r="T91" s="2663"/>
      <c r="U91" s="2663"/>
      <c r="V91" s="2663"/>
      <c r="W91" s="2663"/>
      <c r="X91" s="2663"/>
      <c r="Y91" s="2663"/>
      <c r="Z91" s="2663"/>
      <c r="AA91" s="2663"/>
      <c r="AB91" s="2663"/>
      <c r="AC91" s="2663"/>
      <c r="AD91" s="2663"/>
    </row>
    <row r="92" spans="1:30" ht="15.75" thickBot="1">
      <c r="A92" s="375"/>
      <c r="B92" s="482"/>
      <c r="C92" s="499"/>
      <c r="D92" s="475"/>
      <c r="E92" s="475"/>
      <c r="F92" s="475"/>
      <c r="G92" s="499"/>
      <c r="H92" s="501"/>
      <c r="I92" s="501"/>
      <c r="J92" s="501"/>
      <c r="K92" s="501"/>
      <c r="L92" s="501"/>
      <c r="M92" s="502"/>
      <c r="N92" s="2698"/>
      <c r="O92" s="2698"/>
      <c r="P92" s="2696"/>
      <c r="Q92" s="2684"/>
      <c r="R92" s="2663"/>
      <c r="S92" s="2663"/>
      <c r="T92" s="2663"/>
      <c r="U92" s="2663"/>
      <c r="V92" s="2663"/>
      <c r="W92" s="2663"/>
      <c r="X92" s="2663"/>
      <c r="Y92" s="2663"/>
      <c r="Z92" s="2663"/>
      <c r="AA92" s="2663"/>
      <c r="AB92" s="2663"/>
      <c r="AC92" s="2663"/>
      <c r="AD92" s="2663"/>
    </row>
    <row r="93" spans="1:30" ht="15" thickTop="1">
      <c r="A93" s="417"/>
      <c r="B93" s="477">
        <f>B33</f>
        <v>111</v>
      </c>
      <c r="C93" s="488"/>
      <c r="D93" s="488"/>
      <c r="E93" s="488"/>
      <c r="F93" s="488"/>
      <c r="G93" s="493"/>
      <c r="H93" s="494"/>
      <c r="I93" s="494"/>
      <c r="J93" s="494"/>
      <c r="K93" s="494"/>
      <c r="L93" s="495"/>
      <c r="M93" s="496"/>
      <c r="N93" s="2697"/>
      <c r="O93" s="2697"/>
      <c r="P93" s="2696"/>
      <c r="Q93" s="2684"/>
      <c r="R93" s="2663"/>
      <c r="S93" s="2663"/>
      <c r="T93" s="2663"/>
      <c r="U93" s="2663"/>
      <c r="V93" s="2663"/>
      <c r="W93" s="2663"/>
      <c r="X93" s="2663"/>
      <c r="Y93" s="2663"/>
      <c r="Z93" s="2663"/>
      <c r="AA93" s="2663"/>
      <c r="AB93" s="2663"/>
      <c r="AC93" s="2663"/>
      <c r="AD93" s="2663"/>
    </row>
    <row r="94" spans="1:30" ht="15.75" thickBot="1">
      <c r="A94" s="375"/>
      <c r="B94" s="482"/>
      <c r="C94" s="499"/>
      <c r="D94" s="475"/>
      <c r="E94" s="475"/>
      <c r="F94" s="475"/>
      <c r="G94" s="499"/>
      <c r="H94" s="501"/>
      <c r="I94" s="501"/>
      <c r="J94" s="501"/>
      <c r="K94" s="501"/>
      <c r="L94" s="501"/>
      <c r="M94" s="502"/>
      <c r="N94" s="2698"/>
      <c r="O94" s="2698"/>
      <c r="P94" s="2696"/>
      <c r="Q94" s="2684"/>
      <c r="R94" s="2663"/>
      <c r="S94" s="2663"/>
      <c r="T94" s="2663"/>
      <c r="U94" s="2663"/>
      <c r="V94" s="2663"/>
      <c r="W94" s="2663"/>
      <c r="X94" s="2663"/>
      <c r="Y94" s="2663"/>
      <c r="Z94" s="2663"/>
      <c r="AA94" s="2663"/>
      <c r="AB94" s="2663"/>
      <c r="AC94" s="2663"/>
      <c r="AD94" s="2663"/>
    </row>
    <row r="95" spans="1:30" ht="15" thickTop="1">
      <c r="A95" s="417"/>
      <c r="B95" s="568">
        <f>B34</f>
        <v>111</v>
      </c>
      <c r="C95" s="488"/>
      <c r="D95" s="488"/>
      <c r="E95" s="488"/>
      <c r="F95" s="488"/>
      <c r="G95" s="493"/>
      <c r="H95" s="494"/>
      <c r="I95" s="494"/>
      <c r="J95" s="494"/>
      <c r="K95" s="494"/>
      <c r="L95" s="495"/>
      <c r="M95" s="496"/>
      <c r="N95" s="2698"/>
      <c r="O95" s="2698"/>
      <c r="P95" s="2698"/>
      <c r="Q95" s="2712"/>
      <c r="R95" s="2663"/>
      <c r="S95" s="2663"/>
      <c r="T95" s="2663"/>
      <c r="U95" s="2663"/>
      <c r="V95" s="2663"/>
      <c r="W95" s="2663"/>
      <c r="X95" s="2663"/>
      <c r="Y95" s="2663"/>
      <c r="Z95" s="2663"/>
      <c r="AA95" s="2663"/>
      <c r="AB95" s="2663"/>
      <c r="AC95" s="2663"/>
      <c r="AD95" s="2663"/>
    </row>
    <row r="96" spans="1:30" ht="15.75" thickBot="1">
      <c r="A96" s="375"/>
      <c r="B96" s="482"/>
      <c r="C96" s="499"/>
      <c r="D96" s="499"/>
      <c r="E96" s="499"/>
      <c r="F96" s="499"/>
      <c r="G96" s="499"/>
      <c r="H96" s="501"/>
      <c r="I96" s="501"/>
      <c r="J96" s="501"/>
      <c r="K96" s="501"/>
      <c r="L96" s="501"/>
      <c r="M96" s="502"/>
      <c r="N96" s="2698"/>
      <c r="O96" s="2698"/>
      <c r="P96" s="2696"/>
      <c r="Q96" s="2684"/>
      <c r="R96" s="2663"/>
      <c r="S96" s="2663"/>
      <c r="T96" s="2663"/>
      <c r="U96" s="2663"/>
      <c r="V96" s="2663"/>
      <c r="W96" s="2663"/>
      <c r="X96" s="2663"/>
      <c r="Y96" s="2663"/>
      <c r="Z96" s="2663"/>
      <c r="AA96" s="2663"/>
      <c r="AB96" s="2663"/>
      <c r="AC96" s="2663"/>
      <c r="AD96" s="2663"/>
    </row>
    <row r="97" spans="1:30" ht="15" thickTop="1">
      <c r="N97" s="2663"/>
      <c r="O97" s="2663"/>
      <c r="P97" s="2663"/>
      <c r="Q97" s="2663"/>
      <c r="R97" s="2663"/>
      <c r="S97" s="2663"/>
      <c r="T97" s="2663"/>
      <c r="U97" s="2663"/>
      <c r="V97" s="2663"/>
      <c r="W97" s="2663"/>
      <c r="X97" s="2663"/>
      <c r="Y97" s="2663"/>
      <c r="Z97" s="2663"/>
      <c r="AA97" s="2663"/>
      <c r="AB97" s="2663"/>
      <c r="AC97" s="2663"/>
      <c r="AD97" s="2663"/>
    </row>
    <row r="98" spans="1:30">
      <c r="A98" s="1005"/>
      <c r="B98" s="1005"/>
      <c r="C98" s="1005"/>
      <c r="D98" s="1005"/>
      <c r="E98" s="1005"/>
      <c r="F98" s="1005"/>
      <c r="G98" s="1005"/>
      <c r="H98" s="1005"/>
      <c r="I98" s="1005"/>
      <c r="J98" s="1005"/>
      <c r="K98" s="1006"/>
      <c r="L98" s="1007"/>
      <c r="M98" s="1005"/>
      <c r="N98" s="2663"/>
      <c r="O98" s="2663"/>
      <c r="P98" s="2663"/>
      <c r="Q98" s="2663"/>
      <c r="R98" s="2663"/>
      <c r="S98" s="2663"/>
      <c r="T98" s="2663"/>
      <c r="U98" s="2663"/>
      <c r="V98" s="2663"/>
      <c r="W98" s="2663"/>
      <c r="X98" s="2663"/>
      <c r="Y98" s="2663"/>
      <c r="Z98" s="2663"/>
      <c r="AA98" s="2663"/>
      <c r="AB98" s="2663"/>
      <c r="AC98" s="2663"/>
      <c r="AD98" s="2663"/>
    </row>
    <row r="99" spans="1:30">
      <c r="A99" s="1005"/>
      <c r="B99" s="1005"/>
      <c r="C99" s="1005"/>
      <c r="D99" s="1005"/>
      <c r="E99" s="1005"/>
      <c r="F99" s="1005"/>
      <c r="G99" s="1005"/>
      <c r="H99" s="1005"/>
      <c r="I99" s="1005"/>
      <c r="J99" s="1005"/>
      <c r="K99" s="1006"/>
      <c r="L99" s="1007"/>
      <c r="M99" s="1005"/>
      <c r="N99" s="2663"/>
      <c r="O99" s="2663"/>
      <c r="P99" s="2663"/>
      <c r="Q99" s="2663"/>
      <c r="R99" s="2663"/>
      <c r="S99" s="2663"/>
      <c r="T99" s="2663"/>
      <c r="U99" s="2663"/>
      <c r="V99" s="2663"/>
      <c r="W99" s="2663"/>
      <c r="X99" s="2663"/>
      <c r="Y99" s="2663"/>
      <c r="Z99" s="2663"/>
      <c r="AA99" s="2663"/>
      <c r="AB99" s="2663"/>
      <c r="AC99" s="2663"/>
      <c r="AD99" s="2663"/>
    </row>
    <row r="100" spans="1:30">
      <c r="A100" s="1005"/>
      <c r="B100" s="1005"/>
      <c r="C100" s="1005"/>
      <c r="D100" s="1005"/>
      <c r="E100" s="1005"/>
      <c r="F100" s="1005"/>
      <c r="G100" s="1005"/>
      <c r="H100" s="1005"/>
      <c r="I100" s="1005"/>
      <c r="J100" s="1005"/>
      <c r="K100" s="1006"/>
      <c r="L100" s="1007"/>
      <c r="M100" s="1005"/>
      <c r="N100" s="2663"/>
      <c r="O100" s="2663"/>
      <c r="P100" s="2663"/>
      <c r="Q100" s="2663"/>
      <c r="R100" s="2663"/>
      <c r="S100" s="2663"/>
      <c r="T100" s="2663"/>
      <c r="U100" s="2663"/>
      <c r="V100" s="2663"/>
      <c r="W100" s="2663"/>
      <c r="X100" s="2663"/>
      <c r="Y100" s="2663"/>
      <c r="Z100" s="2663"/>
      <c r="AA100" s="2663"/>
      <c r="AB100" s="2663"/>
      <c r="AC100" s="2663"/>
      <c r="AD100" s="2663"/>
    </row>
    <row r="101" spans="1:30">
      <c r="A101" s="1005"/>
      <c r="B101" s="1005"/>
      <c r="C101" s="1005"/>
      <c r="D101" s="1005"/>
      <c r="E101" s="1005"/>
      <c r="F101" s="1005"/>
      <c r="G101" s="1005"/>
      <c r="H101" s="1005"/>
      <c r="I101" s="1005"/>
      <c r="J101" s="1005"/>
      <c r="K101" s="1006"/>
      <c r="L101" s="1007"/>
      <c r="M101" s="1005"/>
      <c r="N101" s="2663"/>
      <c r="O101" s="2663"/>
      <c r="P101" s="2663"/>
      <c r="Q101" s="2663"/>
      <c r="R101" s="2663"/>
      <c r="S101" s="2663"/>
      <c r="T101" s="2663"/>
      <c r="U101" s="2663"/>
      <c r="V101" s="2663"/>
      <c r="W101" s="2663"/>
      <c r="X101" s="2663"/>
      <c r="Y101" s="2663"/>
      <c r="Z101" s="2663"/>
      <c r="AA101" s="2663"/>
      <c r="AB101" s="2663"/>
      <c r="AC101" s="2663"/>
      <c r="AD101" s="2663"/>
    </row>
    <row r="102" spans="1:30">
      <c r="A102" s="1005"/>
      <c r="B102" s="1005"/>
      <c r="C102" s="1005"/>
      <c r="D102" s="1005"/>
      <c r="E102" s="1005"/>
      <c r="F102" s="1005"/>
      <c r="G102" s="1005"/>
      <c r="H102" s="1005"/>
      <c r="I102" s="1005"/>
      <c r="J102" s="1005"/>
      <c r="K102" s="1006"/>
      <c r="L102" s="1007"/>
      <c r="M102" s="1005"/>
      <c r="N102" s="2663"/>
      <c r="O102" s="2663"/>
      <c r="P102" s="2663"/>
      <c r="Q102" s="2663"/>
      <c r="R102" s="2663"/>
      <c r="S102" s="2663"/>
      <c r="T102" s="2663"/>
      <c r="U102" s="2663"/>
      <c r="V102" s="2663"/>
      <c r="W102" s="2663"/>
      <c r="X102" s="2663"/>
      <c r="Y102" s="2663"/>
      <c r="Z102" s="2663"/>
      <c r="AA102" s="2663"/>
      <c r="AB102" s="2663"/>
      <c r="AC102" s="2663"/>
      <c r="AD102" s="2663"/>
    </row>
    <row r="103" spans="1:30">
      <c r="A103" s="1005"/>
      <c r="B103" s="1005"/>
      <c r="C103" s="1005"/>
      <c r="D103" s="1005"/>
      <c r="E103" s="1005"/>
      <c r="F103" s="1005"/>
      <c r="G103" s="1005"/>
      <c r="H103" s="1005"/>
      <c r="I103" s="1005"/>
      <c r="J103" s="1005"/>
      <c r="K103" s="1006"/>
      <c r="L103" s="1007"/>
      <c r="M103" s="1005"/>
      <c r="N103" s="1005"/>
      <c r="O103" s="1005"/>
      <c r="P103" s="2663"/>
      <c r="Q103" s="2663"/>
      <c r="R103" s="2663"/>
      <c r="S103" s="2663"/>
      <c r="T103" s="2663"/>
      <c r="U103" s="2663"/>
      <c r="V103" s="2663"/>
      <c r="W103" s="2663"/>
      <c r="X103" s="2663"/>
      <c r="Y103" s="2663"/>
      <c r="Z103" s="2663"/>
      <c r="AA103" s="2663"/>
      <c r="AB103" s="2663"/>
      <c r="AC103" s="2663"/>
      <c r="AD103" s="2663"/>
    </row>
    <row r="104" spans="1:30">
      <c r="A104" s="1005"/>
      <c r="B104" s="1005"/>
      <c r="C104" s="1005"/>
      <c r="D104" s="1005"/>
      <c r="E104" s="1005"/>
      <c r="F104" s="1005"/>
      <c r="G104" s="1005"/>
      <c r="H104" s="1005"/>
      <c r="I104" s="1005"/>
      <c r="J104" s="1005"/>
      <c r="K104" s="1006"/>
      <c r="L104" s="1007"/>
      <c r="M104" s="1005"/>
      <c r="N104" s="1005"/>
      <c r="O104" s="1005"/>
      <c r="P104" s="1005"/>
      <c r="Q104" s="1005"/>
      <c r="R104" s="1005"/>
      <c r="S104" s="1005"/>
      <c r="T104" s="1005"/>
    </row>
    <row r="105" spans="1:30">
      <c r="A105" s="1005"/>
      <c r="B105" s="1005"/>
      <c r="C105" s="1005"/>
      <c r="D105" s="1005"/>
      <c r="E105" s="1005"/>
      <c r="F105" s="1005"/>
      <c r="G105" s="1005"/>
      <c r="H105" s="1005"/>
      <c r="I105" s="1005"/>
      <c r="J105" s="1005"/>
      <c r="K105" s="1006"/>
      <c r="L105" s="1007"/>
      <c r="M105" s="1005"/>
      <c r="N105" s="1005"/>
      <c r="O105" s="1005"/>
      <c r="P105" s="1005"/>
      <c r="Q105" s="1005"/>
      <c r="R105" s="1005"/>
      <c r="S105" s="1005"/>
      <c r="T105" s="1005"/>
    </row>
    <row r="106" spans="1:30">
      <c r="A106" s="1005"/>
      <c r="B106" s="1005"/>
      <c r="C106" s="1005"/>
      <c r="D106" s="1005"/>
      <c r="E106" s="1005"/>
      <c r="F106" s="1005"/>
      <c r="G106" s="1005"/>
      <c r="H106" s="1005"/>
      <c r="I106" s="1005"/>
      <c r="J106" s="1005"/>
      <c r="K106" s="1006"/>
      <c r="L106" s="1007"/>
      <c r="M106" s="1005"/>
      <c r="N106" s="1005"/>
      <c r="O106" s="1005"/>
      <c r="P106" s="1005"/>
      <c r="Q106" s="1005"/>
      <c r="R106" s="1005"/>
      <c r="S106" s="1005"/>
      <c r="T106" s="1005"/>
    </row>
    <row r="107" spans="1:30">
      <c r="A107" s="1005"/>
      <c r="B107" s="1005"/>
      <c r="C107" s="1005"/>
      <c r="D107" s="1005"/>
      <c r="E107" s="1005"/>
      <c r="F107" s="1005"/>
      <c r="G107" s="1005"/>
      <c r="H107" s="1005"/>
      <c r="I107" s="1005"/>
      <c r="J107" s="1005"/>
      <c r="K107" s="1006"/>
      <c r="L107" s="1007"/>
      <c r="M107" s="1005"/>
      <c r="N107" s="1005"/>
      <c r="O107" s="1005"/>
      <c r="P107" s="1005"/>
      <c r="Q107" s="1005"/>
      <c r="R107" s="1005"/>
      <c r="S107" s="1005"/>
      <c r="T107" s="1005"/>
    </row>
    <row r="108" spans="1:30">
      <c r="A108" s="1005"/>
      <c r="B108" s="1005"/>
      <c r="C108" s="1005"/>
      <c r="D108" s="1005"/>
      <c r="E108" s="1005"/>
      <c r="F108" s="1005"/>
      <c r="G108" s="1005"/>
      <c r="H108" s="1005"/>
      <c r="I108" s="1005"/>
      <c r="J108" s="1005"/>
      <c r="K108" s="1006"/>
      <c r="L108" s="1007"/>
      <c r="M108" s="1005"/>
      <c r="N108" s="1005"/>
      <c r="O108" s="1005"/>
      <c r="P108" s="1005"/>
      <c r="Q108" s="1005"/>
      <c r="R108" s="1005"/>
      <c r="S108" s="1005"/>
      <c r="T108" s="1005"/>
    </row>
    <row r="109" spans="1:30">
      <c r="A109" s="1005"/>
      <c r="B109" s="1005"/>
      <c r="C109" s="1005"/>
      <c r="D109" s="1005"/>
      <c r="E109" s="1005"/>
      <c r="F109" s="1005"/>
      <c r="G109" s="1005"/>
      <c r="H109" s="1005"/>
      <c r="I109" s="1005"/>
      <c r="J109" s="1005"/>
      <c r="K109" s="1006"/>
      <c r="L109" s="1007"/>
      <c r="M109" s="1005"/>
      <c r="N109" s="1005"/>
      <c r="O109" s="1005"/>
      <c r="P109" s="1005"/>
      <c r="Q109" s="1005"/>
      <c r="R109" s="1005"/>
      <c r="S109" s="1005"/>
      <c r="T109" s="1005"/>
    </row>
    <row r="110" spans="1:30">
      <c r="A110" s="1005"/>
      <c r="B110" s="1005"/>
      <c r="C110" s="1005"/>
      <c r="D110" s="1005"/>
      <c r="E110" s="1005"/>
      <c r="F110" s="1005"/>
      <c r="G110" s="1005"/>
      <c r="H110" s="1005"/>
      <c r="I110" s="1005"/>
      <c r="J110" s="1005"/>
      <c r="K110" s="1006"/>
      <c r="L110" s="1007"/>
      <c r="M110" s="1005"/>
      <c r="N110" s="1005"/>
      <c r="O110" s="1005"/>
      <c r="P110" s="1005"/>
      <c r="Q110" s="1005"/>
      <c r="R110" s="1005"/>
      <c r="S110" s="1005"/>
      <c r="T110" s="1005"/>
    </row>
    <row r="111" spans="1:30">
      <c r="A111" s="1005"/>
      <c r="B111" s="1005"/>
      <c r="C111" s="1005"/>
      <c r="D111" s="1005"/>
      <c r="E111" s="1005"/>
      <c r="F111" s="1005"/>
      <c r="G111" s="1005"/>
      <c r="H111" s="1005"/>
      <c r="I111" s="1005"/>
      <c r="J111" s="1005"/>
      <c r="K111" s="1006"/>
      <c r="L111" s="1007"/>
      <c r="M111" s="1005"/>
      <c r="N111" s="1005"/>
      <c r="O111" s="1005"/>
      <c r="P111" s="1005"/>
      <c r="Q111" s="1005"/>
      <c r="R111" s="1005"/>
      <c r="S111" s="1005"/>
      <c r="T111" s="1005"/>
    </row>
    <row r="112" spans="1:30">
      <c r="A112" s="1005"/>
      <c r="B112" s="1005"/>
      <c r="C112" s="1005"/>
      <c r="D112" s="1005"/>
      <c r="E112" s="1005"/>
      <c r="F112" s="1005"/>
      <c r="G112" s="1005"/>
      <c r="H112" s="1005"/>
      <c r="I112" s="1005"/>
      <c r="J112" s="1005"/>
      <c r="K112" s="1006"/>
      <c r="L112" s="1007"/>
      <c r="M112" s="1005"/>
      <c r="N112" s="1005"/>
      <c r="O112" s="1005"/>
      <c r="P112" s="1005"/>
      <c r="Q112" s="1005"/>
      <c r="R112" s="1005"/>
      <c r="S112" s="1005"/>
      <c r="T112" s="1005"/>
    </row>
    <row r="113" spans="1:20">
      <c r="A113" s="1005"/>
      <c r="B113" s="1005"/>
      <c r="C113" s="1005"/>
      <c r="D113" s="1005"/>
      <c r="E113" s="1005"/>
      <c r="F113" s="1005"/>
      <c r="G113" s="1005"/>
      <c r="H113" s="1005"/>
      <c r="I113" s="1005"/>
      <c r="J113" s="1005"/>
      <c r="K113" s="1006"/>
      <c r="L113" s="1007"/>
      <c r="M113" s="1005"/>
      <c r="N113" s="1005"/>
      <c r="O113" s="1005"/>
      <c r="P113" s="1005"/>
      <c r="Q113" s="1005"/>
      <c r="R113" s="1005"/>
      <c r="S113" s="1005"/>
      <c r="T113" s="1005"/>
    </row>
    <row r="114" spans="1:20">
      <c r="A114" s="1005"/>
      <c r="B114" s="1005"/>
      <c r="C114" s="1005"/>
      <c r="D114" s="1005"/>
      <c r="E114" s="1005"/>
      <c r="F114" s="1005"/>
      <c r="G114" s="1005"/>
      <c r="H114" s="1005"/>
      <c r="I114" s="1005"/>
      <c r="J114" s="1005"/>
      <c r="K114" s="1006"/>
      <c r="L114" s="1007"/>
      <c r="M114" s="1005"/>
      <c r="N114" s="1005"/>
      <c r="O114" s="1005"/>
      <c r="P114" s="1005"/>
      <c r="Q114" s="1005"/>
      <c r="R114" s="1005"/>
      <c r="S114" s="1005"/>
      <c r="T114" s="1005"/>
    </row>
    <row r="115" spans="1:20">
      <c r="A115" s="1005"/>
      <c r="B115" s="1005"/>
      <c r="C115" s="1005"/>
      <c r="D115" s="1005"/>
      <c r="E115" s="1005"/>
      <c r="F115" s="1005"/>
      <c r="G115" s="1005"/>
      <c r="H115" s="1005"/>
      <c r="I115" s="1005"/>
      <c r="J115" s="1005"/>
      <c r="K115" s="1006"/>
      <c r="L115" s="1007"/>
      <c r="M115" s="1005"/>
      <c r="N115" s="1005"/>
      <c r="O115" s="1005"/>
      <c r="P115" s="1005"/>
      <c r="Q115" s="1005"/>
      <c r="R115" s="1005"/>
      <c r="S115" s="1005"/>
      <c r="T115" s="1005"/>
    </row>
    <row r="116" spans="1:20">
      <c r="A116" s="1005"/>
      <c r="B116" s="1005"/>
      <c r="C116" s="1005"/>
      <c r="D116" s="1005"/>
      <c r="E116" s="1005"/>
      <c r="F116" s="1005"/>
      <c r="G116" s="1005"/>
      <c r="H116" s="1005"/>
      <c r="I116" s="1005"/>
      <c r="J116" s="1005"/>
      <c r="K116" s="1006"/>
      <c r="L116" s="1007"/>
      <c r="M116" s="1005"/>
      <c r="N116" s="1005"/>
      <c r="O116" s="1005"/>
      <c r="P116" s="1005"/>
      <c r="Q116" s="1005"/>
      <c r="R116" s="1005"/>
      <c r="S116" s="1005"/>
      <c r="T116" s="1005"/>
    </row>
    <row r="117" spans="1:20">
      <c r="A117" s="1005"/>
      <c r="B117" s="1005"/>
      <c r="C117" s="1005"/>
      <c r="D117" s="1005"/>
      <c r="E117" s="1005"/>
      <c r="F117" s="1005"/>
      <c r="G117" s="1005"/>
      <c r="H117" s="1005"/>
      <c r="I117" s="1005"/>
      <c r="J117" s="1005"/>
      <c r="K117" s="1006"/>
      <c r="L117" s="1007"/>
      <c r="M117" s="1005"/>
      <c r="N117" s="1005"/>
      <c r="O117" s="1005"/>
      <c r="P117" s="1005"/>
      <c r="Q117" s="1005"/>
      <c r="R117" s="1005"/>
      <c r="S117" s="1005"/>
      <c r="T117" s="1005"/>
    </row>
    <row r="118" spans="1:20">
      <c r="A118" s="1005"/>
      <c r="B118" s="1005"/>
      <c r="C118" s="1005"/>
      <c r="D118" s="1005"/>
      <c r="E118" s="1005"/>
      <c r="F118" s="1005"/>
      <c r="G118" s="1005"/>
      <c r="H118" s="1005"/>
      <c r="I118" s="1005"/>
      <c r="J118" s="1005"/>
      <c r="K118" s="1006"/>
      <c r="L118" s="1007"/>
      <c r="M118" s="1005"/>
      <c r="N118" s="1005"/>
      <c r="O118" s="1005"/>
      <c r="P118" s="1005"/>
      <c r="Q118" s="1005"/>
      <c r="R118" s="1005"/>
      <c r="S118" s="1005"/>
      <c r="T118" s="1005"/>
    </row>
    <row r="119" spans="1:20">
      <c r="A119" s="1005"/>
      <c r="B119" s="1005"/>
      <c r="C119" s="1005"/>
      <c r="D119" s="1005"/>
      <c r="E119" s="1005"/>
      <c r="F119" s="1005"/>
      <c r="G119" s="1005"/>
      <c r="H119" s="1005"/>
      <c r="I119" s="1005"/>
      <c r="J119" s="1005"/>
      <c r="K119" s="1006"/>
      <c r="L119" s="1007"/>
      <c r="M119" s="1005"/>
      <c r="N119" s="1005"/>
      <c r="O119" s="1005"/>
      <c r="P119" s="1005"/>
      <c r="Q119" s="1005"/>
      <c r="R119" s="1005"/>
      <c r="S119" s="1005"/>
      <c r="T119" s="1005"/>
    </row>
    <row r="120" spans="1:20">
      <c r="A120" s="1005"/>
      <c r="B120" s="1005"/>
      <c r="C120" s="1005"/>
      <c r="D120" s="1005"/>
      <c r="E120" s="1005"/>
      <c r="F120" s="1005"/>
      <c r="G120" s="1005"/>
      <c r="H120" s="1005"/>
      <c r="I120" s="1005"/>
      <c r="J120" s="1005"/>
      <c r="K120" s="1006"/>
      <c r="L120" s="1007"/>
      <c r="M120" s="1005"/>
      <c r="N120" s="1005"/>
      <c r="O120" s="1005"/>
      <c r="P120" s="1005"/>
      <c r="Q120" s="1005"/>
      <c r="R120" s="1005"/>
      <c r="S120" s="1005"/>
      <c r="T120" s="1005"/>
    </row>
    <row r="121" spans="1:20">
      <c r="A121" s="1005"/>
      <c r="B121" s="1005"/>
      <c r="C121" s="1005"/>
      <c r="D121" s="1005"/>
      <c r="E121" s="1005"/>
      <c r="F121" s="1005"/>
      <c r="G121" s="1005"/>
      <c r="H121" s="1005"/>
      <c r="I121" s="1005"/>
      <c r="J121" s="1005"/>
      <c r="K121" s="1006"/>
      <c r="L121" s="1007"/>
      <c r="M121" s="1005"/>
      <c r="N121" s="1005"/>
      <c r="O121" s="1005"/>
      <c r="P121" s="1005"/>
      <c r="Q121" s="1005"/>
      <c r="R121" s="1005"/>
      <c r="S121" s="1005"/>
      <c r="T121" s="1005"/>
    </row>
    <row r="122" spans="1:20">
      <c r="A122" s="1005"/>
      <c r="B122" s="1005"/>
      <c r="C122" s="1005"/>
      <c r="D122" s="1005"/>
      <c r="E122" s="1005"/>
      <c r="F122" s="1005"/>
      <c r="G122" s="1005"/>
      <c r="H122" s="1005"/>
      <c r="I122" s="1005"/>
      <c r="J122" s="1005"/>
      <c r="K122" s="1006"/>
      <c r="L122" s="1007"/>
      <c r="M122" s="1005"/>
      <c r="N122" s="1005"/>
      <c r="O122" s="1005"/>
      <c r="P122" s="1005"/>
      <c r="Q122" s="1005"/>
      <c r="R122" s="1005"/>
      <c r="S122" s="1005"/>
      <c r="T122" s="1005"/>
    </row>
    <row r="123" spans="1:20">
      <c r="A123" s="1005"/>
      <c r="B123" s="1005"/>
      <c r="C123" s="1005"/>
      <c r="D123" s="1005"/>
      <c r="E123" s="1005"/>
      <c r="F123" s="1005"/>
      <c r="G123" s="1005"/>
      <c r="H123" s="1005"/>
      <c r="I123" s="1005"/>
      <c r="J123" s="1005"/>
      <c r="K123" s="1006"/>
      <c r="L123" s="1007"/>
      <c r="M123" s="1005"/>
      <c r="N123" s="1005"/>
      <c r="O123" s="1005"/>
      <c r="P123" s="1005"/>
      <c r="Q123" s="1005"/>
      <c r="R123" s="1005"/>
      <c r="S123" s="1005"/>
      <c r="T123" s="1005"/>
    </row>
    <row r="124" spans="1:20">
      <c r="A124" s="1005"/>
      <c r="B124" s="1005"/>
      <c r="C124" s="1005"/>
      <c r="D124" s="1005"/>
      <c r="E124" s="1005"/>
      <c r="F124" s="1005"/>
      <c r="G124" s="1005"/>
      <c r="H124" s="1005"/>
      <c r="I124" s="1005"/>
      <c r="J124" s="1005"/>
      <c r="K124" s="1006"/>
      <c r="L124" s="1007"/>
      <c r="M124" s="1005"/>
      <c r="N124" s="1005"/>
      <c r="O124" s="1005"/>
      <c r="P124" s="1005"/>
      <c r="Q124" s="1005"/>
      <c r="R124" s="1005"/>
      <c r="S124" s="1005"/>
      <c r="T124" s="1005"/>
    </row>
    <row r="125" spans="1:20">
      <c r="A125" s="1005"/>
      <c r="B125" s="1005"/>
      <c r="C125" s="1005"/>
      <c r="D125" s="1005"/>
      <c r="E125" s="1005"/>
      <c r="F125" s="1005"/>
      <c r="G125" s="1005"/>
      <c r="H125" s="1005"/>
      <c r="I125" s="1005"/>
      <c r="J125" s="1005"/>
      <c r="K125" s="1006"/>
      <c r="L125" s="1007"/>
      <c r="M125" s="1005"/>
      <c r="N125" s="1005"/>
      <c r="O125" s="1005"/>
      <c r="P125" s="1005"/>
      <c r="Q125" s="1005"/>
      <c r="R125" s="1005"/>
      <c r="S125" s="1005"/>
      <c r="T125" s="1005"/>
    </row>
    <row r="126" spans="1:20">
      <c r="A126" s="1005"/>
      <c r="B126" s="1005"/>
      <c r="C126" s="1005"/>
      <c r="D126" s="1005"/>
      <c r="E126" s="1005"/>
      <c r="F126" s="1005"/>
      <c r="G126" s="1005"/>
      <c r="H126" s="1005"/>
      <c r="I126" s="1005"/>
      <c r="J126" s="1005"/>
      <c r="K126" s="1006"/>
      <c r="L126" s="1007"/>
      <c r="M126" s="1005"/>
      <c r="N126" s="1005"/>
      <c r="O126" s="1005"/>
      <c r="P126" s="1005"/>
      <c r="Q126" s="1005"/>
      <c r="R126" s="1005"/>
      <c r="S126" s="1005"/>
      <c r="T126" s="1005"/>
    </row>
    <row r="127" spans="1:20">
      <c r="A127" s="1005"/>
      <c r="B127" s="1005"/>
      <c r="C127" s="1005"/>
      <c r="D127" s="1005"/>
      <c r="E127" s="1005"/>
      <c r="F127" s="1005"/>
      <c r="G127" s="1005"/>
      <c r="H127" s="1005"/>
      <c r="I127" s="1005"/>
      <c r="J127" s="1005"/>
      <c r="K127" s="1006"/>
      <c r="L127" s="1007"/>
      <c r="M127" s="1005"/>
      <c r="N127" s="1005"/>
      <c r="O127" s="1005"/>
      <c r="P127" s="1005"/>
      <c r="Q127" s="1005"/>
      <c r="R127" s="1005"/>
      <c r="S127" s="1005"/>
      <c r="T127" s="1005"/>
    </row>
    <row r="128" spans="1:20">
      <c r="A128" s="1005"/>
      <c r="B128" s="1005"/>
      <c r="C128" s="1005"/>
      <c r="D128" s="1005"/>
      <c r="E128" s="1005"/>
      <c r="F128" s="1005"/>
      <c r="G128" s="1005"/>
      <c r="H128" s="1005"/>
      <c r="I128" s="1005"/>
      <c r="J128" s="1005"/>
      <c r="K128" s="1006"/>
      <c r="L128" s="1007"/>
      <c r="M128" s="1005"/>
      <c r="N128" s="1005"/>
      <c r="O128" s="1005"/>
      <c r="P128" s="1005"/>
      <c r="Q128" s="1005"/>
      <c r="R128" s="1005"/>
      <c r="S128" s="1005"/>
      <c r="T128" s="1005"/>
    </row>
    <row r="129" spans="1:20">
      <c r="A129" s="1005"/>
      <c r="B129" s="1005"/>
      <c r="C129" s="1005"/>
      <c r="D129" s="1005"/>
      <c r="E129" s="1005"/>
      <c r="F129" s="1005"/>
      <c r="G129" s="1005"/>
      <c r="H129" s="1005"/>
      <c r="I129" s="1005"/>
      <c r="J129" s="1005"/>
      <c r="K129" s="1006"/>
      <c r="L129" s="1007"/>
      <c r="M129" s="1005"/>
      <c r="N129" s="1005"/>
      <c r="O129" s="1005"/>
      <c r="P129" s="1005"/>
      <c r="Q129" s="1005"/>
      <c r="R129" s="1005"/>
      <c r="S129" s="1005"/>
      <c r="T129" s="1005"/>
    </row>
    <row r="130" spans="1:20">
      <c r="A130" s="1005"/>
      <c r="B130" s="1005"/>
      <c r="C130" s="1005"/>
      <c r="D130" s="1005"/>
      <c r="E130" s="1005"/>
      <c r="F130" s="1005"/>
      <c r="G130" s="1005"/>
      <c r="H130" s="1005"/>
      <c r="I130" s="1005"/>
      <c r="J130" s="1005"/>
      <c r="K130" s="1006"/>
      <c r="L130" s="1007"/>
      <c r="M130" s="1005"/>
      <c r="N130" s="1005"/>
      <c r="O130" s="1005"/>
      <c r="P130" s="1005"/>
      <c r="Q130" s="1005"/>
      <c r="R130" s="1005"/>
      <c r="S130" s="1005"/>
      <c r="T130" s="1005"/>
    </row>
    <row r="131" spans="1:20">
      <c r="A131" s="1005"/>
      <c r="B131" s="1005"/>
      <c r="C131" s="1005"/>
      <c r="D131" s="1005"/>
      <c r="E131" s="1005"/>
      <c r="F131" s="1005"/>
      <c r="G131" s="1005"/>
      <c r="H131" s="1005"/>
      <c r="I131" s="1005"/>
      <c r="J131" s="1005"/>
      <c r="K131" s="1006"/>
      <c r="L131" s="1007"/>
      <c r="M131" s="1005"/>
      <c r="N131" s="1005"/>
      <c r="O131" s="1005"/>
      <c r="P131" s="1005"/>
      <c r="Q131" s="1005"/>
      <c r="R131" s="1005"/>
      <c r="S131" s="1005"/>
      <c r="T131" s="1005"/>
    </row>
    <row r="132" spans="1:20">
      <c r="A132" s="1005"/>
      <c r="B132" s="1005"/>
      <c r="C132" s="1005"/>
      <c r="D132" s="1005"/>
      <c r="E132" s="1005"/>
      <c r="F132" s="1005"/>
      <c r="G132" s="1005"/>
      <c r="H132" s="1005"/>
      <c r="I132" s="1005"/>
      <c r="J132" s="1005"/>
      <c r="K132" s="1006"/>
      <c r="L132" s="1007"/>
      <c r="M132" s="1005"/>
      <c r="N132" s="1005"/>
      <c r="O132" s="1005"/>
      <c r="P132" s="1005"/>
      <c r="Q132" s="1005"/>
      <c r="R132" s="1005"/>
      <c r="S132" s="1005"/>
      <c r="T132" s="1005"/>
    </row>
    <row r="133" spans="1:20">
      <c r="A133" s="1005"/>
      <c r="B133" s="1005"/>
      <c r="C133" s="1005"/>
      <c r="D133" s="1005"/>
      <c r="E133" s="1005"/>
      <c r="F133" s="1005"/>
      <c r="G133" s="1005"/>
      <c r="H133" s="1005"/>
      <c r="I133" s="1005"/>
      <c r="J133" s="1005"/>
      <c r="K133" s="1006"/>
      <c r="L133" s="1007"/>
      <c r="M133" s="1005"/>
      <c r="N133" s="1005"/>
      <c r="O133" s="1005"/>
      <c r="P133" s="1005"/>
      <c r="Q133" s="1005"/>
      <c r="R133" s="1005"/>
      <c r="S133" s="1005"/>
      <c r="T133" s="1005"/>
    </row>
    <row r="134" spans="1:20">
      <c r="A134" s="1005"/>
      <c r="B134" s="1005"/>
      <c r="C134" s="1005"/>
      <c r="D134" s="1005"/>
      <c r="E134" s="1005"/>
      <c r="F134" s="1005"/>
      <c r="G134" s="1005"/>
      <c r="H134" s="1005"/>
      <c r="I134" s="1005"/>
      <c r="J134" s="1005"/>
      <c r="K134" s="1006"/>
      <c r="L134" s="1007"/>
      <c r="M134" s="1005"/>
      <c r="N134" s="1005"/>
      <c r="O134" s="1005"/>
      <c r="P134" s="1005"/>
      <c r="Q134" s="1005"/>
      <c r="R134" s="1005"/>
      <c r="S134" s="1005"/>
      <c r="T134" s="1005"/>
    </row>
    <row r="135" spans="1:20">
      <c r="A135" s="1005"/>
      <c r="B135" s="1005"/>
      <c r="C135" s="1005"/>
      <c r="D135" s="1005"/>
      <c r="E135" s="1005"/>
      <c r="F135" s="1005"/>
      <c r="G135" s="1005"/>
      <c r="H135" s="1005"/>
      <c r="I135" s="1005"/>
      <c r="J135" s="1005"/>
      <c r="K135" s="1006"/>
      <c r="L135" s="1007"/>
      <c r="M135" s="1005"/>
      <c r="N135" s="1005"/>
      <c r="O135" s="1005"/>
      <c r="P135" s="1005"/>
      <c r="Q135" s="1005"/>
      <c r="R135" s="1005"/>
      <c r="S135" s="1005"/>
      <c r="T135" s="1005"/>
    </row>
    <row r="136" spans="1:20">
      <c r="A136" s="1005"/>
      <c r="B136" s="1005"/>
      <c r="C136" s="1005"/>
      <c r="D136" s="1005"/>
      <c r="E136" s="1005"/>
      <c r="F136" s="1005"/>
      <c r="G136" s="1005"/>
      <c r="H136" s="1005"/>
      <c r="I136" s="1005"/>
      <c r="J136" s="1005"/>
      <c r="K136" s="1006"/>
      <c r="L136" s="1007"/>
      <c r="M136" s="1005"/>
      <c r="N136" s="1005"/>
      <c r="O136" s="1005"/>
      <c r="P136" s="1005"/>
      <c r="Q136" s="1005"/>
      <c r="R136" s="1005"/>
      <c r="S136" s="1005"/>
      <c r="T136" s="1005"/>
    </row>
    <row r="137" spans="1:20">
      <c r="A137" s="1005"/>
      <c r="B137" s="1005"/>
      <c r="C137" s="1005"/>
      <c r="D137" s="1005"/>
      <c r="E137" s="1005"/>
      <c r="F137" s="1005"/>
      <c r="G137" s="1005"/>
      <c r="H137" s="1005"/>
      <c r="I137" s="1005"/>
      <c r="J137" s="1005"/>
      <c r="K137" s="1006"/>
      <c r="L137" s="1007"/>
      <c r="M137" s="1005"/>
      <c r="N137" s="1005"/>
      <c r="O137" s="1005"/>
      <c r="P137" s="1005"/>
      <c r="Q137" s="1005"/>
      <c r="R137" s="1005"/>
      <c r="S137" s="1005"/>
      <c r="T137" s="1005"/>
    </row>
    <row r="138" spans="1:20">
      <c r="A138" s="1005"/>
      <c r="B138" s="1005"/>
      <c r="C138" s="1005"/>
      <c r="D138" s="1005"/>
      <c r="E138" s="1005"/>
      <c r="F138" s="1005"/>
      <c r="G138" s="1005"/>
      <c r="H138" s="1005"/>
      <c r="I138" s="1005"/>
      <c r="J138" s="1005"/>
      <c r="K138" s="1006"/>
      <c r="L138" s="1007"/>
      <c r="M138" s="1005"/>
      <c r="N138" s="1005"/>
      <c r="O138" s="1005"/>
      <c r="P138" s="1005"/>
      <c r="Q138" s="1005"/>
      <c r="R138" s="1005"/>
      <c r="S138" s="1005"/>
      <c r="T138" s="1005"/>
    </row>
    <row r="139" spans="1:20">
      <c r="A139" s="1005"/>
      <c r="B139" s="1005"/>
      <c r="C139" s="1005"/>
      <c r="D139" s="1005"/>
      <c r="E139" s="1005"/>
      <c r="F139" s="1005"/>
      <c r="G139" s="1005"/>
      <c r="H139" s="1005"/>
      <c r="I139" s="1005"/>
      <c r="J139" s="1005"/>
      <c r="K139" s="1006"/>
      <c r="L139" s="1007"/>
      <c r="M139" s="1005"/>
      <c r="N139" s="1005"/>
      <c r="O139" s="1005"/>
      <c r="P139" s="1005"/>
      <c r="Q139" s="1005"/>
      <c r="R139" s="1005"/>
      <c r="S139" s="1005"/>
      <c r="T139" s="1005"/>
    </row>
    <row r="140" spans="1:20">
      <c r="A140" s="1005"/>
      <c r="B140" s="1005"/>
      <c r="C140" s="1005"/>
      <c r="D140" s="1005"/>
      <c r="E140" s="1005"/>
      <c r="F140" s="1005"/>
      <c r="G140" s="1005"/>
      <c r="H140" s="1005"/>
      <c r="I140" s="1005"/>
      <c r="J140" s="1005"/>
      <c r="K140" s="1006"/>
      <c r="L140" s="1007"/>
      <c r="M140" s="1005"/>
      <c r="N140" s="1005"/>
      <c r="O140" s="1005"/>
      <c r="P140" s="1005"/>
      <c r="Q140" s="1005"/>
      <c r="R140" s="1005"/>
      <c r="S140" s="1005"/>
      <c r="T140" s="1005"/>
    </row>
    <row r="141" spans="1:20">
      <c r="A141" s="1005"/>
      <c r="B141" s="1005"/>
      <c r="C141" s="1005"/>
      <c r="D141" s="1005"/>
      <c r="E141" s="1005"/>
      <c r="F141" s="1005"/>
      <c r="G141" s="1005"/>
      <c r="H141" s="1005"/>
      <c r="I141" s="1005"/>
      <c r="J141" s="1005"/>
      <c r="K141" s="1006"/>
      <c r="L141" s="1007"/>
      <c r="M141" s="1005"/>
      <c r="N141" s="1005"/>
      <c r="O141" s="1005"/>
      <c r="P141" s="1005"/>
      <c r="Q141" s="1005"/>
      <c r="R141" s="1005"/>
      <c r="S141" s="1005"/>
      <c r="T141" s="1005"/>
    </row>
    <row r="142" spans="1:20">
      <c r="A142" s="1005"/>
      <c r="B142" s="1005"/>
      <c r="C142" s="1005"/>
      <c r="D142" s="1005"/>
      <c r="E142" s="1005"/>
      <c r="F142" s="1005"/>
      <c r="G142" s="1005"/>
      <c r="H142" s="1005"/>
      <c r="I142" s="1005"/>
      <c r="J142" s="1005"/>
      <c r="K142" s="1006"/>
      <c r="L142" s="1007"/>
      <c r="M142" s="1005"/>
      <c r="N142" s="1005"/>
      <c r="O142" s="1005"/>
      <c r="P142" s="1005"/>
      <c r="Q142" s="1005"/>
      <c r="R142" s="1005"/>
      <c r="S142" s="1005"/>
      <c r="T142" s="1005"/>
    </row>
    <row r="143" spans="1:20">
      <c r="A143" s="1005"/>
      <c r="B143" s="1005"/>
      <c r="C143" s="1005"/>
      <c r="D143" s="1005"/>
      <c r="E143" s="1005"/>
      <c r="F143" s="1005"/>
      <c r="G143" s="1005"/>
      <c r="H143" s="1005"/>
      <c r="I143" s="1005"/>
      <c r="J143" s="1005"/>
      <c r="K143" s="1006"/>
      <c r="L143" s="1007"/>
      <c r="M143" s="1005"/>
      <c r="N143" s="1005"/>
      <c r="O143" s="1005"/>
      <c r="P143" s="1005"/>
      <c r="Q143" s="1005"/>
      <c r="R143" s="1005"/>
      <c r="S143" s="1005"/>
      <c r="T143" s="1005"/>
    </row>
    <row r="144" spans="1:20">
      <c r="A144" s="1005"/>
      <c r="B144" s="1005"/>
      <c r="C144" s="1005"/>
      <c r="D144" s="1005"/>
      <c r="E144" s="1005"/>
      <c r="F144" s="1005"/>
      <c r="G144" s="1005"/>
      <c r="H144" s="1005"/>
      <c r="I144" s="1005"/>
      <c r="J144" s="1005"/>
      <c r="K144" s="1006"/>
      <c r="L144" s="1007"/>
      <c r="M144" s="1005"/>
      <c r="N144" s="1005"/>
      <c r="O144" s="1005"/>
      <c r="P144" s="1005"/>
      <c r="Q144" s="1005"/>
      <c r="R144" s="1005"/>
      <c r="S144" s="1005"/>
      <c r="T144" s="1005"/>
    </row>
    <row r="145" spans="1:20">
      <c r="A145" s="1005"/>
      <c r="B145" s="1005"/>
      <c r="C145" s="1005"/>
      <c r="D145" s="1005"/>
      <c r="E145" s="1005"/>
      <c r="F145" s="1005"/>
      <c r="G145" s="1005"/>
      <c r="H145" s="1005"/>
      <c r="I145" s="1005"/>
      <c r="J145" s="1005"/>
      <c r="K145" s="1006"/>
      <c r="L145" s="1007"/>
      <c r="M145" s="1005"/>
      <c r="N145" s="1005"/>
      <c r="O145" s="1005"/>
      <c r="P145" s="1005"/>
      <c r="Q145" s="1005"/>
      <c r="R145" s="1005"/>
      <c r="S145" s="1005"/>
      <c r="T145" s="1005"/>
    </row>
    <row r="146" spans="1:20">
      <c r="A146" s="1005"/>
      <c r="B146" s="1005"/>
      <c r="C146" s="1005"/>
      <c r="D146" s="1005"/>
      <c r="E146" s="1005"/>
      <c r="F146" s="1005"/>
      <c r="G146" s="1005"/>
      <c r="H146" s="1005"/>
      <c r="I146" s="1005"/>
      <c r="J146" s="1005"/>
      <c r="K146" s="1006"/>
      <c r="L146" s="1007"/>
      <c r="M146" s="1005"/>
      <c r="N146" s="1005"/>
      <c r="O146" s="1005"/>
      <c r="P146" s="1005"/>
      <c r="Q146" s="1005"/>
      <c r="R146" s="1005"/>
      <c r="S146" s="1005"/>
      <c r="T146" s="1005"/>
    </row>
    <row r="147" spans="1:20">
      <c r="A147" s="1005"/>
      <c r="B147" s="1005"/>
      <c r="C147" s="1005"/>
      <c r="D147" s="1005"/>
      <c r="E147" s="1005"/>
      <c r="F147" s="1005"/>
      <c r="G147" s="1005"/>
      <c r="H147" s="1005"/>
      <c r="I147" s="1005"/>
      <c r="J147" s="1005"/>
      <c r="K147" s="1006"/>
      <c r="L147" s="1007"/>
      <c r="M147" s="1005"/>
      <c r="N147" s="1005"/>
      <c r="O147" s="1005"/>
      <c r="P147" s="1005"/>
      <c r="Q147" s="1005"/>
      <c r="R147" s="1005"/>
      <c r="S147" s="1005"/>
      <c r="T147" s="1005"/>
    </row>
    <row r="148" spans="1:20">
      <c r="A148" s="1005"/>
      <c r="B148" s="1005"/>
      <c r="C148" s="1005"/>
      <c r="D148" s="1005"/>
      <c r="E148" s="1005"/>
      <c r="F148" s="1005"/>
      <c r="G148" s="1005"/>
      <c r="H148" s="1005"/>
      <c r="I148" s="1005"/>
      <c r="J148" s="1005"/>
      <c r="K148" s="1006"/>
      <c r="L148" s="1007"/>
      <c r="M148" s="1005"/>
      <c r="N148" s="1005"/>
      <c r="O148" s="1005"/>
      <c r="P148" s="1005"/>
      <c r="Q148" s="1005"/>
      <c r="R148" s="1005"/>
      <c r="S148" s="1005"/>
      <c r="T148" s="1005"/>
    </row>
    <row r="149" spans="1:20">
      <c r="A149" s="1005"/>
      <c r="B149" s="1005"/>
      <c r="C149" s="1005"/>
      <c r="D149" s="1005"/>
      <c r="E149" s="1005"/>
      <c r="F149" s="1005"/>
      <c r="G149" s="1005"/>
      <c r="H149" s="1005"/>
      <c r="I149" s="1005"/>
      <c r="J149" s="1005"/>
      <c r="K149" s="1006"/>
      <c r="L149" s="1007"/>
      <c r="M149" s="1005"/>
      <c r="N149" s="1005"/>
      <c r="O149" s="1005"/>
      <c r="P149" s="1005"/>
      <c r="Q149" s="1005"/>
      <c r="R149" s="1005"/>
      <c r="S149" s="1005"/>
      <c r="T149" s="1005"/>
    </row>
    <row r="150" spans="1:20">
      <c r="A150" s="1005"/>
      <c r="B150" s="1005"/>
      <c r="C150" s="1005"/>
      <c r="D150" s="1005"/>
      <c r="E150" s="1005"/>
      <c r="F150" s="1005"/>
      <c r="G150" s="1005"/>
      <c r="H150" s="1005"/>
      <c r="I150" s="1005"/>
      <c r="J150" s="1005"/>
      <c r="K150" s="1006"/>
      <c r="L150" s="1007"/>
      <c r="M150" s="1005"/>
      <c r="N150" s="1005"/>
      <c r="O150" s="1005"/>
      <c r="P150" s="1005"/>
      <c r="Q150" s="1005"/>
      <c r="R150" s="1005"/>
      <c r="S150" s="1005"/>
      <c r="T150" s="1005"/>
    </row>
    <row r="151" spans="1:20">
      <c r="A151" s="1005"/>
      <c r="B151" s="1005"/>
      <c r="C151" s="1005"/>
      <c r="D151" s="1005"/>
      <c r="E151" s="1005"/>
      <c r="F151" s="1005"/>
      <c r="G151" s="1005"/>
      <c r="H151" s="1005"/>
      <c r="I151" s="1005"/>
      <c r="J151" s="1005"/>
      <c r="K151" s="1006"/>
      <c r="L151" s="1007"/>
      <c r="M151" s="1005"/>
      <c r="N151" s="1005"/>
      <c r="O151" s="1005"/>
      <c r="P151" s="1005"/>
      <c r="Q151" s="1005"/>
      <c r="R151" s="1005"/>
      <c r="S151" s="1005"/>
      <c r="T151" s="1005"/>
    </row>
    <row r="152" spans="1:20">
      <c r="A152" s="1005"/>
      <c r="B152" s="1005"/>
      <c r="C152" s="1005"/>
      <c r="D152" s="1005"/>
      <c r="E152" s="1005"/>
      <c r="F152" s="1005"/>
      <c r="G152" s="1005"/>
      <c r="H152" s="1005"/>
      <c r="I152" s="1005"/>
      <c r="J152" s="1005"/>
      <c r="K152" s="1006"/>
      <c r="L152" s="1007"/>
      <c r="M152" s="1005"/>
      <c r="N152" s="1005"/>
      <c r="O152" s="1005"/>
      <c r="P152" s="1005"/>
      <c r="Q152" s="1005"/>
      <c r="R152" s="1005"/>
      <c r="S152" s="1005"/>
      <c r="T152" s="1005"/>
    </row>
    <row r="153" spans="1:20">
      <c r="A153" s="1005"/>
      <c r="B153" s="1005"/>
      <c r="C153" s="1005"/>
      <c r="D153" s="1005"/>
      <c r="E153" s="1005"/>
      <c r="F153" s="1005"/>
      <c r="G153" s="1005"/>
      <c r="H153" s="1005"/>
      <c r="I153" s="1005"/>
      <c r="J153" s="1005"/>
      <c r="K153" s="1006"/>
      <c r="L153" s="1007"/>
      <c r="M153" s="1005"/>
      <c r="N153" s="1005"/>
      <c r="O153" s="1005"/>
      <c r="P153" s="1005"/>
      <c r="Q153" s="1005"/>
      <c r="R153" s="1005"/>
      <c r="S153" s="1005"/>
      <c r="T153" s="1005"/>
    </row>
    <row r="154" spans="1:20">
      <c r="A154" s="1005"/>
      <c r="B154" s="1005"/>
      <c r="C154" s="1005"/>
      <c r="D154" s="1005"/>
      <c r="E154" s="1005"/>
      <c r="F154" s="1005"/>
      <c r="G154" s="1005"/>
      <c r="H154" s="1005"/>
      <c r="I154" s="1005"/>
      <c r="J154" s="1005"/>
      <c r="K154" s="1006"/>
      <c r="L154" s="1007"/>
      <c r="M154" s="1005"/>
      <c r="N154" s="1005"/>
      <c r="O154" s="1005"/>
      <c r="P154" s="1005"/>
      <c r="Q154" s="1005"/>
      <c r="R154" s="1005"/>
      <c r="S154" s="1005"/>
      <c r="T154" s="1005"/>
    </row>
    <row r="155" spans="1:20">
      <c r="A155" s="1005"/>
      <c r="B155" s="1005"/>
      <c r="C155" s="1005"/>
      <c r="D155" s="1005"/>
      <c r="E155" s="1005"/>
      <c r="F155" s="1005"/>
      <c r="G155" s="1005"/>
      <c r="H155" s="1005"/>
      <c r="I155" s="1005"/>
      <c r="J155" s="1005"/>
      <c r="K155" s="1006"/>
      <c r="L155" s="1007"/>
      <c r="M155" s="1005"/>
      <c r="N155" s="1005"/>
      <c r="O155" s="1005"/>
      <c r="P155" s="1005"/>
      <c r="Q155" s="1005"/>
      <c r="R155" s="1005"/>
      <c r="S155" s="1005"/>
      <c r="T155" s="1005"/>
    </row>
    <row r="156" spans="1:20">
      <c r="A156" s="1005"/>
      <c r="B156" s="1005"/>
      <c r="C156" s="1005"/>
      <c r="D156" s="1005"/>
      <c r="E156" s="1005"/>
      <c r="F156" s="1005"/>
      <c r="G156" s="1005"/>
      <c r="H156" s="1005"/>
      <c r="I156" s="1005"/>
      <c r="J156" s="1005"/>
      <c r="K156" s="1006"/>
      <c r="L156" s="1007"/>
      <c r="M156" s="1005"/>
      <c r="N156" s="1005"/>
      <c r="O156" s="1005"/>
      <c r="P156" s="1005"/>
      <c r="Q156" s="1005"/>
      <c r="R156" s="1005"/>
      <c r="S156" s="1005"/>
      <c r="T156" s="1005"/>
    </row>
    <row r="157" spans="1:20">
      <c r="A157" s="1005"/>
      <c r="B157" s="1005"/>
      <c r="C157" s="1005"/>
      <c r="D157" s="1005"/>
      <c r="E157" s="1005"/>
      <c r="F157" s="1005"/>
      <c r="G157" s="1005"/>
      <c r="H157" s="1005"/>
      <c r="I157" s="1005"/>
      <c r="J157" s="1005"/>
      <c r="K157" s="1006"/>
      <c r="L157" s="1007"/>
      <c r="M157" s="1005"/>
      <c r="N157" s="1005"/>
      <c r="O157" s="1005"/>
      <c r="P157" s="1005"/>
      <c r="Q157" s="1005"/>
      <c r="R157" s="1005"/>
      <c r="S157" s="1005"/>
      <c r="T157" s="1005"/>
    </row>
    <row r="158" spans="1:20">
      <c r="A158" s="1005"/>
      <c r="B158" s="1005"/>
      <c r="C158" s="1005"/>
      <c r="D158" s="1005"/>
      <c r="E158" s="1005"/>
      <c r="F158" s="1005"/>
      <c r="G158" s="1005"/>
      <c r="H158" s="1005"/>
      <c r="I158" s="1005"/>
      <c r="J158" s="1005"/>
      <c r="K158" s="1006"/>
      <c r="L158" s="1007"/>
      <c r="M158" s="1005"/>
      <c r="N158" s="1005"/>
      <c r="O158" s="1005"/>
      <c r="P158" s="1005"/>
      <c r="Q158" s="1005"/>
      <c r="R158" s="1005"/>
      <c r="S158" s="1005"/>
      <c r="T158" s="1005"/>
    </row>
    <row r="159" spans="1:20">
      <c r="A159" s="1005"/>
      <c r="B159" s="1005"/>
      <c r="C159" s="1005"/>
      <c r="D159" s="1005"/>
      <c r="E159" s="1005"/>
      <c r="F159" s="1005"/>
      <c r="G159" s="1005"/>
      <c r="H159" s="1005"/>
      <c r="I159" s="1005"/>
      <c r="J159" s="1005"/>
      <c r="K159" s="1006"/>
      <c r="L159" s="1007"/>
      <c r="M159" s="1005"/>
      <c r="N159" s="1005"/>
      <c r="O159" s="1005"/>
      <c r="P159" s="1005"/>
      <c r="Q159" s="1005"/>
      <c r="R159" s="1005"/>
      <c r="S159" s="1005"/>
      <c r="T159" s="1005"/>
    </row>
    <row r="160" spans="1:20">
      <c r="A160" s="1005"/>
      <c r="B160" s="1005"/>
      <c r="C160" s="1005"/>
      <c r="D160" s="1005"/>
      <c r="E160" s="1005"/>
      <c r="F160" s="1005"/>
      <c r="G160" s="1005"/>
      <c r="H160" s="1005"/>
      <c r="I160" s="1005"/>
      <c r="J160" s="1005"/>
      <c r="K160" s="1006"/>
      <c r="L160" s="1007"/>
      <c r="M160" s="1005"/>
      <c r="N160" s="1005"/>
      <c r="O160" s="1005"/>
      <c r="P160" s="1005"/>
      <c r="Q160" s="1005"/>
      <c r="R160" s="1005"/>
      <c r="S160" s="1005"/>
      <c r="T160" s="1005"/>
    </row>
    <row r="161" spans="1:20">
      <c r="A161" s="1005"/>
      <c r="B161" s="1005"/>
      <c r="C161" s="1005"/>
      <c r="D161" s="1005"/>
      <c r="E161" s="1005"/>
      <c r="F161" s="1005"/>
      <c r="G161" s="1005"/>
      <c r="H161" s="1005"/>
      <c r="I161" s="1005"/>
      <c r="J161" s="1005"/>
      <c r="K161" s="1006"/>
      <c r="L161" s="1007"/>
      <c r="M161" s="1005"/>
      <c r="N161" s="1005"/>
      <c r="O161" s="1005"/>
      <c r="P161" s="1005"/>
      <c r="Q161" s="1005"/>
      <c r="R161" s="1005"/>
      <c r="S161" s="1005"/>
      <c r="T161" s="1005"/>
    </row>
    <row r="162" spans="1:20">
      <c r="A162" s="1005"/>
      <c r="B162" s="1005"/>
      <c r="C162" s="1005"/>
      <c r="D162" s="1005"/>
      <c r="E162" s="1005"/>
      <c r="F162" s="1005"/>
      <c r="G162" s="1005"/>
      <c r="H162" s="1005"/>
      <c r="I162" s="1005"/>
      <c r="J162" s="1005"/>
      <c r="K162" s="1006"/>
      <c r="L162" s="1007"/>
      <c r="M162" s="1005"/>
      <c r="N162" s="1005"/>
      <c r="O162" s="1005"/>
      <c r="P162" s="1005"/>
      <c r="Q162" s="1005"/>
      <c r="R162" s="1005"/>
      <c r="S162" s="1005"/>
      <c r="T162" s="1005"/>
    </row>
    <row r="163" spans="1:20">
      <c r="A163" s="1005"/>
      <c r="B163" s="1005"/>
      <c r="C163" s="1005"/>
      <c r="D163" s="1005"/>
      <c r="E163" s="1005"/>
      <c r="F163" s="1005"/>
      <c r="G163" s="1005"/>
      <c r="H163" s="1005"/>
      <c r="I163" s="1005"/>
      <c r="J163" s="1005"/>
      <c r="K163" s="1006"/>
      <c r="L163" s="1007"/>
      <c r="M163" s="1005"/>
      <c r="N163" s="1005"/>
      <c r="O163" s="1005"/>
      <c r="P163" s="1005"/>
      <c r="Q163" s="1005"/>
      <c r="R163" s="1005"/>
      <c r="S163" s="1005"/>
      <c r="T163" s="1005"/>
    </row>
    <row r="164" spans="1:20">
      <c r="A164" s="1005"/>
      <c r="B164" s="1005"/>
      <c r="C164" s="1005"/>
      <c r="D164" s="1005"/>
      <c r="E164" s="1005"/>
      <c r="F164" s="1005"/>
      <c r="G164" s="1005"/>
      <c r="H164" s="1005"/>
      <c r="I164" s="1005"/>
      <c r="J164" s="1005"/>
      <c r="K164" s="1006"/>
      <c r="L164" s="1007"/>
      <c r="M164" s="1005"/>
      <c r="N164" s="1005"/>
      <c r="O164" s="1005"/>
      <c r="P164" s="1005"/>
      <c r="Q164" s="1005"/>
      <c r="R164" s="1005"/>
      <c r="S164" s="1005"/>
      <c r="T164" s="1005"/>
    </row>
    <row r="165" spans="1:20">
      <c r="A165" s="1005"/>
      <c r="B165" s="1005"/>
      <c r="C165" s="1005"/>
      <c r="D165" s="1005"/>
      <c r="E165" s="1005"/>
      <c r="F165" s="1005"/>
      <c r="G165" s="1005"/>
      <c r="H165" s="1005"/>
      <c r="I165" s="1005"/>
      <c r="J165" s="1005"/>
      <c r="K165" s="1006"/>
      <c r="L165" s="1007"/>
      <c r="M165" s="1005"/>
      <c r="N165" s="1005"/>
      <c r="O165" s="1005"/>
      <c r="P165" s="1005"/>
      <c r="Q165" s="1005"/>
      <c r="R165" s="1005"/>
      <c r="S165" s="1005"/>
      <c r="T165" s="1005"/>
    </row>
    <row r="166" spans="1:20">
      <c r="A166" s="1005"/>
      <c r="B166" s="1005"/>
      <c r="C166" s="1005"/>
      <c r="D166" s="1005"/>
      <c r="E166" s="1005"/>
      <c r="F166" s="1005"/>
      <c r="G166" s="1005"/>
      <c r="H166" s="1005"/>
      <c r="I166" s="1005"/>
      <c r="J166" s="1005"/>
      <c r="K166" s="1006"/>
      <c r="L166" s="1007"/>
      <c r="M166" s="1005"/>
      <c r="N166" s="1005"/>
      <c r="O166" s="1005"/>
      <c r="P166" s="1005"/>
      <c r="Q166" s="1005"/>
      <c r="R166" s="1005"/>
      <c r="S166" s="1005"/>
      <c r="T166" s="1005"/>
    </row>
    <row r="167" spans="1:20">
      <c r="A167" s="1005"/>
      <c r="B167" s="1005"/>
      <c r="C167" s="1005"/>
      <c r="D167" s="1005"/>
      <c r="E167" s="1005"/>
      <c r="F167" s="1005"/>
      <c r="G167" s="1005"/>
      <c r="H167" s="1005"/>
      <c r="I167" s="1005"/>
      <c r="J167" s="1005"/>
      <c r="K167" s="1006"/>
      <c r="L167" s="1007"/>
      <c r="M167" s="1005"/>
      <c r="N167" s="1005"/>
      <c r="O167" s="1005"/>
      <c r="P167" s="1005"/>
      <c r="Q167" s="1005"/>
      <c r="R167" s="1005"/>
      <c r="S167" s="1005"/>
      <c r="T167" s="1005"/>
    </row>
    <row r="168" spans="1:20">
      <c r="A168" s="1005"/>
      <c r="B168" s="1005"/>
      <c r="C168" s="1005"/>
      <c r="D168" s="1005"/>
      <c r="E168" s="1005"/>
      <c r="F168" s="1005"/>
      <c r="G168" s="1005"/>
      <c r="H168" s="1005"/>
      <c r="I168" s="1005"/>
      <c r="J168" s="1005"/>
      <c r="K168" s="1006"/>
      <c r="L168" s="1007"/>
      <c r="M168" s="1005"/>
      <c r="N168" s="1005"/>
      <c r="O168" s="1005"/>
      <c r="P168" s="1005"/>
      <c r="Q168" s="1005"/>
      <c r="R168" s="1005"/>
      <c r="S168" s="1005"/>
      <c r="T168" s="1005"/>
    </row>
    <row r="169" spans="1:20">
      <c r="A169" s="1005"/>
      <c r="B169" s="1005"/>
      <c r="C169" s="1005"/>
      <c r="D169" s="1005"/>
      <c r="E169" s="1005"/>
      <c r="F169" s="1005"/>
      <c r="G169" s="1005"/>
      <c r="H169" s="1005"/>
      <c r="I169" s="1005"/>
      <c r="J169" s="1005"/>
      <c r="K169" s="1006"/>
      <c r="L169" s="1007"/>
      <c r="M169" s="1005"/>
      <c r="N169" s="1005"/>
      <c r="O169" s="1005"/>
      <c r="P169" s="1005"/>
      <c r="Q169" s="1005"/>
      <c r="R169" s="1005"/>
      <c r="S169" s="1005"/>
      <c r="T169" s="1005"/>
    </row>
    <row r="170" spans="1:20">
      <c r="A170" s="1005"/>
      <c r="B170" s="1005"/>
      <c r="C170" s="1005"/>
      <c r="D170" s="1005"/>
      <c r="E170" s="1005"/>
      <c r="F170" s="1005"/>
      <c r="G170" s="1005"/>
      <c r="H170" s="1005"/>
      <c r="I170" s="1005"/>
      <c r="J170" s="1005"/>
      <c r="K170" s="1006"/>
      <c r="L170" s="1007"/>
      <c r="M170" s="1005"/>
      <c r="N170" s="1005"/>
      <c r="O170" s="1005"/>
      <c r="P170" s="1005"/>
      <c r="Q170" s="1005"/>
      <c r="R170" s="1005"/>
      <c r="S170" s="1005"/>
      <c r="T170" s="1005"/>
    </row>
    <row r="171" spans="1:20">
      <c r="A171" s="1005"/>
      <c r="B171" s="1005"/>
      <c r="C171" s="1005"/>
      <c r="D171" s="1005"/>
      <c r="E171" s="1005"/>
      <c r="F171" s="1005"/>
      <c r="G171" s="1005"/>
      <c r="H171" s="1005"/>
      <c r="I171" s="1005"/>
      <c r="J171" s="1005"/>
      <c r="K171" s="1006"/>
      <c r="L171" s="1007"/>
      <c r="M171" s="1005"/>
      <c r="N171" s="1005"/>
      <c r="O171" s="1005"/>
      <c r="P171" s="1005"/>
      <c r="Q171" s="1005"/>
      <c r="R171" s="1005"/>
      <c r="S171" s="1005"/>
      <c r="T171" s="1005"/>
    </row>
    <row r="172" spans="1:20">
      <c r="A172" s="1005"/>
      <c r="B172" s="1005"/>
      <c r="C172" s="1005"/>
      <c r="D172" s="1005"/>
      <c r="E172" s="1005"/>
      <c r="F172" s="1005"/>
      <c r="G172" s="1005"/>
      <c r="H172" s="1005"/>
      <c r="I172" s="1005"/>
      <c r="J172" s="1005"/>
      <c r="K172" s="1006"/>
      <c r="L172" s="1007"/>
      <c r="M172" s="1005"/>
      <c r="N172" s="1005"/>
      <c r="O172" s="1005"/>
      <c r="P172" s="1005"/>
      <c r="Q172" s="1005"/>
      <c r="R172" s="1005"/>
      <c r="S172" s="1005"/>
      <c r="T172" s="1005"/>
    </row>
    <row r="173" spans="1:20">
      <c r="A173" s="1005"/>
      <c r="B173" s="1005"/>
      <c r="C173" s="1005"/>
      <c r="D173" s="1005"/>
      <c r="E173" s="1005"/>
      <c r="F173" s="1005"/>
      <c r="G173" s="1005"/>
      <c r="H173" s="1005"/>
      <c r="I173" s="1005"/>
      <c r="J173" s="1005"/>
      <c r="K173" s="1006"/>
      <c r="L173" s="1007"/>
      <c r="M173" s="1005"/>
      <c r="N173" s="1005"/>
      <c r="O173" s="1005"/>
      <c r="P173" s="1005"/>
      <c r="Q173" s="1005"/>
      <c r="R173" s="1005"/>
      <c r="S173" s="1005"/>
      <c r="T173" s="1005"/>
    </row>
    <row r="174" spans="1:20">
      <c r="A174" s="1005"/>
      <c r="B174" s="1005"/>
      <c r="C174" s="1005"/>
      <c r="D174" s="1005"/>
      <c r="E174" s="1005"/>
      <c r="F174" s="1005"/>
      <c r="G174" s="1005"/>
      <c r="H174" s="1005"/>
      <c r="I174" s="1005"/>
      <c r="J174" s="1005"/>
      <c r="K174" s="1006"/>
      <c r="L174" s="1007"/>
      <c r="M174" s="1005"/>
      <c r="N174" s="1005"/>
      <c r="O174" s="1005"/>
      <c r="P174" s="1005"/>
      <c r="Q174" s="1005"/>
      <c r="R174" s="1005"/>
      <c r="S174" s="1005"/>
      <c r="T174" s="1005"/>
    </row>
    <row r="175" spans="1:20">
      <c r="A175" s="1005"/>
      <c r="B175" s="1005"/>
      <c r="C175" s="1005"/>
      <c r="D175" s="1005"/>
      <c r="E175" s="1005"/>
      <c r="F175" s="1005"/>
      <c r="G175" s="1005"/>
      <c r="H175" s="1005"/>
      <c r="I175" s="1005"/>
      <c r="J175" s="1005"/>
      <c r="K175" s="1006"/>
      <c r="L175" s="1007"/>
      <c r="M175" s="1005"/>
      <c r="N175" s="1005"/>
      <c r="O175" s="1005"/>
      <c r="P175" s="1005"/>
      <c r="Q175" s="1005"/>
      <c r="R175" s="1005"/>
      <c r="S175" s="1005"/>
      <c r="T175" s="1005"/>
    </row>
    <row r="176" spans="1:20">
      <c r="A176" s="1005"/>
      <c r="B176" s="1005"/>
      <c r="C176" s="1005"/>
      <c r="D176" s="1005"/>
      <c r="E176" s="1005"/>
      <c r="F176" s="1005"/>
      <c r="G176" s="1005"/>
      <c r="H176" s="1005"/>
      <c r="I176" s="1005"/>
      <c r="J176" s="1005"/>
      <c r="K176" s="1006"/>
      <c r="L176" s="1007"/>
      <c r="M176" s="1005"/>
      <c r="N176" s="1005"/>
      <c r="O176" s="1005"/>
      <c r="P176" s="1005"/>
      <c r="Q176" s="1005"/>
      <c r="R176" s="1005"/>
      <c r="S176" s="1005"/>
      <c r="T176" s="1005"/>
    </row>
    <row r="177" spans="1:20">
      <c r="A177" s="1005"/>
      <c r="B177" s="1005"/>
      <c r="C177" s="1005"/>
      <c r="D177" s="1005"/>
      <c r="E177" s="1005"/>
      <c r="F177" s="1005"/>
      <c r="G177" s="1005"/>
      <c r="H177" s="1005"/>
      <c r="I177" s="1005"/>
      <c r="J177" s="1005"/>
      <c r="K177" s="1006"/>
      <c r="L177" s="1007"/>
      <c r="M177" s="1005"/>
      <c r="N177" s="1005"/>
      <c r="O177" s="1005"/>
      <c r="P177" s="1005"/>
      <c r="Q177" s="1005"/>
      <c r="R177" s="1005"/>
      <c r="S177" s="1005"/>
      <c r="T177" s="1005"/>
    </row>
    <row r="178" spans="1:20">
      <c r="A178" s="1005"/>
      <c r="B178" s="1005"/>
      <c r="C178" s="1005"/>
      <c r="D178" s="1005"/>
      <c r="E178" s="1005"/>
      <c r="F178" s="1005"/>
      <c r="G178" s="1005"/>
      <c r="H178" s="1005"/>
      <c r="I178" s="1005"/>
      <c r="J178" s="1005"/>
      <c r="K178" s="1006"/>
      <c r="L178" s="1007"/>
      <c r="M178" s="1005"/>
      <c r="N178" s="1005"/>
      <c r="O178" s="1005"/>
      <c r="P178" s="1005"/>
      <c r="Q178" s="1005"/>
      <c r="R178" s="1005"/>
      <c r="S178" s="1005"/>
      <c r="T178" s="1005"/>
    </row>
    <row r="179" spans="1:20">
      <c r="A179" s="1005"/>
      <c r="B179" s="1005"/>
      <c r="C179" s="1005"/>
      <c r="D179" s="1005"/>
      <c r="E179" s="1005"/>
      <c r="F179" s="1005"/>
      <c r="G179" s="1005"/>
      <c r="H179" s="1005"/>
      <c r="I179" s="1005"/>
      <c r="J179" s="1005"/>
      <c r="K179" s="1006"/>
      <c r="L179" s="1007"/>
      <c r="M179" s="1005"/>
      <c r="N179" s="1005"/>
      <c r="O179" s="1005"/>
      <c r="P179" s="1005"/>
      <c r="Q179" s="1005"/>
      <c r="R179" s="1005"/>
      <c r="S179" s="1005"/>
      <c r="T179" s="1005"/>
    </row>
    <row r="180" spans="1:20">
      <c r="A180" s="1005"/>
      <c r="B180" s="1005"/>
      <c r="C180" s="1005"/>
      <c r="D180" s="1005"/>
      <c r="E180" s="1005"/>
      <c r="F180" s="1005"/>
      <c r="G180" s="1005"/>
      <c r="H180" s="1005"/>
      <c r="I180" s="1005"/>
      <c r="J180" s="1005"/>
      <c r="K180" s="1006"/>
      <c r="L180" s="1007"/>
      <c r="M180" s="1005"/>
      <c r="N180" s="1005"/>
      <c r="O180" s="1005"/>
      <c r="P180" s="1005"/>
      <c r="Q180" s="1005"/>
      <c r="R180" s="1005"/>
      <c r="S180" s="1005"/>
      <c r="T180" s="1005"/>
    </row>
    <row r="181" spans="1:20">
      <c r="A181" s="1005"/>
      <c r="B181" s="1005"/>
      <c r="C181" s="1005"/>
      <c r="D181" s="1005"/>
      <c r="E181" s="1005"/>
      <c r="F181" s="1005"/>
      <c r="G181" s="1005"/>
      <c r="H181" s="1005"/>
      <c r="I181" s="1005"/>
      <c r="J181" s="1005"/>
      <c r="K181" s="1006"/>
      <c r="L181" s="1007"/>
      <c r="M181" s="1005"/>
      <c r="N181" s="1005"/>
      <c r="O181" s="1005"/>
      <c r="P181" s="1005"/>
      <c r="Q181" s="1005"/>
      <c r="R181" s="1005"/>
      <c r="S181" s="1005"/>
      <c r="T181" s="1005"/>
    </row>
    <row r="182" spans="1:20">
      <c r="A182" s="1005"/>
      <c r="B182" s="1005"/>
      <c r="C182" s="1005"/>
      <c r="D182" s="1005"/>
      <c r="E182" s="1005"/>
      <c r="F182" s="1005"/>
      <c r="G182" s="1005"/>
      <c r="H182" s="1005"/>
      <c r="I182" s="1005"/>
      <c r="J182" s="1005"/>
      <c r="K182" s="1006"/>
      <c r="L182" s="1007"/>
      <c r="M182" s="1005"/>
      <c r="N182" s="1005"/>
      <c r="O182" s="1005"/>
      <c r="P182" s="1005"/>
      <c r="Q182" s="1005"/>
      <c r="R182" s="1005"/>
      <c r="S182" s="1005"/>
      <c r="T182" s="1005"/>
    </row>
    <row r="183" spans="1:20">
      <c r="A183" s="1005"/>
      <c r="B183" s="1005"/>
      <c r="C183" s="1005"/>
      <c r="D183" s="1005"/>
      <c r="E183" s="1005"/>
      <c r="F183" s="1005"/>
      <c r="G183" s="1005"/>
      <c r="H183" s="1005"/>
      <c r="I183" s="1005"/>
      <c r="J183" s="1005"/>
      <c r="K183" s="1006"/>
      <c r="L183" s="1007"/>
      <c r="M183" s="1005"/>
      <c r="N183" s="1005"/>
      <c r="O183" s="1005"/>
      <c r="P183" s="1005"/>
      <c r="Q183" s="1005"/>
      <c r="R183" s="1005"/>
      <c r="S183" s="1005"/>
      <c r="T183" s="1005"/>
    </row>
    <row r="184" spans="1:20">
      <c r="A184" s="1005"/>
      <c r="B184" s="1005"/>
      <c r="C184" s="1005"/>
      <c r="D184" s="1005"/>
      <c r="E184" s="1005"/>
      <c r="F184" s="1005"/>
      <c r="G184" s="1005"/>
      <c r="H184" s="1005"/>
      <c r="I184" s="1005"/>
      <c r="J184" s="1005"/>
      <c r="K184" s="1006"/>
      <c r="L184" s="1007"/>
      <c r="M184" s="1005"/>
      <c r="N184" s="1005"/>
      <c r="O184" s="1005"/>
      <c r="P184" s="1005"/>
      <c r="Q184" s="1005"/>
      <c r="R184" s="1005"/>
      <c r="S184" s="1005"/>
      <c r="T184" s="1005"/>
    </row>
    <row r="185" spans="1:20">
      <c r="A185" s="1005"/>
      <c r="B185" s="1005"/>
      <c r="C185" s="1005"/>
      <c r="D185" s="1005"/>
      <c r="E185" s="1005"/>
      <c r="F185" s="1005"/>
      <c r="G185" s="1005"/>
      <c r="H185" s="1005"/>
      <c r="I185" s="1005"/>
      <c r="J185" s="1005"/>
      <c r="K185" s="1006"/>
      <c r="L185" s="1007"/>
      <c r="M185" s="1005"/>
      <c r="N185" s="1005"/>
      <c r="O185" s="1005"/>
      <c r="P185" s="1005"/>
      <c r="Q185" s="1005"/>
      <c r="R185" s="1005"/>
      <c r="S185" s="1005"/>
      <c r="T185" s="1005"/>
    </row>
    <row r="186" spans="1:20">
      <c r="A186" s="1005"/>
      <c r="B186" s="1005"/>
      <c r="C186" s="1005"/>
      <c r="D186" s="1005"/>
      <c r="E186" s="1005"/>
      <c r="F186" s="1005"/>
      <c r="G186" s="1005"/>
      <c r="H186" s="1005"/>
      <c r="I186" s="1005"/>
      <c r="J186" s="1005"/>
      <c r="K186" s="1006"/>
      <c r="L186" s="1007"/>
      <c r="M186" s="1005"/>
      <c r="N186" s="1005"/>
      <c r="O186" s="1005"/>
      <c r="P186" s="1005"/>
      <c r="Q186" s="1005"/>
      <c r="R186" s="1005"/>
      <c r="S186" s="1005"/>
      <c r="T186" s="1005"/>
    </row>
    <row r="187" spans="1:20">
      <c r="A187" s="1005"/>
      <c r="B187" s="1005"/>
      <c r="C187" s="1005"/>
      <c r="D187" s="1005"/>
      <c r="E187" s="1005"/>
      <c r="F187" s="1005"/>
      <c r="G187" s="1005"/>
      <c r="H187" s="1005"/>
      <c r="I187" s="1005"/>
      <c r="J187" s="1005"/>
      <c r="K187" s="1006"/>
      <c r="L187" s="1007"/>
      <c r="M187" s="1005"/>
      <c r="N187" s="1005"/>
      <c r="O187" s="1005"/>
      <c r="P187" s="1005"/>
      <c r="Q187" s="1005"/>
      <c r="R187" s="1005"/>
      <c r="S187" s="1005"/>
      <c r="T187" s="1005"/>
    </row>
    <row r="188" spans="1:20">
      <c r="A188" s="1005"/>
      <c r="B188" s="1005"/>
      <c r="C188" s="1005"/>
      <c r="D188" s="1005"/>
      <c r="E188" s="1005"/>
      <c r="F188" s="1005"/>
      <c r="G188" s="1005"/>
      <c r="H188" s="1005"/>
      <c r="I188" s="1005"/>
      <c r="J188" s="1005"/>
      <c r="K188" s="1006"/>
      <c r="L188" s="1007"/>
      <c r="M188" s="1005"/>
      <c r="N188" s="1005"/>
      <c r="O188" s="1005"/>
      <c r="P188" s="1005"/>
      <c r="Q188" s="1005"/>
      <c r="R188" s="1005"/>
      <c r="S188" s="1005"/>
      <c r="T188" s="1005"/>
    </row>
    <row r="189" spans="1:20">
      <c r="A189" s="1005"/>
      <c r="B189" s="1005"/>
      <c r="C189" s="1005"/>
      <c r="D189" s="1005"/>
      <c r="E189" s="1005"/>
      <c r="F189" s="1005"/>
      <c r="G189" s="1005"/>
      <c r="H189" s="1005"/>
      <c r="I189" s="1005"/>
      <c r="J189" s="1005"/>
      <c r="K189" s="1006"/>
      <c r="L189" s="1007"/>
      <c r="M189" s="1005"/>
      <c r="N189" s="1005"/>
      <c r="O189" s="1005"/>
      <c r="P189" s="1005"/>
      <c r="Q189" s="1005"/>
      <c r="R189" s="1005"/>
      <c r="S189" s="1005"/>
      <c r="T189" s="1005"/>
    </row>
    <row r="190" spans="1:20">
      <c r="A190" s="1005"/>
      <c r="B190" s="1005"/>
      <c r="C190" s="1005"/>
      <c r="D190" s="1005"/>
      <c r="E190" s="1005"/>
      <c r="F190" s="1005"/>
      <c r="G190" s="1005"/>
      <c r="H190" s="1005"/>
      <c r="I190" s="1005"/>
      <c r="J190" s="1005"/>
      <c r="K190" s="1006"/>
      <c r="L190" s="1007"/>
      <c r="M190" s="1005"/>
      <c r="N190" s="1005"/>
      <c r="O190" s="1005"/>
      <c r="P190" s="1005"/>
      <c r="Q190" s="1005"/>
      <c r="R190" s="1005"/>
      <c r="S190" s="1005"/>
      <c r="T190" s="1005"/>
    </row>
    <row r="191" spans="1:20">
      <c r="A191" s="1005"/>
      <c r="B191" s="1005"/>
      <c r="C191" s="1005"/>
      <c r="D191" s="1005"/>
      <c r="E191" s="1005"/>
      <c r="F191" s="1005"/>
      <c r="G191" s="1005"/>
      <c r="H191" s="1005"/>
      <c r="I191" s="1005"/>
      <c r="J191" s="1005"/>
      <c r="K191" s="1006"/>
      <c r="L191" s="1007"/>
      <c r="M191" s="1005"/>
      <c r="N191" s="1005"/>
      <c r="O191" s="1005"/>
      <c r="P191" s="1005"/>
      <c r="Q191" s="1005"/>
      <c r="R191" s="1005"/>
      <c r="S191" s="1005"/>
      <c r="T191" s="1005"/>
    </row>
    <row r="192" spans="1:20">
      <c r="A192" s="1005"/>
      <c r="B192" s="1005"/>
      <c r="C192" s="1005"/>
      <c r="D192" s="1005"/>
      <c r="E192" s="1005"/>
      <c r="F192" s="1005"/>
      <c r="G192" s="1005"/>
      <c r="H192" s="1005"/>
      <c r="I192" s="1005"/>
      <c r="J192" s="1005"/>
      <c r="K192" s="1006"/>
      <c r="L192" s="1007"/>
      <c r="M192" s="1005"/>
      <c r="N192" s="1005"/>
      <c r="O192" s="1005"/>
      <c r="P192" s="1005"/>
      <c r="Q192" s="1005"/>
      <c r="R192" s="1005"/>
      <c r="S192" s="1005"/>
      <c r="T192" s="1005"/>
    </row>
    <row r="193" spans="1:20">
      <c r="A193" s="1005"/>
      <c r="B193" s="1005"/>
      <c r="C193" s="1005"/>
      <c r="D193" s="1005"/>
      <c r="E193" s="1005"/>
      <c r="F193" s="1005"/>
      <c r="G193" s="1005"/>
      <c r="H193" s="1005"/>
      <c r="I193" s="1005"/>
      <c r="J193" s="1005"/>
      <c r="K193" s="1006"/>
      <c r="L193" s="1007"/>
      <c r="M193" s="1005"/>
      <c r="N193" s="1005"/>
      <c r="O193" s="1005"/>
      <c r="P193" s="1005"/>
      <c r="Q193" s="1005"/>
      <c r="R193" s="1005"/>
      <c r="S193" s="1005"/>
      <c r="T193" s="1005"/>
    </row>
    <row r="194" spans="1:20">
      <c r="A194" s="1005"/>
      <c r="B194" s="1005"/>
      <c r="C194" s="1005"/>
      <c r="D194" s="1005"/>
      <c r="E194" s="1005"/>
      <c r="F194" s="1005"/>
      <c r="G194" s="1005"/>
      <c r="H194" s="1005"/>
      <c r="I194" s="1005"/>
      <c r="J194" s="1005"/>
      <c r="K194" s="1006"/>
      <c r="L194" s="1007"/>
      <c r="M194" s="1005"/>
      <c r="N194" s="1005"/>
      <c r="O194" s="1005"/>
      <c r="P194" s="1005"/>
      <c r="Q194" s="1005"/>
      <c r="R194" s="1005"/>
      <c r="S194" s="1005"/>
      <c r="T194" s="1005"/>
    </row>
    <row r="195" spans="1:20">
      <c r="A195" s="1005"/>
      <c r="B195" s="1005"/>
      <c r="C195" s="1005"/>
      <c r="D195" s="1005"/>
      <c r="E195" s="1005"/>
      <c r="F195" s="1005"/>
      <c r="G195" s="1005"/>
      <c r="H195" s="1005"/>
      <c r="I195" s="1005"/>
      <c r="J195" s="1005"/>
      <c r="K195" s="1006"/>
      <c r="L195" s="1007"/>
      <c r="M195" s="1005"/>
      <c r="N195" s="1005"/>
      <c r="O195" s="1005"/>
      <c r="P195" s="1005"/>
      <c r="Q195" s="1005"/>
      <c r="R195" s="1005"/>
      <c r="S195" s="1005"/>
      <c r="T195" s="1005"/>
    </row>
    <row r="196" spans="1:20">
      <c r="A196" s="1005"/>
      <c r="B196" s="1005"/>
      <c r="C196" s="1005"/>
      <c r="D196" s="1005"/>
      <c r="E196" s="1005"/>
      <c r="F196" s="1005"/>
      <c r="G196" s="1005"/>
      <c r="H196" s="1005"/>
      <c r="I196" s="1005"/>
      <c r="J196" s="1005"/>
      <c r="K196" s="1006"/>
      <c r="L196" s="1007"/>
      <c r="M196" s="1005"/>
      <c r="N196" s="1005"/>
      <c r="O196" s="1005"/>
      <c r="P196" s="1005"/>
      <c r="Q196" s="1005"/>
      <c r="R196" s="1005"/>
      <c r="S196" s="1005"/>
      <c r="T196" s="1005"/>
    </row>
    <row r="197" spans="1:20">
      <c r="A197" s="1005"/>
      <c r="B197" s="1005"/>
      <c r="C197" s="1005"/>
      <c r="D197" s="1005"/>
      <c r="E197" s="1005"/>
      <c r="F197" s="1005"/>
      <c r="G197" s="1005"/>
      <c r="H197" s="1005"/>
      <c r="I197" s="1005"/>
      <c r="J197" s="1005"/>
      <c r="K197" s="1006"/>
      <c r="L197" s="1007"/>
      <c r="M197" s="1005"/>
      <c r="N197" s="1005"/>
      <c r="O197" s="1005"/>
      <c r="P197" s="1005"/>
      <c r="Q197" s="1005"/>
      <c r="R197" s="1005"/>
      <c r="S197" s="1005"/>
      <c r="T197" s="1005"/>
    </row>
    <row r="198" spans="1:20">
      <c r="A198" s="1005"/>
      <c r="B198" s="1005"/>
      <c r="C198" s="1005"/>
      <c r="D198" s="1005"/>
      <c r="E198" s="1005"/>
      <c r="F198" s="1005"/>
      <c r="G198" s="1005"/>
      <c r="H198" s="1005"/>
      <c r="I198" s="1005"/>
      <c r="J198" s="1005"/>
      <c r="K198" s="1006"/>
      <c r="L198" s="1007"/>
      <c r="M198" s="1005"/>
      <c r="N198" s="1005"/>
      <c r="O198" s="1005"/>
      <c r="P198" s="1005"/>
      <c r="Q198" s="1005"/>
      <c r="R198" s="1005"/>
      <c r="S198" s="1005"/>
      <c r="T198" s="1005"/>
    </row>
    <row r="199" spans="1:20">
      <c r="A199" s="1005"/>
      <c r="B199" s="1005"/>
      <c r="C199" s="1005"/>
      <c r="D199" s="1005"/>
      <c r="E199" s="1005"/>
      <c r="F199" s="1005"/>
      <c r="G199" s="1005"/>
      <c r="H199" s="1005"/>
      <c r="I199" s="1005"/>
      <c r="J199" s="1005"/>
      <c r="K199" s="1006"/>
      <c r="L199" s="1007"/>
      <c r="M199" s="1005"/>
      <c r="N199" s="1005"/>
      <c r="O199" s="1005"/>
      <c r="P199" s="1005"/>
      <c r="Q199" s="1005"/>
      <c r="R199" s="1005"/>
      <c r="S199" s="1005"/>
      <c r="T199" s="1005"/>
    </row>
    <row r="200" spans="1:20">
      <c r="A200" s="1005"/>
      <c r="B200" s="1005"/>
      <c r="C200" s="1005"/>
      <c r="D200" s="1005"/>
      <c r="E200" s="1005"/>
      <c r="F200" s="1005"/>
      <c r="G200" s="1005"/>
      <c r="H200" s="1005"/>
      <c r="I200" s="1005"/>
      <c r="J200" s="1005"/>
      <c r="K200" s="1006"/>
      <c r="L200" s="1007"/>
      <c r="M200" s="1005"/>
      <c r="N200" s="1005"/>
      <c r="O200" s="1005"/>
      <c r="P200" s="1005"/>
      <c r="Q200" s="1005"/>
      <c r="R200" s="1005"/>
      <c r="S200" s="1005"/>
      <c r="T200" s="1005"/>
    </row>
    <row r="201" spans="1:20">
      <c r="A201" s="1005"/>
      <c r="B201" s="1005"/>
      <c r="C201" s="1005"/>
      <c r="D201" s="1005"/>
      <c r="E201" s="1005"/>
      <c r="F201" s="1005"/>
      <c r="G201" s="1005"/>
      <c r="H201" s="1005"/>
      <c r="I201" s="1005"/>
      <c r="J201" s="1005"/>
      <c r="K201" s="1006"/>
      <c r="L201" s="1007"/>
      <c r="M201" s="1005"/>
      <c r="N201" s="1005"/>
      <c r="O201" s="1005"/>
      <c r="P201" s="1005"/>
      <c r="Q201" s="1005"/>
      <c r="R201" s="1005"/>
      <c r="S201" s="1005"/>
      <c r="T201" s="1005"/>
    </row>
    <row r="202" spans="1:20">
      <c r="A202" s="1005"/>
      <c r="B202" s="1005"/>
      <c r="C202" s="1005"/>
      <c r="D202" s="1005"/>
      <c r="E202" s="1005"/>
      <c r="F202" s="1005"/>
      <c r="G202" s="1005"/>
      <c r="H202" s="1005"/>
      <c r="I202" s="1005"/>
      <c r="J202" s="1005"/>
      <c r="K202" s="1006"/>
      <c r="L202" s="1007"/>
      <c r="M202" s="1005"/>
      <c r="N202" s="1005"/>
      <c r="O202" s="1005"/>
      <c r="P202" s="1005"/>
      <c r="Q202" s="1005"/>
      <c r="R202" s="1005"/>
      <c r="S202" s="1005"/>
      <c r="T202" s="1005"/>
    </row>
    <row r="203" spans="1:20">
      <c r="A203" s="1005"/>
      <c r="B203" s="1005"/>
      <c r="C203" s="1005"/>
      <c r="D203" s="1005"/>
      <c r="E203" s="1005"/>
      <c r="F203" s="1005"/>
      <c r="G203" s="1005"/>
      <c r="H203" s="1005"/>
      <c r="I203" s="1005"/>
      <c r="J203" s="1005"/>
      <c r="K203" s="1006"/>
      <c r="L203" s="1007"/>
      <c r="M203" s="1005"/>
      <c r="N203" s="1005"/>
      <c r="O203" s="1005"/>
      <c r="P203" s="1005"/>
      <c r="Q203" s="1005"/>
      <c r="R203" s="1005"/>
      <c r="S203" s="1005"/>
      <c r="T203" s="1005"/>
    </row>
    <row r="204" spans="1:20">
      <c r="A204" s="1005"/>
      <c r="B204" s="1005"/>
      <c r="C204" s="1005"/>
      <c r="D204" s="1005"/>
      <c r="E204" s="1005"/>
      <c r="F204" s="1005"/>
      <c r="G204" s="1005"/>
      <c r="H204" s="1005"/>
      <c r="I204" s="1005"/>
      <c r="J204" s="1005"/>
      <c r="K204" s="1006"/>
      <c r="L204" s="1007"/>
      <c r="M204" s="1005"/>
      <c r="N204" s="1005"/>
      <c r="O204" s="1005"/>
      <c r="P204" s="1005"/>
      <c r="Q204" s="1005"/>
      <c r="R204" s="1005"/>
      <c r="S204" s="1005"/>
      <c r="T204" s="1005"/>
    </row>
    <row r="205" spans="1:20">
      <c r="A205" s="1005"/>
      <c r="B205" s="1005"/>
      <c r="C205" s="1005"/>
      <c r="D205" s="1005"/>
      <c r="E205" s="1005"/>
      <c r="F205" s="1005"/>
      <c r="G205" s="1005"/>
      <c r="H205" s="1005"/>
      <c r="I205" s="1005"/>
      <c r="J205" s="1005"/>
      <c r="K205" s="1006"/>
      <c r="L205" s="1007"/>
      <c r="M205" s="1005"/>
      <c r="N205" s="1005"/>
      <c r="O205" s="1005"/>
      <c r="P205" s="1005"/>
      <c r="Q205" s="1005"/>
      <c r="R205" s="1005"/>
      <c r="S205" s="1005"/>
      <c r="T205" s="1005"/>
    </row>
    <row r="206" spans="1:20">
      <c r="A206" s="1005"/>
      <c r="B206" s="1005"/>
      <c r="C206" s="1005"/>
      <c r="D206" s="1005"/>
      <c r="E206" s="1005"/>
      <c r="F206" s="1005"/>
      <c r="G206" s="1005"/>
      <c r="H206" s="1005"/>
      <c r="I206" s="1005"/>
      <c r="J206" s="1005"/>
      <c r="K206" s="1006"/>
      <c r="L206" s="1007"/>
      <c r="M206" s="1005"/>
      <c r="N206" s="1005"/>
      <c r="O206" s="1005"/>
      <c r="P206" s="1005"/>
      <c r="Q206" s="1005"/>
      <c r="R206" s="1005"/>
      <c r="S206" s="1005"/>
      <c r="T206" s="1005"/>
    </row>
    <row r="207" spans="1:20">
      <c r="A207" s="1005"/>
      <c r="B207" s="1005"/>
      <c r="C207" s="1005"/>
      <c r="D207" s="1005"/>
      <c r="E207" s="1005"/>
      <c r="F207" s="1005"/>
      <c r="G207" s="1005"/>
      <c r="H207" s="1005"/>
      <c r="I207" s="1005"/>
      <c r="J207" s="1005"/>
      <c r="K207" s="1006"/>
      <c r="L207" s="1007"/>
      <c r="M207" s="1005"/>
      <c r="N207" s="1005"/>
      <c r="O207" s="1005"/>
      <c r="P207" s="1005"/>
      <c r="Q207" s="1005"/>
      <c r="R207" s="1005"/>
      <c r="S207" s="1005"/>
      <c r="T207" s="1005"/>
    </row>
    <row r="208" spans="1:20">
      <c r="A208" s="1005"/>
      <c r="B208" s="1005"/>
      <c r="C208" s="1005"/>
      <c r="D208" s="1005"/>
      <c r="E208" s="1005"/>
      <c r="F208" s="1005"/>
      <c r="G208" s="1005"/>
      <c r="H208" s="1005"/>
      <c r="I208" s="1005"/>
      <c r="J208" s="1005"/>
      <c r="K208" s="1006"/>
      <c r="L208" s="1007"/>
      <c r="M208" s="1005"/>
      <c r="N208" s="1005"/>
      <c r="O208" s="1005"/>
      <c r="P208" s="1005"/>
      <c r="Q208" s="1005"/>
      <c r="R208" s="1005"/>
      <c r="S208" s="1005"/>
      <c r="T208" s="1005"/>
    </row>
    <row r="209" spans="1:20">
      <c r="A209" s="1005"/>
      <c r="B209" s="1005"/>
      <c r="C209" s="1005"/>
      <c r="D209" s="1005"/>
      <c r="E209" s="1005"/>
      <c r="F209" s="1005"/>
      <c r="G209" s="1005"/>
      <c r="H209" s="1005"/>
      <c r="I209" s="1005"/>
      <c r="J209" s="1005"/>
      <c r="K209" s="1006"/>
      <c r="L209" s="1007"/>
      <c r="M209" s="1005"/>
      <c r="N209" s="1005"/>
      <c r="O209" s="1005"/>
      <c r="P209" s="1005"/>
      <c r="Q209" s="1005"/>
      <c r="R209" s="1005"/>
      <c r="S209" s="1005"/>
      <c r="T209" s="1005"/>
    </row>
    <row r="210" spans="1:20">
      <c r="A210" s="1005"/>
      <c r="B210" s="1005"/>
      <c r="C210" s="1005"/>
      <c r="D210" s="1005"/>
      <c r="E210" s="1005"/>
      <c r="F210" s="1005"/>
      <c r="G210" s="1005"/>
      <c r="H210" s="1005"/>
      <c r="I210" s="1005"/>
      <c r="J210" s="1005"/>
      <c r="K210" s="1006"/>
      <c r="L210" s="1007"/>
      <c r="M210" s="1005"/>
      <c r="N210" s="1005"/>
      <c r="O210" s="1005"/>
      <c r="P210" s="1005"/>
      <c r="Q210" s="1005"/>
      <c r="R210" s="1005"/>
      <c r="S210" s="1005"/>
      <c r="T210" s="1005"/>
    </row>
    <row r="211" spans="1:20">
      <c r="A211" s="1005"/>
      <c r="B211" s="1005"/>
      <c r="C211" s="1005"/>
      <c r="D211" s="1005"/>
      <c r="E211" s="1005"/>
      <c r="F211" s="1005"/>
      <c r="G211" s="1005"/>
      <c r="H211" s="1005"/>
      <c r="I211" s="1005"/>
      <c r="J211" s="1005"/>
      <c r="K211" s="1006"/>
      <c r="L211" s="1007"/>
      <c r="M211" s="1005"/>
      <c r="N211" s="1005"/>
      <c r="O211" s="1005"/>
      <c r="P211" s="1005"/>
      <c r="Q211" s="1005"/>
      <c r="R211" s="1005"/>
      <c r="S211" s="1005"/>
      <c r="T211" s="1005"/>
    </row>
    <row r="212" spans="1:20">
      <c r="A212" s="1005"/>
      <c r="B212" s="1005"/>
      <c r="C212" s="1005"/>
      <c r="D212" s="1005"/>
      <c r="E212" s="1005"/>
      <c r="F212" s="1005"/>
      <c r="G212" s="1005"/>
      <c r="H212" s="1005"/>
      <c r="I212" s="1005"/>
      <c r="J212" s="1005"/>
      <c r="K212" s="1006"/>
      <c r="L212" s="1007"/>
      <c r="M212" s="1005"/>
      <c r="N212" s="1005"/>
      <c r="O212" s="1005"/>
      <c r="P212" s="1005"/>
      <c r="Q212" s="1005"/>
      <c r="R212" s="1005"/>
      <c r="S212" s="1005"/>
      <c r="T212" s="1005"/>
    </row>
    <row r="213" spans="1:20">
      <c r="A213" s="1005"/>
      <c r="B213" s="1005"/>
      <c r="C213" s="1005"/>
      <c r="D213" s="1005"/>
      <c r="E213" s="1005"/>
      <c r="F213" s="1005"/>
      <c r="G213" s="1005"/>
      <c r="H213" s="1005"/>
      <c r="I213" s="1005"/>
      <c r="J213" s="1005"/>
      <c r="K213" s="1006"/>
      <c r="L213" s="1007"/>
      <c r="M213" s="1005"/>
      <c r="N213" s="1005"/>
      <c r="O213" s="1005"/>
      <c r="P213" s="1005"/>
      <c r="Q213" s="1005"/>
      <c r="R213" s="1005"/>
      <c r="S213" s="1005"/>
      <c r="T213" s="1005"/>
    </row>
    <row r="214" spans="1:20">
      <c r="A214" s="1005"/>
      <c r="B214" s="1005"/>
      <c r="C214" s="1005"/>
      <c r="D214" s="1005"/>
      <c r="E214" s="1005"/>
      <c r="F214" s="1005"/>
      <c r="G214" s="1005"/>
      <c r="H214" s="1005"/>
      <c r="I214" s="1005"/>
      <c r="J214" s="1005"/>
      <c r="K214" s="1006"/>
      <c r="L214" s="1007"/>
      <c r="M214" s="1005"/>
      <c r="N214" s="1005"/>
      <c r="O214" s="1005"/>
      <c r="P214" s="1005"/>
      <c r="Q214" s="1005"/>
      <c r="R214" s="1005"/>
      <c r="S214" s="1005"/>
      <c r="T214" s="1005"/>
    </row>
    <row r="215" spans="1:20">
      <c r="A215" s="1005"/>
      <c r="B215" s="1005"/>
      <c r="C215" s="1005"/>
      <c r="D215" s="1005"/>
      <c r="E215" s="1005"/>
      <c r="F215" s="1005"/>
      <c r="G215" s="1005"/>
      <c r="H215" s="1005"/>
      <c r="I215" s="1005"/>
      <c r="J215" s="1005"/>
      <c r="K215" s="1006"/>
      <c r="L215" s="1007"/>
      <c r="M215" s="1005"/>
      <c r="N215" s="1005"/>
      <c r="O215" s="1005"/>
      <c r="P215" s="1005"/>
      <c r="Q215" s="1005"/>
      <c r="R215" s="1005"/>
      <c r="S215" s="1005"/>
      <c r="T215" s="1005"/>
    </row>
    <row r="216" spans="1:20">
      <c r="A216" s="1005"/>
      <c r="B216" s="1005"/>
      <c r="C216" s="1005"/>
      <c r="D216" s="1005"/>
      <c r="E216" s="1005"/>
      <c r="F216" s="1005"/>
      <c r="G216" s="1005"/>
      <c r="H216" s="1005"/>
      <c r="I216" s="1005"/>
      <c r="J216" s="1005"/>
      <c r="K216" s="1006"/>
      <c r="L216" s="1007"/>
      <c r="M216" s="1005"/>
      <c r="N216" s="1005"/>
      <c r="O216" s="1005"/>
      <c r="P216" s="1005"/>
      <c r="Q216" s="1005"/>
      <c r="R216" s="1005"/>
      <c r="S216" s="1005"/>
      <c r="T216" s="1005"/>
    </row>
    <row r="217" spans="1:20">
      <c r="A217" s="1005"/>
      <c r="B217" s="1005"/>
      <c r="C217" s="1005"/>
      <c r="D217" s="1005"/>
      <c r="E217" s="1005"/>
      <c r="F217" s="1005"/>
      <c r="G217" s="1005"/>
      <c r="H217" s="1005"/>
      <c r="I217" s="1005"/>
      <c r="J217" s="1005"/>
      <c r="K217" s="1006"/>
      <c r="L217" s="1007"/>
      <c r="M217" s="1005"/>
      <c r="N217" s="1005"/>
      <c r="O217" s="1005"/>
      <c r="P217" s="1005"/>
      <c r="Q217" s="1005"/>
      <c r="R217" s="1005"/>
      <c r="S217" s="1005"/>
      <c r="T217" s="1005"/>
    </row>
    <row r="218" spans="1:20">
      <c r="A218" s="1005"/>
      <c r="B218" s="1005"/>
      <c r="C218" s="1005"/>
      <c r="D218" s="1005"/>
      <c r="E218" s="1005"/>
      <c r="F218" s="1005"/>
      <c r="G218" s="1005"/>
      <c r="H218" s="1005"/>
      <c r="I218" s="1005"/>
      <c r="J218" s="1005"/>
      <c r="K218" s="1006"/>
      <c r="L218" s="1007"/>
      <c r="M218" s="1005"/>
      <c r="N218" s="1005"/>
      <c r="O218" s="1005"/>
      <c r="P218" s="1005"/>
      <c r="Q218" s="1005"/>
      <c r="R218" s="1005"/>
      <c r="S218" s="1005"/>
      <c r="T218" s="1005"/>
    </row>
    <row r="219" spans="1:20">
      <c r="A219" s="1005"/>
      <c r="B219" s="1005"/>
      <c r="C219" s="1005"/>
      <c r="D219" s="1005"/>
      <c r="E219" s="1005"/>
      <c r="F219" s="1005"/>
      <c r="G219" s="1005"/>
      <c r="H219" s="1005"/>
      <c r="I219" s="1005"/>
      <c r="J219" s="1005"/>
      <c r="K219" s="1006"/>
      <c r="L219" s="1007"/>
      <c r="M219" s="1005"/>
      <c r="N219" s="1005"/>
      <c r="O219" s="1005"/>
      <c r="P219" s="1005"/>
      <c r="Q219" s="1005"/>
      <c r="R219" s="1005"/>
      <c r="S219" s="1005"/>
      <c r="T219" s="1005"/>
    </row>
    <row r="220" spans="1:20">
      <c r="A220" s="1005"/>
      <c r="B220" s="1005"/>
      <c r="C220" s="1005"/>
      <c r="D220" s="1005"/>
      <c r="E220" s="1005"/>
      <c r="F220" s="1005"/>
      <c r="G220" s="1005"/>
      <c r="H220" s="1005"/>
      <c r="I220" s="1005"/>
      <c r="J220" s="1005"/>
      <c r="K220" s="1006"/>
      <c r="L220" s="1007"/>
      <c r="M220" s="1005"/>
      <c r="N220" s="1005"/>
      <c r="O220" s="1005"/>
      <c r="P220" s="1005"/>
      <c r="Q220" s="1005"/>
      <c r="R220" s="1005"/>
      <c r="S220" s="1005"/>
      <c r="T220" s="1005"/>
    </row>
    <row r="221" spans="1:20">
      <c r="A221" s="1005"/>
      <c r="B221" s="1005"/>
      <c r="C221" s="1005"/>
      <c r="D221" s="1005"/>
      <c r="E221" s="1005"/>
      <c r="F221" s="1005"/>
      <c r="G221" s="1005"/>
      <c r="H221" s="1005"/>
      <c r="I221" s="1005"/>
      <c r="J221" s="1005"/>
      <c r="K221" s="1006"/>
      <c r="L221" s="1007"/>
      <c r="M221" s="1005"/>
      <c r="N221" s="1005"/>
      <c r="O221" s="1005"/>
      <c r="P221" s="1005"/>
      <c r="Q221" s="1005"/>
      <c r="R221" s="1005"/>
      <c r="S221" s="1005"/>
      <c r="T221" s="1005"/>
    </row>
    <row r="222" spans="1:20">
      <c r="A222" s="1005"/>
      <c r="B222" s="1005"/>
      <c r="C222" s="1005"/>
      <c r="D222" s="1005"/>
      <c r="E222" s="1005"/>
      <c r="F222" s="1005"/>
      <c r="G222" s="1005"/>
      <c r="H222" s="1005"/>
      <c r="I222" s="1005"/>
      <c r="J222" s="1005"/>
      <c r="K222" s="1006"/>
      <c r="L222" s="1007"/>
      <c r="M222" s="1005"/>
      <c r="N222" s="1005"/>
      <c r="O222" s="1005"/>
      <c r="P222" s="1005"/>
      <c r="Q222" s="1005"/>
      <c r="R222" s="1005"/>
      <c r="S222" s="1005"/>
      <c r="T222" s="1005"/>
    </row>
    <row r="223" spans="1:20">
      <c r="A223" s="1005"/>
      <c r="B223" s="1005"/>
      <c r="C223" s="1005"/>
      <c r="D223" s="1005"/>
      <c r="E223" s="1005"/>
      <c r="F223" s="1005"/>
      <c r="G223" s="1005"/>
      <c r="H223" s="1005"/>
      <c r="I223" s="1005"/>
      <c r="J223" s="1005"/>
      <c r="K223" s="1006"/>
      <c r="L223" s="1007"/>
      <c r="M223" s="1005"/>
      <c r="N223" s="1005"/>
      <c r="O223" s="1005"/>
      <c r="P223" s="1005"/>
      <c r="Q223" s="1005"/>
      <c r="R223" s="1005"/>
      <c r="S223" s="1005"/>
      <c r="T223" s="1005"/>
    </row>
    <row r="224" spans="1:20">
      <c r="A224" s="1005"/>
      <c r="B224" s="1005"/>
      <c r="C224" s="1005"/>
      <c r="D224" s="1005"/>
      <c r="E224" s="1005"/>
      <c r="F224" s="1005"/>
      <c r="G224" s="1005"/>
      <c r="H224" s="1005"/>
      <c r="I224" s="1005"/>
      <c r="J224" s="1005"/>
      <c r="K224" s="1006"/>
      <c r="L224" s="1007"/>
      <c r="M224" s="1005"/>
      <c r="N224" s="1005"/>
      <c r="O224" s="1005"/>
      <c r="P224" s="1005"/>
      <c r="Q224" s="1005"/>
      <c r="R224" s="1005"/>
      <c r="S224" s="1005"/>
      <c r="T224" s="1005"/>
    </row>
    <row r="225" spans="1:20">
      <c r="A225" s="1005"/>
      <c r="B225" s="1005"/>
      <c r="C225" s="1005"/>
      <c r="D225" s="1005"/>
      <c r="E225" s="1005"/>
      <c r="F225" s="1005"/>
      <c r="G225" s="1005"/>
      <c r="H225" s="1005"/>
      <c r="I225" s="1005"/>
      <c r="J225" s="1005"/>
      <c r="K225" s="1006"/>
      <c r="L225" s="1007"/>
      <c r="M225" s="1005"/>
      <c r="N225" s="1005"/>
      <c r="O225" s="1005"/>
      <c r="P225" s="1005"/>
      <c r="Q225" s="1005"/>
      <c r="R225" s="1005"/>
      <c r="S225" s="1005"/>
      <c r="T225" s="1005"/>
    </row>
    <row r="226" spans="1:20">
      <c r="A226" s="1005"/>
      <c r="B226" s="1005"/>
      <c r="C226" s="1005"/>
      <c r="D226" s="1005"/>
      <c r="E226" s="1005"/>
      <c r="F226" s="1005"/>
      <c r="G226" s="1005"/>
      <c r="H226" s="1005"/>
      <c r="I226" s="1005"/>
      <c r="J226" s="1005"/>
      <c r="K226" s="1006"/>
      <c r="L226" s="1007"/>
      <c r="M226" s="1005"/>
      <c r="N226" s="1005"/>
      <c r="O226" s="1005"/>
      <c r="P226" s="1005"/>
      <c r="Q226" s="1005"/>
      <c r="R226" s="1005"/>
      <c r="S226" s="1005"/>
      <c r="T226" s="1005"/>
    </row>
    <row r="227" spans="1:20">
      <c r="A227" s="1005"/>
      <c r="B227" s="1005"/>
      <c r="C227" s="1005"/>
      <c r="D227" s="1005"/>
      <c r="E227" s="1005"/>
      <c r="F227" s="1005"/>
      <c r="G227" s="1005"/>
      <c r="H227" s="1005"/>
      <c r="I227" s="1005"/>
      <c r="J227" s="1005"/>
      <c r="K227" s="1006"/>
      <c r="L227" s="1007"/>
      <c r="M227" s="1005"/>
      <c r="N227" s="1005"/>
      <c r="O227" s="1005"/>
      <c r="P227" s="1005"/>
      <c r="Q227" s="1005"/>
      <c r="R227" s="1005"/>
      <c r="S227" s="1005"/>
      <c r="T227" s="1005"/>
    </row>
    <row r="228" spans="1:20">
      <c r="A228" s="1005"/>
      <c r="B228" s="1005"/>
      <c r="C228" s="1005"/>
      <c r="D228" s="1005"/>
      <c r="E228" s="1005"/>
      <c r="F228" s="1005"/>
      <c r="G228" s="1005"/>
      <c r="H228" s="1005"/>
      <c r="I228" s="1005"/>
      <c r="J228" s="1005"/>
      <c r="K228" s="1006"/>
      <c r="L228" s="1007"/>
      <c r="M228" s="1005"/>
      <c r="N228" s="1005"/>
      <c r="O228" s="1005"/>
      <c r="P228" s="1005"/>
      <c r="Q228" s="1005"/>
      <c r="R228" s="1005"/>
      <c r="S228" s="1005"/>
      <c r="T228" s="1005"/>
    </row>
    <row r="229" spans="1:20">
      <c r="A229" s="1005"/>
      <c r="B229" s="1005"/>
      <c r="C229" s="1005"/>
      <c r="D229" s="1005"/>
      <c r="E229" s="1005"/>
      <c r="F229" s="1005"/>
      <c r="G229" s="1005"/>
      <c r="H229" s="1005"/>
      <c r="I229" s="1005"/>
      <c r="J229" s="1005"/>
      <c r="K229" s="1006"/>
      <c r="L229" s="1007"/>
      <c r="M229" s="1005"/>
      <c r="N229" s="1005"/>
      <c r="O229" s="1005"/>
      <c r="P229" s="1005"/>
      <c r="Q229" s="1005"/>
      <c r="R229" s="1005"/>
      <c r="S229" s="1005"/>
      <c r="T229" s="1005"/>
    </row>
    <row r="230" spans="1:20">
      <c r="A230" s="1005"/>
      <c r="B230" s="1005"/>
      <c r="C230" s="1005"/>
      <c r="D230" s="1005"/>
      <c r="E230" s="1005"/>
      <c r="F230" s="1005"/>
      <c r="G230" s="1005"/>
      <c r="H230" s="1005"/>
      <c r="I230" s="1005"/>
      <c r="J230" s="1005"/>
      <c r="K230" s="1006"/>
      <c r="L230" s="1007"/>
      <c r="M230" s="1005"/>
      <c r="N230" s="1005"/>
      <c r="O230" s="1005"/>
      <c r="P230" s="1005"/>
      <c r="Q230" s="1005"/>
      <c r="R230" s="1005"/>
      <c r="S230" s="1005"/>
      <c r="T230" s="1005"/>
    </row>
    <row r="231" spans="1:20">
      <c r="A231" s="1005"/>
      <c r="B231" s="1005"/>
      <c r="C231" s="1005"/>
      <c r="D231" s="1005"/>
      <c r="E231" s="1005"/>
      <c r="F231" s="1005"/>
      <c r="G231" s="1005"/>
      <c r="H231" s="1005"/>
      <c r="I231" s="1005"/>
      <c r="J231" s="1005"/>
      <c r="K231" s="1006"/>
      <c r="L231" s="1007"/>
      <c r="M231" s="1005"/>
      <c r="N231" s="1005"/>
      <c r="O231" s="1005"/>
      <c r="P231" s="1005"/>
      <c r="Q231" s="1005"/>
      <c r="R231" s="1005"/>
      <c r="S231" s="1005"/>
      <c r="T231" s="1005"/>
    </row>
    <row r="232" spans="1:20">
      <c r="A232" s="1005"/>
      <c r="B232" s="1005"/>
      <c r="C232" s="1005"/>
      <c r="D232" s="1005"/>
      <c r="E232" s="1005"/>
      <c r="F232" s="1005"/>
      <c r="G232" s="1005"/>
      <c r="H232" s="1005"/>
      <c r="I232" s="1005"/>
      <c r="J232" s="1005"/>
      <c r="K232" s="1006"/>
      <c r="L232" s="1007"/>
      <c r="M232" s="1005"/>
      <c r="N232" s="1005"/>
      <c r="O232" s="1005"/>
      <c r="P232" s="1005"/>
      <c r="Q232" s="1005"/>
      <c r="R232" s="1005"/>
      <c r="S232" s="1005"/>
      <c r="T232" s="1005"/>
    </row>
    <row r="233" spans="1:20">
      <c r="A233" s="1005"/>
      <c r="B233" s="1005"/>
      <c r="C233" s="1005"/>
      <c r="D233" s="1005"/>
      <c r="E233" s="1005"/>
      <c r="F233" s="1005"/>
      <c r="G233" s="1005"/>
      <c r="H233" s="1005"/>
      <c r="I233" s="1005"/>
      <c r="J233" s="1005"/>
      <c r="K233" s="1006"/>
      <c r="L233" s="1007"/>
      <c r="M233" s="1005"/>
      <c r="N233" s="1005"/>
      <c r="O233" s="1005"/>
      <c r="P233" s="1005"/>
      <c r="Q233" s="1005"/>
      <c r="R233" s="1005"/>
      <c r="S233" s="1005"/>
      <c r="T233" s="1005"/>
    </row>
    <row r="234" spans="1:20">
      <c r="A234" s="1005"/>
      <c r="B234" s="1005"/>
      <c r="C234" s="1005"/>
      <c r="D234" s="1005"/>
      <c r="E234" s="1005"/>
      <c r="F234" s="1005"/>
      <c r="G234" s="1005"/>
      <c r="H234" s="1005"/>
      <c r="I234" s="1005"/>
      <c r="J234" s="1005"/>
      <c r="K234" s="1006"/>
      <c r="L234" s="1007"/>
      <c r="M234" s="1005"/>
      <c r="N234" s="1005"/>
      <c r="O234" s="1005"/>
      <c r="P234" s="1005"/>
      <c r="Q234" s="1005"/>
      <c r="R234" s="1005"/>
      <c r="S234" s="1005"/>
      <c r="T234" s="1005"/>
    </row>
    <row r="235" spans="1:20">
      <c r="A235" s="1005"/>
      <c r="B235" s="1005"/>
      <c r="C235" s="1005"/>
      <c r="D235" s="1005"/>
      <c r="E235" s="1005"/>
      <c r="F235" s="1005"/>
      <c r="G235" s="1005"/>
      <c r="H235" s="1005"/>
      <c r="I235" s="1005"/>
      <c r="J235" s="1005"/>
      <c r="K235" s="1006"/>
      <c r="L235" s="1007"/>
      <c r="M235" s="1005"/>
      <c r="N235" s="1005"/>
      <c r="O235" s="1005"/>
      <c r="P235" s="1005"/>
      <c r="Q235" s="1005"/>
      <c r="R235" s="1005"/>
      <c r="S235" s="1005"/>
      <c r="T235" s="1005"/>
    </row>
    <row r="236" spans="1:20">
      <c r="A236" s="1005"/>
      <c r="B236" s="1005"/>
      <c r="C236" s="1005"/>
      <c r="D236" s="1005"/>
      <c r="E236" s="1005"/>
      <c r="F236" s="1005"/>
      <c r="G236" s="1005"/>
      <c r="H236" s="1005"/>
      <c r="I236" s="1005"/>
      <c r="J236" s="1005"/>
      <c r="K236" s="1006"/>
      <c r="L236" s="1007"/>
      <c r="M236" s="1005"/>
      <c r="N236" s="1005"/>
      <c r="O236" s="1005"/>
      <c r="P236" s="1005"/>
      <c r="Q236" s="1005"/>
      <c r="R236" s="1005"/>
      <c r="S236" s="1005"/>
      <c r="T236" s="1005"/>
    </row>
    <row r="237" spans="1:20">
      <c r="A237" s="1005"/>
      <c r="B237" s="1005"/>
      <c r="C237" s="1005"/>
      <c r="D237" s="1005"/>
      <c r="E237" s="1005"/>
      <c r="F237" s="1005"/>
      <c r="G237" s="1005"/>
      <c r="H237" s="1005"/>
      <c r="I237" s="1005"/>
      <c r="J237" s="1005"/>
      <c r="K237" s="1006"/>
      <c r="L237" s="1007"/>
      <c r="M237" s="1005"/>
      <c r="N237" s="1005"/>
      <c r="O237" s="1005"/>
      <c r="P237" s="1005"/>
      <c r="Q237" s="1005"/>
      <c r="R237" s="1005"/>
      <c r="S237" s="1005"/>
      <c r="T237" s="1005"/>
    </row>
    <row r="238" spans="1:20">
      <c r="A238" s="1005"/>
      <c r="B238" s="1005"/>
      <c r="C238" s="1005"/>
      <c r="D238" s="1005"/>
      <c r="E238" s="1005"/>
      <c r="F238" s="1005"/>
      <c r="G238" s="1005"/>
      <c r="H238" s="1005"/>
      <c r="I238" s="1005"/>
      <c r="J238" s="1005"/>
      <c r="K238" s="1006"/>
      <c r="L238" s="1007"/>
      <c r="M238" s="1005"/>
      <c r="N238" s="1005"/>
      <c r="O238" s="1005"/>
      <c r="P238" s="1005"/>
      <c r="Q238" s="1005"/>
      <c r="R238" s="1005"/>
      <c r="S238" s="1005"/>
      <c r="T238" s="1005"/>
    </row>
    <row r="239" spans="1:20">
      <c r="A239" s="1005"/>
      <c r="B239" s="1005"/>
      <c r="C239" s="1005"/>
      <c r="D239" s="1005"/>
      <c r="E239" s="1005"/>
      <c r="F239" s="1005"/>
      <c r="G239" s="1005"/>
      <c r="H239" s="1005"/>
      <c r="I239" s="1005"/>
      <c r="J239" s="1005"/>
      <c r="K239" s="1006"/>
      <c r="L239" s="1007"/>
      <c r="M239" s="1005"/>
      <c r="N239" s="1005"/>
      <c r="O239" s="1005"/>
      <c r="P239" s="1005"/>
      <c r="Q239" s="1005"/>
      <c r="R239" s="1005"/>
      <c r="S239" s="1005"/>
      <c r="T239" s="1005"/>
    </row>
    <row r="240" spans="1:20">
      <c r="A240" s="1005"/>
      <c r="B240" s="1005"/>
      <c r="C240" s="1005"/>
      <c r="D240" s="1005"/>
      <c r="E240" s="1005"/>
      <c r="F240" s="1005"/>
      <c r="G240" s="1005"/>
      <c r="H240" s="1005"/>
      <c r="I240" s="1005"/>
      <c r="J240" s="1005"/>
      <c r="K240" s="1006"/>
      <c r="L240" s="1007"/>
      <c r="M240" s="1005"/>
      <c r="N240" s="1005"/>
      <c r="O240" s="1005"/>
      <c r="P240" s="1005"/>
      <c r="Q240" s="1005"/>
      <c r="R240" s="1005"/>
      <c r="S240" s="1005"/>
      <c r="T240" s="1005"/>
    </row>
    <row r="241" spans="1:20">
      <c r="A241" s="1005"/>
      <c r="B241" s="1005"/>
      <c r="C241" s="1005"/>
      <c r="D241" s="1005"/>
      <c r="E241" s="1005"/>
      <c r="F241" s="1005"/>
      <c r="G241" s="1005"/>
      <c r="H241" s="1005"/>
      <c r="I241" s="1005"/>
      <c r="J241" s="1005"/>
      <c r="K241" s="1006"/>
      <c r="L241" s="1007"/>
      <c r="M241" s="1005"/>
      <c r="N241" s="1005"/>
      <c r="O241" s="1005"/>
      <c r="P241" s="1005"/>
      <c r="Q241" s="1005"/>
      <c r="R241" s="1005"/>
      <c r="S241" s="1005"/>
      <c r="T241" s="10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2"/>
  <sheetViews>
    <sheetView view="pageBreakPreview" zoomScale="60" zoomScaleNormal="60" workbookViewId="0">
      <selection activeCell="F7" sqref="F7:F34"/>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2497</v>
      </c>
      <c r="B1" s="346"/>
      <c r="C1" s="347" t="s">
        <v>2498</v>
      </c>
      <c r="D1" s="659"/>
      <c r="E1" s="659"/>
      <c r="F1" s="658" t="s">
        <v>2396</v>
      </c>
      <c r="G1" s="659"/>
      <c r="H1" s="659"/>
      <c r="I1" s="659"/>
      <c r="J1" s="659"/>
      <c r="K1" s="660"/>
      <c r="L1" s="661"/>
      <c r="M1" s="662"/>
      <c r="N1" s="662"/>
      <c r="O1" s="662"/>
      <c r="P1" s="347"/>
      <c r="Q1" s="347"/>
      <c r="R1" s="347"/>
      <c r="S1" s="347"/>
      <c r="T1" s="347"/>
      <c r="U1" s="347"/>
      <c r="V1" s="347"/>
      <c r="W1" s="347"/>
      <c r="X1" s="347"/>
      <c r="Y1" s="347"/>
      <c r="Z1" s="347"/>
      <c r="AA1" s="347"/>
      <c r="AB1" s="347"/>
      <c r="AC1" s="671"/>
    </row>
    <row r="2" spans="1:29" s="348" customFormat="1" ht="28.5" customHeight="1">
      <c r="A2" s="199" t="s">
        <v>2082</v>
      </c>
      <c r="B2" s="599" t="e">
        <f>F66</f>
        <v>#DIV/0!</v>
      </c>
      <c r="C2" s="977"/>
      <c r="D2" s="977"/>
      <c r="E2" s="978"/>
      <c r="F2" s="979"/>
      <c r="G2" s="978"/>
      <c r="H2" s="978"/>
      <c r="I2" s="978"/>
      <c r="J2" s="978"/>
      <c r="K2" s="980"/>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ROUND(IF(D3="",B2*10000/'数据-汇总表'!E3,B2*10000/D3),0)</f>
        <v>#DIV/0!</v>
      </c>
      <c r="C3" s="201" t="s">
        <v>2499</v>
      </c>
      <c r="D3" s="1238"/>
      <c r="E3" s="978"/>
      <c r="F3" s="979"/>
      <c r="G3" s="978"/>
      <c r="H3" s="978"/>
      <c r="I3" s="978"/>
      <c r="J3" s="978"/>
      <c r="K3" s="980"/>
      <c r="L3" s="2679"/>
      <c r="M3" s="2680"/>
      <c r="N3" s="2680"/>
      <c r="O3" s="2680"/>
      <c r="P3" s="347"/>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SUMIF(70:70,YEAR(E7)&amp;"-"&amp;INT((MONTH(E7)+2)/3),71:71)</f>
        <v>0</v>
      </c>
      <c r="G7" s="1964"/>
      <c r="H7" s="361">
        <f>SUMIF(70:70,YEAR(G7)&amp;"-"&amp;INT((MONTH(G7)+2)/3),71:71)</f>
        <v>0</v>
      </c>
      <c r="I7" s="1964"/>
      <c r="J7" s="361">
        <f>SUMIF(70:70,YEAR(I7)&amp;"-"&amp;INT((MONTH(I7)+2)/3),71:71)</f>
        <v>0</v>
      </c>
      <c r="K7" s="41"/>
      <c r="L7" s="2664"/>
      <c r="M7" s="2613"/>
      <c r="N7" s="2613"/>
      <c r="O7" s="2613"/>
      <c r="P7" s="3391"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53" t="e">
        <f>D7/J7</f>
        <v>#DIV/0!</v>
      </c>
    </row>
    <row r="8" spans="1:29" s="107" customFormat="1" ht="15.75" thickBot="1">
      <c r="A8" s="358" t="s">
        <v>2304</v>
      </c>
      <c r="B8" s="359"/>
      <c r="C8" s="364" t="s">
        <v>2305</v>
      </c>
      <c r="D8" s="361">
        <v>100</v>
      </c>
      <c r="E8" s="364"/>
      <c r="F8" s="363">
        <f>SUMIF(73:73,E8,74:74)-SUMIF(73:73,C8,74:74)+100</f>
        <v>0</v>
      </c>
      <c r="G8" s="364"/>
      <c r="H8" s="361">
        <f>SUMIF(73:73,G8,74:74)-SUMIF(73:73,C8,74:74)+100</f>
        <v>0</v>
      </c>
      <c r="I8" s="364"/>
      <c r="J8" s="361">
        <f>SUMIF(73:73,I8,74:74)-SUMIF(73:73,C8,74:74)+100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45" si="3">D8/F8</f>
        <v>#DIV/0!</v>
      </c>
      <c r="AB8" s="53" t="e">
        <f t="shared" ref="AB8:AB45" si="4">D8/H8</f>
        <v>#DIV/0!</v>
      </c>
      <c r="AC8" s="53" t="e">
        <f t="shared" ref="AC8:AC45" si="5">D8/J8</f>
        <v>#DIV/0!</v>
      </c>
    </row>
    <row r="9" spans="1:29" s="107" customFormat="1">
      <c r="A9" s="365" t="s">
        <v>2307</v>
      </c>
      <c r="B9" s="64" t="s">
        <v>2308</v>
      </c>
      <c r="C9" s="1967"/>
      <c r="D9" s="63">
        <v>100</v>
      </c>
      <c r="E9" s="1967"/>
      <c r="F9" s="63">
        <f>SUMIF(75:75,E9,76:76)-SUMIF(75:75,C9,76:76)+100</f>
        <v>100</v>
      </c>
      <c r="G9" s="1967"/>
      <c r="H9" s="63">
        <f>SUMIF(75:75,G9,76:76)-SUMIF(75:75,C9,76:76)+100</f>
        <v>100</v>
      </c>
      <c r="I9" s="1967"/>
      <c r="J9" s="63">
        <f>SUMIF(75:75,I9,76:76)-SUMIF(75:75,C9,76:76)+100</f>
        <v>100</v>
      </c>
      <c r="K9" s="41"/>
      <c r="L9" s="2664"/>
      <c r="M9" s="2613"/>
      <c r="N9" s="2613"/>
      <c r="O9" s="2716"/>
      <c r="P9" s="3351"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9"/>
      <c r="D10" s="124">
        <v>100</v>
      </c>
      <c r="E10" s="411"/>
      <c r="F10" s="124" t="e">
        <f>ROUND(100/'数据-取费表'!G16,0)</f>
        <v>#DIV/0!</v>
      </c>
      <c r="G10" s="410"/>
      <c r="H10" s="124" t="e">
        <f>ROUND(100/'数据-取费表'!G16,0)</f>
        <v>#DIV/0!</v>
      </c>
      <c r="I10" s="410"/>
      <c r="J10" s="124" t="e">
        <f>ROUND(100/'数据-取费表'!G16,0)</f>
        <v>#DIV/0!</v>
      </c>
      <c r="K10" s="600"/>
      <c r="L10" s="2665"/>
      <c r="M10" s="2666"/>
      <c r="N10" s="2666"/>
      <c r="O10" s="2717"/>
      <c r="P10" s="3351"/>
      <c r="Q10" s="538" t="str">
        <f t="shared" si="6"/>
        <v>土地使用年限（年）</v>
      </c>
      <c r="R10" s="672" t="s">
        <v>17</v>
      </c>
      <c r="S10" s="673" t="e">
        <f t="shared" si="0"/>
        <v>#DIV/0!</v>
      </c>
      <c r="T10" s="672" t="s">
        <v>17</v>
      </c>
      <c r="U10" s="673" t="e">
        <f t="shared" si="1"/>
        <v>#DIV/0!</v>
      </c>
      <c r="V10" s="672" t="s">
        <v>17</v>
      </c>
      <c r="W10" s="673" t="e">
        <f t="shared" si="2"/>
        <v>#DIV/0!</v>
      </c>
      <c r="X10" s="674"/>
      <c r="Y10" s="3225"/>
      <c r="Z10" s="53" t="str">
        <f t="shared" si="7"/>
        <v>土地使用年限（年）</v>
      </c>
      <c r="AA10" s="53" t="e">
        <f t="shared" si="3"/>
        <v>#DIV/0!</v>
      </c>
      <c r="AB10" s="53" t="e">
        <f t="shared" si="4"/>
        <v>#DIV/0!</v>
      </c>
      <c r="AC10" s="53" t="e">
        <f t="shared" si="5"/>
        <v>#DIV/0!</v>
      </c>
    </row>
    <row r="11" spans="1:29" ht="15">
      <c r="A11" s="375"/>
      <c r="B11" s="370" t="s">
        <v>2312</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67"/>
      <c r="M11" s="2663"/>
      <c r="N11" s="2663"/>
      <c r="O11" s="2718"/>
      <c r="P11" s="3351"/>
      <c r="Q11" s="538" t="str">
        <f t="shared" si="6"/>
        <v>容积率</v>
      </c>
      <c r="R11" s="672" t="s">
        <v>17</v>
      </c>
      <c r="S11" s="673" t="e">
        <f t="shared" si="0"/>
        <v>#N/A</v>
      </c>
      <c r="T11" s="672" t="s">
        <v>17</v>
      </c>
      <c r="U11" s="673" t="e">
        <f t="shared" si="1"/>
        <v>#N/A</v>
      </c>
      <c r="V11" s="672" t="s">
        <v>17</v>
      </c>
      <c r="W11" s="673" t="e">
        <f t="shared" si="2"/>
        <v>#N/A</v>
      </c>
      <c r="X11" s="674"/>
      <c r="Y11" s="3225"/>
      <c r="Z11" s="53" t="str">
        <f t="shared" si="7"/>
        <v>容积率</v>
      </c>
      <c r="AA11" s="53" t="e">
        <f t="shared" si="3"/>
        <v>#N/A</v>
      </c>
      <c r="AB11" s="53" t="e">
        <f t="shared" si="4"/>
        <v>#N/A</v>
      </c>
      <c r="AC11" s="53" t="e">
        <f t="shared" si="5"/>
        <v>#N/A</v>
      </c>
    </row>
    <row r="12" spans="1:29" s="107" customFormat="1" ht="15">
      <c r="A12" s="378"/>
      <c r="B12" s="455" t="s">
        <v>2500</v>
      </c>
      <c r="C12" s="379"/>
      <c r="D12" s="380">
        <v>100</v>
      </c>
      <c r="E12" s="411"/>
      <c r="F12" s="124">
        <f>SUMIF(82:82,E12,83:83)-SUMIF(82:82,C12,83:83)+100</f>
        <v>100</v>
      </c>
      <c r="G12" s="410"/>
      <c r="H12" s="124">
        <f>SUMIF(82:82,G12,83:83)-SUMIF(82:82,C12,83:83)+100</f>
        <v>100</v>
      </c>
      <c r="I12" s="411"/>
      <c r="J12" s="124">
        <f>SUMIF(82:82,I12,83:83)-SUMIF(82:82,C12,83:83)+100</f>
        <v>100</v>
      </c>
      <c r="K12" s="600"/>
      <c r="L12" s="2664"/>
      <c r="M12" s="2613"/>
      <c r="N12" s="2613"/>
      <c r="O12" s="2716"/>
      <c r="P12" s="3351"/>
      <c r="Q12" s="538" t="str">
        <f t="shared" si="6"/>
        <v>配建</v>
      </c>
      <c r="R12" s="672" t="s">
        <v>17</v>
      </c>
      <c r="S12" s="673">
        <f t="shared" si="0"/>
        <v>100</v>
      </c>
      <c r="T12" s="672" t="s">
        <v>17</v>
      </c>
      <c r="U12" s="673">
        <f t="shared" si="1"/>
        <v>100</v>
      </c>
      <c r="V12" s="672" t="s">
        <v>17</v>
      </c>
      <c r="W12" s="673">
        <f t="shared" si="2"/>
        <v>100</v>
      </c>
      <c r="X12" s="674"/>
      <c r="Y12" s="3225"/>
      <c r="Z12" s="53" t="str">
        <f t="shared" si="7"/>
        <v>配建</v>
      </c>
      <c r="AA12" s="53">
        <f>D12/F12</f>
        <v>1</v>
      </c>
      <c r="AB12" s="53">
        <f>D12/H12</f>
        <v>1</v>
      </c>
      <c r="AC12" s="53">
        <f>D12/J12</f>
        <v>1</v>
      </c>
    </row>
    <row r="13" spans="1:29" ht="1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68"/>
      <c r="M13" s="2663"/>
      <c r="N13" s="2663"/>
      <c r="O13" s="2718"/>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D13/F13</f>
        <v>1</v>
      </c>
      <c r="AB13" s="53">
        <f>D13/H13</f>
        <v>1</v>
      </c>
      <c r="AC13" s="53">
        <f>D13/J13</f>
        <v>1</v>
      </c>
    </row>
    <row r="14" spans="1:29" ht="15.75" thickBot="1">
      <c r="A14" s="383"/>
      <c r="B14" s="1893">
        <v>111</v>
      </c>
      <c r="C14" s="384"/>
      <c r="D14" s="385">
        <v>100</v>
      </c>
      <c r="E14" s="488"/>
      <c r="F14" s="385">
        <f>SUMIF(86:86,E14,87:87)-SUMIF(86:86,C14,87:87)+100</f>
        <v>100</v>
      </c>
      <c r="G14" s="602"/>
      <c r="H14" s="385">
        <f>SUMIF(86:86,G14,87:87)-SUMIF(86:86,C14,87:87)+100</f>
        <v>100</v>
      </c>
      <c r="I14" s="602"/>
      <c r="J14" s="385">
        <f>SUMIF(86:86,I14,87:87)-SUMIF(86:86,C14,87:87)+100</f>
        <v>100</v>
      </c>
      <c r="K14" s="600"/>
      <c r="L14" s="2668"/>
      <c r="M14" s="2663"/>
      <c r="N14" s="2663"/>
      <c r="O14" s="2718"/>
      <c r="P14" s="3351"/>
      <c r="Q14" s="538">
        <f t="shared" si="6"/>
        <v>111</v>
      </c>
      <c r="R14" s="672" t="s">
        <v>17</v>
      </c>
      <c r="S14" s="673">
        <f t="shared" si="0"/>
        <v>100</v>
      </c>
      <c r="T14" s="672" t="s">
        <v>17</v>
      </c>
      <c r="U14" s="673">
        <f t="shared" si="1"/>
        <v>100</v>
      </c>
      <c r="V14" s="672" t="s">
        <v>17</v>
      </c>
      <c r="W14" s="673">
        <f t="shared" si="2"/>
        <v>100</v>
      </c>
      <c r="X14" s="674"/>
      <c r="Y14" s="3225"/>
      <c r="Z14" s="53">
        <f t="shared" si="7"/>
        <v>111</v>
      </c>
      <c r="AA14" s="53">
        <f>D14/F14</f>
        <v>1</v>
      </c>
      <c r="AB14" s="53">
        <f>D14/H14</f>
        <v>1</v>
      </c>
      <c r="AC14" s="53">
        <f>D14/J14</f>
        <v>1</v>
      </c>
    </row>
    <row r="15" spans="1:29" ht="85.5">
      <c r="A15" s="387" t="s">
        <v>2313</v>
      </c>
      <c r="B15" s="62" t="s">
        <v>1881</v>
      </c>
      <c r="C15" s="1894" t="str">
        <f>估价对象房地状况!C15</f>
        <v>周边有金榜园、龙博苑、育新花园、沁春家园等住宅小区，居住社区成熟度较好。</v>
      </c>
      <c r="D15" s="388">
        <v>100</v>
      </c>
      <c r="E15" s="389"/>
      <c r="F15" s="388">
        <f>SUMIF(88:88,E16,89:89)-SUMIF(88:88,C16,89:89)+100</f>
        <v>100</v>
      </c>
      <c r="G15" s="389"/>
      <c r="H15" s="388">
        <f>SUMIF(88:88,G16,89:89)-SUMIF(88:88,C16,89:89)+100</f>
        <v>100</v>
      </c>
      <c r="I15" s="391"/>
      <c r="J15" s="388">
        <f>SUMIF(88:88,I16,89:89)-SUMIF(88:88,C16,89:89)+100</f>
        <v>100</v>
      </c>
      <c r="K15" s="601"/>
      <c r="L15" s="2668"/>
      <c r="M15" s="2663"/>
      <c r="N15" s="2663"/>
      <c r="O15" s="2718"/>
      <c r="P15" s="3358" t="s">
        <v>2314</v>
      </c>
      <c r="Q15" s="1407" t="str">
        <f t="shared" si="6"/>
        <v>居住社区成熟度</v>
      </c>
      <c r="R15" s="675" t="s">
        <v>17</v>
      </c>
      <c r="S15" s="676">
        <f t="shared" si="0"/>
        <v>100</v>
      </c>
      <c r="T15" s="675" t="s">
        <v>17</v>
      </c>
      <c r="U15" s="676">
        <f t="shared" si="1"/>
        <v>100</v>
      </c>
      <c r="V15" s="675" t="s">
        <v>17</v>
      </c>
      <c r="W15" s="676">
        <f t="shared" si="2"/>
        <v>100</v>
      </c>
      <c r="X15" s="1409"/>
      <c r="Y15" s="3358" t="s">
        <v>2314</v>
      </c>
      <c r="Z15" s="1408" t="str">
        <f t="shared" si="7"/>
        <v>居住社区成熟度</v>
      </c>
      <c r="AA15" s="1408">
        <f t="shared" si="3"/>
        <v>1</v>
      </c>
      <c r="AB15" s="1408">
        <f t="shared" si="4"/>
        <v>1</v>
      </c>
      <c r="AC15" s="1408">
        <f t="shared" si="5"/>
        <v>1</v>
      </c>
    </row>
    <row r="16" spans="1:29" ht="15">
      <c r="A16" s="375"/>
      <c r="B16" s="393"/>
      <c r="C16" s="394"/>
      <c r="D16" s="395"/>
      <c r="E16" s="1896"/>
      <c r="F16" s="395"/>
      <c r="G16" s="1896"/>
      <c r="H16" s="397"/>
      <c r="I16" s="1895"/>
      <c r="J16" s="395"/>
      <c r="K16" s="600"/>
      <c r="L16" s="2668"/>
      <c r="M16" s="2663"/>
      <c r="N16" s="2663"/>
      <c r="O16" s="2718"/>
      <c r="P16" s="3359"/>
      <c r="Q16" s="1407"/>
      <c r="R16" s="675"/>
      <c r="S16" s="676"/>
      <c r="T16" s="675"/>
      <c r="U16" s="676"/>
      <c r="V16" s="675"/>
      <c r="W16" s="676"/>
      <c r="X16" s="1409"/>
      <c r="Y16" s="3359"/>
      <c r="Z16" s="1408"/>
      <c r="AA16" s="1408">
        <v>1</v>
      </c>
      <c r="AB16" s="1408">
        <v>1</v>
      </c>
      <c r="AC16" s="1408">
        <v>1</v>
      </c>
    </row>
    <row r="17" spans="1:29" ht="15">
      <c r="A17" s="375"/>
      <c r="B17" s="398" t="s">
        <v>2406</v>
      </c>
      <c r="C17" s="1948" t="str">
        <f>估价对象房地状况!C16</f>
        <v>好</v>
      </c>
      <c r="D17" s="397">
        <v>100</v>
      </c>
      <c r="E17" s="399"/>
      <c r="F17" s="397">
        <f>SUMIF(90:90,E18,91:91)-SUMIF(90:90,C18,91:91)+100</f>
        <v>100</v>
      </c>
      <c r="G17" s="399"/>
      <c r="H17" s="402">
        <f>SUMIF(90:90,G18,91:91)-SUMIF(90:90,C18,91:91)+100</f>
        <v>100</v>
      </c>
      <c r="I17" s="401"/>
      <c r="J17" s="402">
        <f>SUMIF(90:90,I18,91:91)-SUMIF(90:90,C18,91:91)+100</f>
        <v>100</v>
      </c>
      <c r="K17" s="601"/>
      <c r="L17" s="2668"/>
      <c r="M17" s="2663"/>
      <c r="N17" s="2663"/>
      <c r="O17" s="2718"/>
      <c r="P17" s="3359"/>
      <c r="Q17" s="1407" t="str">
        <f>B17</f>
        <v>商业繁华度</v>
      </c>
      <c r="R17" s="675" t="s">
        <v>17</v>
      </c>
      <c r="S17" s="676">
        <f>F17</f>
        <v>100</v>
      </c>
      <c r="T17" s="675" t="s">
        <v>17</v>
      </c>
      <c r="U17" s="676">
        <f>H17</f>
        <v>100</v>
      </c>
      <c r="V17" s="675" t="s">
        <v>17</v>
      </c>
      <c r="W17" s="676">
        <f>J17</f>
        <v>100</v>
      </c>
      <c r="X17" s="1409"/>
      <c r="Y17" s="3359"/>
      <c r="Z17" s="1408" t="str">
        <f>Q17</f>
        <v>商业繁华度</v>
      </c>
      <c r="AA17" s="1408">
        <f t="shared" si="3"/>
        <v>1</v>
      </c>
      <c r="AB17" s="1408">
        <f t="shared" si="4"/>
        <v>1</v>
      </c>
      <c r="AC17" s="1408">
        <f t="shared" si="5"/>
        <v>1</v>
      </c>
    </row>
    <row r="18" spans="1:29" ht="15">
      <c r="A18" s="375"/>
      <c r="B18" s="403"/>
      <c r="C18" s="1899"/>
      <c r="D18" s="397"/>
      <c r="E18" s="1901"/>
      <c r="F18" s="397"/>
      <c r="G18" s="1901"/>
      <c r="H18" s="395"/>
      <c r="I18" s="1900"/>
      <c r="J18" s="395"/>
      <c r="K18" s="600"/>
      <c r="L18" s="2668"/>
      <c r="M18" s="2663"/>
      <c r="N18" s="2663"/>
      <c r="O18" s="2718"/>
      <c r="P18" s="3359"/>
      <c r="Q18" s="1407"/>
      <c r="R18" s="675"/>
      <c r="S18" s="676"/>
      <c r="T18" s="675"/>
      <c r="U18" s="676"/>
      <c r="V18" s="675"/>
      <c r="W18" s="676"/>
      <c r="X18" s="1409"/>
      <c r="Y18" s="3359"/>
      <c r="Z18" s="1408"/>
      <c r="AA18" s="1408">
        <v>1</v>
      </c>
      <c r="AB18" s="1408">
        <v>1</v>
      </c>
      <c r="AC18" s="1408">
        <v>1</v>
      </c>
    </row>
    <row r="19" spans="1:29" ht="15">
      <c r="A19" s="375"/>
      <c r="B19" s="398" t="s">
        <v>2440</v>
      </c>
      <c r="C19" s="1948" t="str">
        <f>估价对象房地状况!C17</f>
        <v>好</v>
      </c>
      <c r="D19" s="402">
        <v>100</v>
      </c>
      <c r="E19" s="404"/>
      <c r="F19" s="402">
        <f>SUMIF(92:92,E20,93:93)-SUMIF(92:92,C20,93:93)+100</f>
        <v>100</v>
      </c>
      <c r="G19" s="404"/>
      <c r="H19" s="397">
        <f>SUMIF(92:92,G20,93:93)-SUMIF(92:92,C20,93:93)+100</f>
        <v>100</v>
      </c>
      <c r="I19" s="406"/>
      <c r="J19" s="397">
        <f>SUMIF(92:92,I20,93:93)-SUMIF(92:92,C20,93:93)+100</f>
        <v>100</v>
      </c>
      <c r="K19" s="601"/>
      <c r="L19" s="2668"/>
      <c r="M19" s="2663"/>
      <c r="N19" s="2663"/>
      <c r="O19" s="2718"/>
      <c r="P19" s="3359"/>
      <c r="Q19" s="1407" t="str">
        <f>B19</f>
        <v>办公集聚程度</v>
      </c>
      <c r="R19" s="675" t="s">
        <v>17</v>
      </c>
      <c r="S19" s="676">
        <f>F19</f>
        <v>100</v>
      </c>
      <c r="T19" s="675" t="s">
        <v>17</v>
      </c>
      <c r="U19" s="676">
        <f>H19</f>
        <v>100</v>
      </c>
      <c r="V19" s="675" t="s">
        <v>17</v>
      </c>
      <c r="W19" s="676">
        <f>J19</f>
        <v>100</v>
      </c>
      <c r="X19" s="1409"/>
      <c r="Y19" s="3359"/>
      <c r="Z19" s="1408" t="str">
        <f>Q19</f>
        <v>办公集聚程度</v>
      </c>
      <c r="AA19" s="1408">
        <f t="shared" si="3"/>
        <v>1</v>
      </c>
      <c r="AB19" s="1408">
        <f t="shared" si="4"/>
        <v>1</v>
      </c>
      <c r="AC19" s="1408">
        <f t="shared" si="5"/>
        <v>1</v>
      </c>
    </row>
    <row r="20" spans="1:29" ht="15">
      <c r="A20" s="375"/>
      <c r="B20" s="403"/>
      <c r="C20" s="394"/>
      <c r="D20" s="395"/>
      <c r="E20" s="1896"/>
      <c r="F20" s="395"/>
      <c r="G20" s="1896"/>
      <c r="H20" s="395"/>
      <c r="I20" s="1895"/>
      <c r="J20" s="395"/>
      <c r="K20" s="600"/>
      <c r="L20" s="2668"/>
      <c r="M20" s="2663"/>
      <c r="N20" s="2663"/>
      <c r="O20" s="2718"/>
      <c r="P20" s="3359"/>
      <c r="Q20" s="1407"/>
      <c r="R20" s="675"/>
      <c r="S20" s="676"/>
      <c r="T20" s="675"/>
      <c r="U20" s="676"/>
      <c r="V20" s="675"/>
      <c r="W20" s="676"/>
      <c r="X20" s="1409"/>
      <c r="Y20" s="3359"/>
      <c r="Z20" s="1408"/>
      <c r="AA20" s="1408">
        <v>1</v>
      </c>
      <c r="AB20" s="1408">
        <v>1</v>
      </c>
      <c r="AC20" s="1408">
        <v>1</v>
      </c>
    </row>
    <row r="21" spans="1:29" ht="99.75">
      <c r="A21" s="375"/>
      <c r="B21" s="398" t="s">
        <v>2462</v>
      </c>
      <c r="C21" s="1898" t="str">
        <f>估价对象房地状况!C18</f>
        <v>周边有315路、607路、629路等多条公交线路及地铁8号线育新站，综合评价交通便捷度较好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68"/>
      <c r="M21" s="2663"/>
      <c r="N21" s="2663"/>
      <c r="O21" s="2718"/>
      <c r="P21" s="3359"/>
      <c r="Q21" s="1407" t="str">
        <f>B21</f>
        <v>交通便捷度</v>
      </c>
      <c r="R21" s="675" t="s">
        <v>17</v>
      </c>
      <c r="S21" s="676">
        <f>F21</f>
        <v>100</v>
      </c>
      <c r="T21" s="675" t="s">
        <v>17</v>
      </c>
      <c r="U21" s="676">
        <f>H21</f>
        <v>100</v>
      </c>
      <c r="V21" s="675" t="s">
        <v>17</v>
      </c>
      <c r="W21" s="676">
        <f>J21</f>
        <v>100</v>
      </c>
      <c r="X21" s="1409"/>
      <c r="Y21" s="3359"/>
      <c r="Z21" s="1408" t="str">
        <f>Q21</f>
        <v>交通便捷度</v>
      </c>
      <c r="AA21" s="1408">
        <f t="shared" si="3"/>
        <v>1</v>
      </c>
      <c r="AB21" s="1408">
        <f t="shared" si="4"/>
        <v>1</v>
      </c>
      <c r="AC21" s="1408">
        <f t="shared" si="5"/>
        <v>1</v>
      </c>
    </row>
    <row r="22" spans="1:29" ht="15">
      <c r="A22" s="375"/>
      <c r="B22" s="594"/>
      <c r="C22" s="394"/>
      <c r="D22" s="397"/>
      <c r="E22" s="1896"/>
      <c r="F22" s="395"/>
      <c r="G22" s="1896"/>
      <c r="H22" s="395"/>
      <c r="I22" s="1895"/>
      <c r="J22" s="395"/>
      <c r="K22" s="600"/>
      <c r="L22" s="2668"/>
      <c r="M22" s="2663"/>
      <c r="N22" s="2663"/>
      <c r="O22" s="2718"/>
      <c r="P22" s="3359"/>
      <c r="Q22" s="1407"/>
      <c r="R22" s="675"/>
      <c r="S22" s="676"/>
      <c r="T22" s="675"/>
      <c r="U22" s="676"/>
      <c r="V22" s="675"/>
      <c r="W22" s="676"/>
      <c r="X22" s="1409"/>
      <c r="Y22" s="3359"/>
      <c r="Z22" s="1408"/>
      <c r="AA22" s="1408">
        <v>1</v>
      </c>
      <c r="AB22" s="1408">
        <v>1</v>
      </c>
      <c r="AC22" s="1408">
        <v>1</v>
      </c>
    </row>
    <row r="23" spans="1:29" ht="15">
      <c r="A23" s="354"/>
      <c r="B23" s="398" t="s">
        <v>2501</v>
      </c>
      <c r="C23" s="1196" t="str">
        <f>估价对象房地状况!C19</f>
        <v>较好</v>
      </c>
      <c r="D23" s="402">
        <v>100</v>
      </c>
      <c r="E23" s="399"/>
      <c r="F23" s="402">
        <f>SUMIF(96:96,E24,97:97)-SUMIF(96:96,C24,97:97)+100</f>
        <v>100</v>
      </c>
      <c r="G23" s="401"/>
      <c r="H23" s="402">
        <f>SUMIF(96:96,G24,97:97)-SUMIF(96:96,C24,97:97)+100</f>
        <v>100</v>
      </c>
      <c r="I23" s="401"/>
      <c r="J23" s="402">
        <f>SUMIF(96:96,I24,97:97)-SUMIF(96:96,C24,97:97)+100</f>
        <v>100</v>
      </c>
      <c r="K23" s="601"/>
      <c r="L23" s="2668"/>
      <c r="M23" s="2663"/>
      <c r="N23" s="2663"/>
      <c r="O23" s="2718"/>
      <c r="P23" s="3359"/>
      <c r="Q23" s="1407" t="str">
        <f t="shared" ref="Q23:Q37" si="8">B23</f>
        <v>区域土地利用方向</v>
      </c>
      <c r="R23" s="675" t="s">
        <v>17</v>
      </c>
      <c r="S23" s="676">
        <f>F23</f>
        <v>100</v>
      </c>
      <c r="T23" s="675" t="s">
        <v>17</v>
      </c>
      <c r="U23" s="676">
        <f>H23</f>
        <v>100</v>
      </c>
      <c r="V23" s="675" t="s">
        <v>17</v>
      </c>
      <c r="W23" s="676">
        <f>J23</f>
        <v>100</v>
      </c>
      <c r="X23" s="1409"/>
      <c r="Y23" s="3359"/>
      <c r="Z23" s="1408" t="str">
        <f>Q23</f>
        <v>区域土地利用方向</v>
      </c>
      <c r="AA23" s="1408">
        <f t="shared" si="3"/>
        <v>1</v>
      </c>
      <c r="AB23" s="1408">
        <f t="shared" si="4"/>
        <v>1</v>
      </c>
      <c r="AC23" s="1408">
        <f t="shared" si="5"/>
        <v>1</v>
      </c>
    </row>
    <row r="24" spans="1:29" ht="15">
      <c r="A24" s="354"/>
      <c r="B24" s="403"/>
      <c r="C24" s="550"/>
      <c r="D24" s="395"/>
      <c r="E24" s="1896"/>
      <c r="F24" s="395"/>
      <c r="G24" s="1895"/>
      <c r="H24" s="395"/>
      <c r="I24" s="1895"/>
      <c r="J24" s="395"/>
      <c r="K24" s="707"/>
      <c r="L24" s="2668"/>
      <c r="M24" s="2663"/>
      <c r="N24" s="2663"/>
      <c r="O24" s="2718"/>
      <c r="P24" s="3359"/>
      <c r="Q24" s="1407"/>
      <c r="R24" s="675"/>
      <c r="S24" s="676"/>
      <c r="T24" s="675"/>
      <c r="U24" s="676"/>
      <c r="V24" s="675"/>
      <c r="W24" s="676"/>
      <c r="X24" s="1409"/>
      <c r="Y24" s="3359"/>
      <c r="Z24" s="1408"/>
      <c r="AA24" s="1408"/>
      <c r="AB24" s="1408"/>
      <c r="AC24" s="1408"/>
    </row>
    <row r="25" spans="1:29" ht="42.75">
      <c r="A25" s="354"/>
      <c r="B25" s="594" t="s">
        <v>2502</v>
      </c>
      <c r="C25" s="1948" t="str">
        <f>估价对象房地状况!C20</f>
        <v>周边绿化以街区级绿化为主，一般</v>
      </c>
      <c r="D25" s="397">
        <v>100</v>
      </c>
      <c r="E25" s="399"/>
      <c r="F25" s="397">
        <f>SUMIF(98:98,E26,99:99)-SUMIF(98:98,C26,99:99)+100</f>
        <v>100</v>
      </c>
      <c r="G25" s="399"/>
      <c r="H25" s="397">
        <f>SUMIF(98:98,G26,99:99)-SUMIF(98:98,C26,99:99)+100</f>
        <v>100</v>
      </c>
      <c r="I25" s="401"/>
      <c r="J25" s="397">
        <f>SUMIF(98:98,I26,99:99)-SUMIF(98:98,C26,99:99)+100</f>
        <v>100</v>
      </c>
      <c r="K25" s="601"/>
      <c r="L25" s="2668"/>
      <c r="M25" s="2663"/>
      <c r="N25" s="2663"/>
      <c r="O25" s="2718"/>
      <c r="P25" s="3359"/>
      <c r="Q25" s="1407" t="str">
        <f t="shared" si="8"/>
        <v>自然及人文环境状况</v>
      </c>
      <c r="R25" s="675" t="s">
        <v>17</v>
      </c>
      <c r="S25" s="676">
        <f>F25</f>
        <v>100</v>
      </c>
      <c r="T25" s="675" t="s">
        <v>17</v>
      </c>
      <c r="U25" s="676">
        <f>H25</f>
        <v>100</v>
      </c>
      <c r="V25" s="675" t="s">
        <v>17</v>
      </c>
      <c r="W25" s="676">
        <f>J25</f>
        <v>100</v>
      </c>
      <c r="X25" s="1409"/>
      <c r="Y25" s="3359"/>
      <c r="Z25" s="1408" t="str">
        <f>Q25</f>
        <v>自然及人文环境状况</v>
      </c>
      <c r="AA25" s="1408">
        <f t="shared" si="3"/>
        <v>1</v>
      </c>
      <c r="AB25" s="1408">
        <f t="shared" si="4"/>
        <v>1</v>
      </c>
      <c r="AC25" s="1408">
        <f t="shared" si="5"/>
        <v>1</v>
      </c>
    </row>
    <row r="26" spans="1:29" ht="15">
      <c r="A26" s="354"/>
      <c r="B26" s="403"/>
      <c r="C26" s="394"/>
      <c r="D26" s="395"/>
      <c r="E26" s="1902"/>
      <c r="F26" s="395"/>
      <c r="G26" s="1902"/>
      <c r="H26" s="395"/>
      <c r="I26" s="394"/>
      <c r="J26" s="395"/>
      <c r="K26" s="600"/>
      <c r="L26" s="2668"/>
      <c r="M26" s="2663"/>
      <c r="N26" s="2663"/>
      <c r="O26" s="2718"/>
      <c r="P26" s="3359"/>
      <c r="Q26" s="1407"/>
      <c r="R26" s="675"/>
      <c r="S26" s="676"/>
      <c r="T26" s="675"/>
      <c r="U26" s="676"/>
      <c r="V26" s="675"/>
      <c r="W26" s="676"/>
      <c r="X26" s="1409"/>
      <c r="Y26" s="3359"/>
      <c r="Z26" s="1408"/>
      <c r="AA26" s="1408">
        <v>1</v>
      </c>
      <c r="AB26" s="1408">
        <v>1</v>
      </c>
      <c r="AC26" s="1408">
        <v>1</v>
      </c>
    </row>
    <row r="27" spans="1:29" s="107" customFormat="1" ht="256.5">
      <c r="A27" s="451"/>
      <c r="B27" s="594" t="s">
        <v>2407</v>
      </c>
      <c r="C27" s="1898"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64"/>
      <c r="M27" s="2613"/>
      <c r="N27" s="2613"/>
      <c r="O27" s="2716"/>
      <c r="P27" s="3359"/>
      <c r="Q27" s="538" t="str">
        <f t="shared" si="8"/>
        <v>公共配套设施</v>
      </c>
      <c r="R27" s="672" t="s">
        <v>17</v>
      </c>
      <c r="S27" s="673">
        <f>F27</f>
        <v>100</v>
      </c>
      <c r="T27" s="672" t="s">
        <v>17</v>
      </c>
      <c r="U27" s="673">
        <f>H27</f>
        <v>100</v>
      </c>
      <c r="V27" s="672" t="s">
        <v>17</v>
      </c>
      <c r="W27" s="673">
        <f>J27</f>
        <v>100</v>
      </c>
      <c r="X27" s="674"/>
      <c r="Y27" s="3359"/>
      <c r="Z27" s="53" t="str">
        <f>Q27</f>
        <v>公共配套设施</v>
      </c>
      <c r="AA27" s="1408">
        <f>D27/F27</f>
        <v>1</v>
      </c>
      <c r="AB27" s="1408">
        <f>D27/H27</f>
        <v>1</v>
      </c>
      <c r="AC27" s="1408">
        <f>D27/J27</f>
        <v>1</v>
      </c>
    </row>
    <row r="28" spans="1:29" s="107" customFormat="1" ht="15">
      <c r="A28" s="451"/>
      <c r="B28" s="403"/>
      <c r="C28" s="1968"/>
      <c r="D28" s="395"/>
      <c r="E28" s="1902"/>
      <c r="F28" s="395"/>
      <c r="G28" s="1902"/>
      <c r="H28" s="395"/>
      <c r="I28" s="394"/>
      <c r="J28" s="395"/>
      <c r="K28" s="600"/>
      <c r="L28" s="2664"/>
      <c r="M28" s="2613"/>
      <c r="N28" s="2613"/>
      <c r="O28" s="2716"/>
      <c r="P28" s="3359"/>
      <c r="Q28" s="538"/>
      <c r="R28" s="672"/>
      <c r="S28" s="673"/>
      <c r="T28" s="672"/>
      <c r="U28" s="673"/>
      <c r="V28" s="672"/>
      <c r="W28" s="673"/>
      <c r="X28" s="674"/>
      <c r="Y28" s="3359"/>
      <c r="Z28" s="53"/>
      <c r="AA28" s="1408">
        <v>1</v>
      </c>
      <c r="AB28" s="1408">
        <v>1</v>
      </c>
      <c r="AC28" s="1408">
        <v>1</v>
      </c>
    </row>
    <row r="29" spans="1:29" s="107" customFormat="1" ht="15">
      <c r="A29" s="451"/>
      <c r="B29" s="594" t="s">
        <v>2408</v>
      </c>
      <c r="C29" s="1898" t="str">
        <f>估价对象房地状况!C22</f>
        <v>七通</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64"/>
      <c r="M29" s="2613"/>
      <c r="N29" s="2613"/>
      <c r="O29" s="2716"/>
      <c r="P29" s="3359"/>
      <c r="Q29" s="538" t="str">
        <f t="shared" ref="Q29" si="9">B29</f>
        <v>基础设施水平</v>
      </c>
      <c r="R29" s="672" t="s">
        <v>17</v>
      </c>
      <c r="S29" s="673">
        <f>F29</f>
        <v>100</v>
      </c>
      <c r="T29" s="672" t="s">
        <v>17</v>
      </c>
      <c r="U29" s="673">
        <f>H29</f>
        <v>100</v>
      </c>
      <c r="V29" s="672" t="s">
        <v>17</v>
      </c>
      <c r="W29" s="673">
        <f>J29</f>
        <v>100</v>
      </c>
      <c r="X29" s="674"/>
      <c r="Y29" s="3359"/>
      <c r="Z29" s="53" t="str">
        <f>Q29</f>
        <v>基础设施水平</v>
      </c>
      <c r="AA29" s="1408">
        <f>D29/F29</f>
        <v>1</v>
      </c>
      <c r="AB29" s="1408">
        <f>D29/H29</f>
        <v>1</v>
      </c>
      <c r="AC29" s="1408">
        <f>D29/J29</f>
        <v>1</v>
      </c>
    </row>
    <row r="30" spans="1:29" s="107" customFormat="1" ht="15">
      <c r="A30" s="451"/>
      <c r="B30" s="403"/>
      <c r="C30" s="1968"/>
      <c r="D30" s="395"/>
      <c r="E30" s="1969"/>
      <c r="F30" s="395"/>
      <c r="G30" s="1969"/>
      <c r="H30" s="395"/>
      <c r="I30" s="1969"/>
      <c r="J30" s="395"/>
      <c r="K30" s="600"/>
      <c r="L30" s="2664"/>
      <c r="M30" s="2613"/>
      <c r="N30" s="2613"/>
      <c r="O30" s="2716"/>
      <c r="P30" s="3359"/>
      <c r="Q30" s="538"/>
      <c r="R30" s="672"/>
      <c r="S30" s="673"/>
      <c r="T30" s="672"/>
      <c r="U30" s="673"/>
      <c r="V30" s="672"/>
      <c r="W30" s="673"/>
      <c r="X30" s="674"/>
      <c r="Y30" s="3359"/>
      <c r="Z30" s="53"/>
      <c r="AA30" s="1408">
        <v>1</v>
      </c>
      <c r="AB30" s="1408">
        <v>1</v>
      </c>
      <c r="AC30" s="1408">
        <v>1</v>
      </c>
    </row>
    <row r="31" spans="1:29" ht="15">
      <c r="A31" s="375"/>
      <c r="B31" s="403" t="s">
        <v>2409</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68"/>
      <c r="M31" s="2663"/>
      <c r="N31" s="2663"/>
      <c r="O31" s="2718"/>
      <c r="P31" s="3359"/>
      <c r="Q31" s="1407" t="str">
        <f t="shared" si="8"/>
        <v>临街状况</v>
      </c>
      <c r="R31" s="675" t="s">
        <v>17</v>
      </c>
      <c r="S31" s="676">
        <f t="shared" ref="S31:S45" si="10">F31</f>
        <v>100</v>
      </c>
      <c r="T31" s="675" t="s">
        <v>17</v>
      </c>
      <c r="U31" s="676">
        <f t="shared" ref="U31:U45" si="11">H31</f>
        <v>100</v>
      </c>
      <c r="V31" s="675" t="s">
        <v>17</v>
      </c>
      <c r="W31" s="676">
        <f t="shared" ref="W31:W45" si="12">J31</f>
        <v>100</v>
      </c>
      <c r="X31" s="1409"/>
      <c r="Y31" s="3359"/>
      <c r="Z31" s="1408" t="str">
        <f t="shared" ref="Z31:Z45" si="13">Q31</f>
        <v>临街状况</v>
      </c>
      <c r="AA31" s="1408">
        <f t="shared" si="3"/>
        <v>1</v>
      </c>
      <c r="AB31" s="1408">
        <f t="shared" si="4"/>
        <v>1</v>
      </c>
      <c r="AC31" s="1408">
        <f t="shared" si="5"/>
        <v>1</v>
      </c>
    </row>
    <row r="32" spans="1:29" ht="28.5">
      <c r="A32" s="375"/>
      <c r="B32" s="594" t="s">
        <v>2444</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68"/>
      <c r="M32" s="2663"/>
      <c r="N32" s="2663"/>
      <c r="O32" s="2718"/>
      <c r="P32" s="3359"/>
      <c r="Q32" s="1407" t="str">
        <f t="shared" si="8"/>
        <v>毗邻道路的类型与等级</v>
      </c>
      <c r="R32" s="675" t="s">
        <v>17</v>
      </c>
      <c r="S32" s="676">
        <f t="shared" si="10"/>
        <v>100</v>
      </c>
      <c r="T32" s="675" t="s">
        <v>17</v>
      </c>
      <c r="U32" s="676">
        <f t="shared" si="11"/>
        <v>100</v>
      </c>
      <c r="V32" s="675" t="s">
        <v>17</v>
      </c>
      <c r="W32" s="676">
        <f t="shared" si="12"/>
        <v>100</v>
      </c>
      <c r="X32" s="1409"/>
      <c r="Y32" s="3359"/>
      <c r="Z32" s="1408" t="str">
        <f t="shared" si="13"/>
        <v>毗邻道路的类型与等级</v>
      </c>
      <c r="AA32" s="1408">
        <f t="shared" si="3"/>
        <v>1</v>
      </c>
      <c r="AB32" s="1408">
        <f t="shared" si="4"/>
        <v>1</v>
      </c>
      <c r="AC32" s="1408">
        <f t="shared" si="5"/>
        <v>1</v>
      </c>
    </row>
    <row r="33" spans="1:29" ht="15">
      <c r="A33" s="375"/>
      <c r="B33" s="403"/>
      <c r="C33" s="394"/>
      <c r="D33" s="395"/>
      <c r="E33" s="1902"/>
      <c r="F33" s="395"/>
      <c r="G33" s="1902"/>
      <c r="H33" s="395"/>
      <c r="I33" s="394"/>
      <c r="J33" s="395"/>
      <c r="K33" s="547"/>
      <c r="L33" s="2668"/>
      <c r="M33" s="2663"/>
      <c r="N33" s="2663"/>
      <c r="O33" s="2718"/>
      <c r="P33" s="3359"/>
      <c r="Q33" s="1407"/>
      <c r="R33" s="675"/>
      <c r="S33" s="676"/>
      <c r="T33" s="675"/>
      <c r="U33" s="676"/>
      <c r="V33" s="675"/>
      <c r="W33" s="676"/>
      <c r="X33" s="1409"/>
      <c r="Y33" s="3359"/>
      <c r="Z33" s="1408"/>
      <c r="AA33" s="1408">
        <v>1</v>
      </c>
      <c r="AB33" s="1408">
        <v>1</v>
      </c>
      <c r="AC33" s="1408">
        <v>1</v>
      </c>
    </row>
    <row r="34" spans="1:29" ht="15">
      <c r="A34" s="375"/>
      <c r="B34" s="370" t="s">
        <v>2503</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68"/>
      <c r="M34" s="2663"/>
      <c r="N34" s="2663"/>
      <c r="O34" s="2718"/>
      <c r="P34" s="3359"/>
      <c r="Q34" s="1407" t="str">
        <f t="shared" si="8"/>
        <v>土地级别</v>
      </c>
      <c r="R34" s="675" t="s">
        <v>17</v>
      </c>
      <c r="S34" s="676">
        <f t="shared" si="10"/>
        <v>100</v>
      </c>
      <c r="T34" s="675" t="s">
        <v>17</v>
      </c>
      <c r="U34" s="676">
        <f t="shared" si="11"/>
        <v>100</v>
      </c>
      <c r="V34" s="675" t="s">
        <v>17</v>
      </c>
      <c r="W34" s="676">
        <f t="shared" si="12"/>
        <v>100</v>
      </c>
      <c r="X34" s="1409"/>
      <c r="Y34" s="3359"/>
      <c r="Z34" s="1408" t="str">
        <f t="shared" si="13"/>
        <v>土地级别</v>
      </c>
      <c r="AA34" s="1408">
        <f t="shared" si="3"/>
        <v>1</v>
      </c>
      <c r="AB34" s="1408">
        <f t="shared" si="4"/>
        <v>1</v>
      </c>
      <c r="AC34" s="1408">
        <f t="shared" si="5"/>
        <v>1</v>
      </c>
    </row>
    <row r="35" spans="1:29" ht="15">
      <c r="A35" s="354"/>
      <c r="B35" s="1193">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68"/>
      <c r="M35" s="2663"/>
      <c r="N35" s="2663"/>
      <c r="O35" s="2718"/>
      <c r="P35" s="3359"/>
      <c r="Q35" s="1407">
        <f t="shared" si="8"/>
        <v>111</v>
      </c>
      <c r="R35" s="675" t="s">
        <v>17</v>
      </c>
      <c r="S35" s="676">
        <f t="shared" si="10"/>
        <v>100</v>
      </c>
      <c r="T35" s="675" t="s">
        <v>17</v>
      </c>
      <c r="U35" s="676">
        <f t="shared" si="11"/>
        <v>100</v>
      </c>
      <c r="V35" s="675" t="s">
        <v>17</v>
      </c>
      <c r="W35" s="676">
        <f t="shared" si="12"/>
        <v>100</v>
      </c>
      <c r="X35" s="1409"/>
      <c r="Y35" s="3359"/>
      <c r="Z35" s="1408">
        <f t="shared" si="13"/>
        <v>111</v>
      </c>
      <c r="AA35" s="1408">
        <f t="shared" si="3"/>
        <v>1</v>
      </c>
      <c r="AB35" s="1408">
        <f t="shared" si="4"/>
        <v>1</v>
      </c>
      <c r="AC35" s="1408">
        <f t="shared" si="5"/>
        <v>1</v>
      </c>
    </row>
    <row r="36" spans="1:29" ht="15">
      <c r="A36" s="603"/>
      <c r="B36" s="1194">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68"/>
      <c r="M36" s="2663"/>
      <c r="N36" s="2663"/>
      <c r="O36" s="2718"/>
      <c r="P36" s="3456" t="s">
        <v>2319</v>
      </c>
      <c r="Q36" s="1407">
        <f t="shared" si="8"/>
        <v>111</v>
      </c>
      <c r="R36" s="675" t="s">
        <v>17</v>
      </c>
      <c r="S36" s="676">
        <f t="shared" si="10"/>
        <v>100</v>
      </c>
      <c r="T36" s="675" t="s">
        <v>17</v>
      </c>
      <c r="U36" s="676">
        <f t="shared" si="11"/>
        <v>100</v>
      </c>
      <c r="V36" s="675" t="s">
        <v>17</v>
      </c>
      <c r="W36" s="676">
        <f t="shared" si="12"/>
        <v>100</v>
      </c>
      <c r="X36" s="1409"/>
      <c r="Y36" s="3363" t="s">
        <v>2319</v>
      </c>
      <c r="Z36" s="1408">
        <f t="shared" si="13"/>
        <v>111</v>
      </c>
      <c r="AA36" s="1408">
        <f t="shared" si="3"/>
        <v>1</v>
      </c>
      <c r="AB36" s="1408">
        <f t="shared" si="4"/>
        <v>1</v>
      </c>
      <c r="AC36" s="1408">
        <f t="shared" si="5"/>
        <v>1</v>
      </c>
    </row>
    <row r="37" spans="1:29" s="416" customFormat="1" ht="15.75" thickBot="1">
      <c r="A37" s="604"/>
      <c r="B37" s="1195">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67"/>
      <c r="M37" s="2669"/>
      <c r="N37" s="2669"/>
      <c r="O37" s="2719"/>
      <c r="P37" s="3363"/>
      <c r="Q37" s="1407">
        <f t="shared" si="8"/>
        <v>111</v>
      </c>
      <c r="R37" s="677" t="s">
        <v>17</v>
      </c>
      <c r="S37" s="678">
        <f t="shared" si="10"/>
        <v>100</v>
      </c>
      <c r="T37" s="677" t="s">
        <v>17</v>
      </c>
      <c r="U37" s="678">
        <f t="shared" si="11"/>
        <v>100</v>
      </c>
      <c r="V37" s="677" t="s">
        <v>17</v>
      </c>
      <c r="W37" s="678">
        <f t="shared" si="12"/>
        <v>100</v>
      </c>
      <c r="X37" s="679"/>
      <c r="Y37" s="3363"/>
      <c r="Z37" s="680">
        <f t="shared" si="13"/>
        <v>111</v>
      </c>
      <c r="AA37" s="1408">
        <f t="shared" si="3"/>
        <v>1</v>
      </c>
      <c r="AB37" s="1408">
        <f t="shared" si="4"/>
        <v>1</v>
      </c>
      <c r="AC37" s="1408">
        <f t="shared" si="5"/>
        <v>1</v>
      </c>
    </row>
    <row r="38" spans="1:29" ht="15">
      <c r="A38" s="417" t="s">
        <v>2317</v>
      </c>
      <c r="B38" s="403" t="s">
        <v>2504</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68"/>
      <c r="M38" s="2663"/>
      <c r="N38" s="2663"/>
      <c r="O38" s="2718"/>
      <c r="P38" s="3363"/>
      <c r="Q38" s="1407" t="str">
        <f>B38</f>
        <v>宗地面积</v>
      </c>
      <c r="R38" s="675" t="s">
        <v>17</v>
      </c>
      <c r="S38" s="676" t="e">
        <f t="shared" si="10"/>
        <v>#N/A</v>
      </c>
      <c r="T38" s="675" t="s">
        <v>17</v>
      </c>
      <c r="U38" s="676" t="e">
        <f t="shared" si="11"/>
        <v>#N/A</v>
      </c>
      <c r="V38" s="675" t="s">
        <v>17</v>
      </c>
      <c r="W38" s="676" t="e">
        <f t="shared" si="12"/>
        <v>#N/A</v>
      </c>
      <c r="X38" s="1409"/>
      <c r="Y38" s="3363"/>
      <c r="Z38" s="1408" t="str">
        <f t="shared" si="13"/>
        <v>宗地面积</v>
      </c>
      <c r="AA38" s="1408" t="e">
        <f t="shared" si="3"/>
        <v>#N/A</v>
      </c>
      <c r="AB38" s="1408" t="e">
        <f t="shared" si="4"/>
        <v>#N/A</v>
      </c>
      <c r="AC38" s="1408" t="e">
        <f t="shared" si="5"/>
        <v>#N/A</v>
      </c>
    </row>
    <row r="39" spans="1:29" ht="15">
      <c r="A39" s="417"/>
      <c r="B39" s="370" t="s">
        <v>2505</v>
      </c>
      <c r="C39" s="1904"/>
      <c r="D39" s="382">
        <v>100</v>
      </c>
      <c r="E39" s="1904"/>
      <c r="F39" s="382">
        <f>SUMIF(119:119,E39,120:120)-SUMIF(119:119,C39,120:120)+100</f>
        <v>100</v>
      </c>
      <c r="G39" s="1904"/>
      <c r="H39" s="382">
        <f>SUMIF(119:119,G39,120:120)-SUMIF(119:119,C39,120:120)+100</f>
        <v>100</v>
      </c>
      <c r="I39" s="1904"/>
      <c r="J39" s="382">
        <f>SUMIF(119:119,I39,120:120)-SUMIF(119:119,C39,120:120)+100</f>
        <v>100</v>
      </c>
      <c r="K39" s="546"/>
      <c r="L39" s="2668"/>
      <c r="M39" s="2663"/>
      <c r="N39" s="2663"/>
      <c r="O39" s="2718"/>
      <c r="P39" s="3363"/>
      <c r="Q39" s="1407" t="str">
        <f t="shared" ref="Q39:Q45" si="14">B39</f>
        <v>宗地形状</v>
      </c>
      <c r="R39" s="675" t="s">
        <v>17</v>
      </c>
      <c r="S39" s="676">
        <f t="shared" si="10"/>
        <v>100</v>
      </c>
      <c r="T39" s="675" t="s">
        <v>17</v>
      </c>
      <c r="U39" s="676">
        <f t="shared" si="11"/>
        <v>100</v>
      </c>
      <c r="V39" s="675" t="s">
        <v>17</v>
      </c>
      <c r="W39" s="676">
        <f t="shared" si="12"/>
        <v>100</v>
      </c>
      <c r="X39" s="1409"/>
      <c r="Y39" s="3363"/>
      <c r="Z39" s="1408" t="str">
        <f t="shared" si="13"/>
        <v>宗地形状</v>
      </c>
      <c r="AA39" s="1408">
        <f t="shared" si="3"/>
        <v>1</v>
      </c>
      <c r="AB39" s="1408">
        <f t="shared" si="4"/>
        <v>1</v>
      </c>
      <c r="AC39" s="1408">
        <f t="shared" si="5"/>
        <v>1</v>
      </c>
    </row>
    <row r="40" spans="1:29" ht="15">
      <c r="A40" s="417"/>
      <c r="B40" s="370" t="s">
        <v>2506</v>
      </c>
      <c r="C40" s="1904"/>
      <c r="D40" s="382">
        <v>100</v>
      </c>
      <c r="E40" s="1904"/>
      <c r="F40" s="382">
        <f>SUMIF(121:121,E40,122:122)-SUMIF(121:121,C40,122:122)+100</f>
        <v>100</v>
      </c>
      <c r="G40" s="1904"/>
      <c r="H40" s="382">
        <f>SUMIF(121:121,G40,122:122)-SUMIF(121:121,C40,122:122)+100</f>
        <v>100</v>
      </c>
      <c r="I40" s="1904"/>
      <c r="J40" s="382">
        <f>SUMIF(121:121,I40,122:122)-SUMIF(121:121,C40,122:122)+100</f>
        <v>100</v>
      </c>
      <c r="K40" s="546"/>
      <c r="L40" s="2668"/>
      <c r="M40" s="2663"/>
      <c r="N40" s="2663"/>
      <c r="O40" s="2718"/>
      <c r="P40" s="3363"/>
      <c r="Q40" s="1407" t="str">
        <f t="shared" si="14"/>
        <v>临街宽度及深度</v>
      </c>
      <c r="R40" s="675" t="s">
        <v>17</v>
      </c>
      <c r="S40" s="676">
        <f t="shared" si="10"/>
        <v>100</v>
      </c>
      <c r="T40" s="675" t="s">
        <v>17</v>
      </c>
      <c r="U40" s="676">
        <f t="shared" si="11"/>
        <v>100</v>
      </c>
      <c r="V40" s="675" t="s">
        <v>17</v>
      </c>
      <c r="W40" s="676">
        <f t="shared" si="12"/>
        <v>100</v>
      </c>
      <c r="X40" s="1409"/>
      <c r="Y40" s="3363"/>
      <c r="Z40" s="1408" t="str">
        <f t="shared" si="13"/>
        <v>临街宽度及深度</v>
      </c>
      <c r="AA40" s="1408">
        <f t="shared" si="3"/>
        <v>1</v>
      </c>
      <c r="AB40" s="1408">
        <f t="shared" si="4"/>
        <v>1</v>
      </c>
      <c r="AC40" s="1408">
        <f t="shared" si="5"/>
        <v>1</v>
      </c>
    </row>
    <row r="41" spans="1:29" s="107" customFormat="1" ht="15">
      <c r="A41" s="418"/>
      <c r="B41" s="370" t="s">
        <v>2507</v>
      </c>
      <c r="C41" s="1970"/>
      <c r="D41" s="124">
        <v>100</v>
      </c>
      <c r="E41" s="1970"/>
      <c r="F41" s="382">
        <f>SUMIF(123:123,E41,124:124)-SUMIF(123:123,C41,124:124)+100</f>
        <v>100</v>
      </c>
      <c r="G41" s="1970"/>
      <c r="H41" s="382">
        <f>SUMIF(123:123,G41,124:124)-SUMIF(123:123,C41,124:124)+100</f>
        <v>100</v>
      </c>
      <c r="I41" s="1970"/>
      <c r="J41" s="382">
        <f>SUMIF(123:123,I41,124:124)-SUMIF(123:123,C41,124:124)+100</f>
        <v>100</v>
      </c>
      <c r="K41" s="546"/>
      <c r="L41" s="2664"/>
      <c r="M41" s="2613"/>
      <c r="N41" s="2613"/>
      <c r="O41" s="2716"/>
      <c r="P41" s="3363"/>
      <c r="Q41" s="1407" t="str">
        <f t="shared" si="14"/>
        <v>宗地开发程度</v>
      </c>
      <c r="R41" s="672" t="s">
        <v>17</v>
      </c>
      <c r="S41" s="673">
        <f t="shared" si="10"/>
        <v>100</v>
      </c>
      <c r="T41" s="672" t="s">
        <v>17</v>
      </c>
      <c r="U41" s="673">
        <f t="shared" si="11"/>
        <v>100</v>
      </c>
      <c r="V41" s="672" t="s">
        <v>17</v>
      </c>
      <c r="W41" s="673">
        <f t="shared" si="12"/>
        <v>100</v>
      </c>
      <c r="X41" s="674"/>
      <c r="Y41" s="3363"/>
      <c r="Z41" s="53" t="str">
        <f t="shared" si="13"/>
        <v>宗地开发程度</v>
      </c>
      <c r="AA41" s="53">
        <f t="shared" si="3"/>
        <v>1</v>
      </c>
      <c r="AB41" s="53">
        <f t="shared" si="4"/>
        <v>1</v>
      </c>
      <c r="AC41" s="53">
        <f t="shared" si="5"/>
        <v>1</v>
      </c>
    </row>
    <row r="42" spans="1:29" ht="15">
      <c r="A42" s="417"/>
      <c r="B42" s="370" t="s">
        <v>2508</v>
      </c>
      <c r="C42" s="1904"/>
      <c r="D42" s="382">
        <v>100</v>
      </c>
      <c r="E42" s="1904"/>
      <c r="F42" s="382">
        <f>SUMIF(125:125,E42,126:126)-SUMIF(125:125,C42,126:126)+100</f>
        <v>100</v>
      </c>
      <c r="G42" s="1904"/>
      <c r="H42" s="382">
        <f>SUMIF(125:125,G42,126:126)-SUMIF(125:125,C42,126:126)+100</f>
        <v>100</v>
      </c>
      <c r="I42" s="1904"/>
      <c r="J42" s="382">
        <f>SUMIF(125:125,I42,126:126)-SUMIF(125:125,C42,126:126)+100</f>
        <v>100</v>
      </c>
      <c r="K42" s="546"/>
      <c r="L42" s="2668"/>
      <c r="M42" s="2663"/>
      <c r="N42" s="2663"/>
      <c r="O42" s="2718"/>
      <c r="P42" s="3363" t="s">
        <v>2319</v>
      </c>
      <c r="Q42" s="1407" t="str">
        <f t="shared" si="14"/>
        <v>工程地质条件</v>
      </c>
      <c r="R42" s="675" t="s">
        <v>17</v>
      </c>
      <c r="S42" s="676">
        <f t="shared" si="10"/>
        <v>100</v>
      </c>
      <c r="T42" s="675" t="s">
        <v>17</v>
      </c>
      <c r="U42" s="676">
        <f t="shared" si="11"/>
        <v>100</v>
      </c>
      <c r="V42" s="675" t="s">
        <v>17</v>
      </c>
      <c r="W42" s="676">
        <f t="shared" si="12"/>
        <v>100</v>
      </c>
      <c r="X42" s="1409"/>
      <c r="Y42" s="3363" t="s">
        <v>2319</v>
      </c>
      <c r="Z42" s="1408" t="str">
        <f t="shared" si="13"/>
        <v>工程地质条件</v>
      </c>
      <c r="AA42" s="1408">
        <f t="shared" si="3"/>
        <v>1</v>
      </c>
      <c r="AB42" s="1408">
        <f t="shared" si="4"/>
        <v>1</v>
      </c>
      <c r="AC42" s="1408">
        <f t="shared" si="5"/>
        <v>1</v>
      </c>
    </row>
    <row r="43" spans="1:29" ht="15">
      <c r="A43" s="417"/>
      <c r="B43" s="1194">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68"/>
      <c r="M43" s="2663"/>
      <c r="N43" s="2663"/>
      <c r="O43" s="2718"/>
      <c r="P43" s="3363"/>
      <c r="Q43" s="1407">
        <f t="shared" si="14"/>
        <v>111</v>
      </c>
      <c r="R43" s="675" t="s">
        <v>17</v>
      </c>
      <c r="S43" s="676">
        <f t="shared" si="10"/>
        <v>100</v>
      </c>
      <c r="T43" s="675" t="s">
        <v>17</v>
      </c>
      <c r="U43" s="676">
        <f t="shared" si="11"/>
        <v>100</v>
      </c>
      <c r="V43" s="675" t="s">
        <v>17</v>
      </c>
      <c r="W43" s="676">
        <f t="shared" si="12"/>
        <v>100</v>
      </c>
      <c r="X43" s="1409"/>
      <c r="Y43" s="3363"/>
      <c r="Z43" s="1408">
        <f t="shared" si="13"/>
        <v>111</v>
      </c>
      <c r="AA43" s="1408">
        <f t="shared" si="3"/>
        <v>1</v>
      </c>
      <c r="AB43" s="1408">
        <f t="shared" si="4"/>
        <v>1</v>
      </c>
      <c r="AC43" s="1408">
        <f t="shared" si="5"/>
        <v>1</v>
      </c>
    </row>
    <row r="44" spans="1:29" ht="15">
      <c r="A44" s="417"/>
      <c r="B44" s="1194">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68"/>
      <c r="M44" s="2663"/>
      <c r="N44" s="2663"/>
      <c r="O44" s="2718"/>
      <c r="P44" s="3363"/>
      <c r="Q44" s="1407">
        <f t="shared" si="14"/>
        <v>111</v>
      </c>
      <c r="R44" s="675" t="s">
        <v>17</v>
      </c>
      <c r="S44" s="676">
        <f t="shared" si="10"/>
        <v>100</v>
      </c>
      <c r="T44" s="675" t="s">
        <v>17</v>
      </c>
      <c r="U44" s="676">
        <f t="shared" si="11"/>
        <v>100</v>
      </c>
      <c r="V44" s="675" t="s">
        <v>17</v>
      </c>
      <c r="W44" s="676">
        <f t="shared" si="12"/>
        <v>100</v>
      </c>
      <c r="X44" s="1409"/>
      <c r="Y44" s="3363"/>
      <c r="Z44" s="1408">
        <f t="shared" si="13"/>
        <v>111</v>
      </c>
      <c r="AA44" s="1408">
        <f t="shared" si="3"/>
        <v>1</v>
      </c>
      <c r="AB44" s="1408">
        <f t="shared" si="4"/>
        <v>1</v>
      </c>
      <c r="AC44" s="1408">
        <f t="shared" si="5"/>
        <v>1</v>
      </c>
    </row>
    <row r="45" spans="1:29" s="416" customFormat="1" ht="15.75" thickBot="1">
      <c r="A45" s="414"/>
      <c r="B45" s="1194">
        <v>111</v>
      </c>
      <c r="C45" s="1971"/>
      <c r="D45" s="608">
        <v>100</v>
      </c>
      <c r="E45" s="602"/>
      <c r="F45" s="385">
        <f>SUMIF(131:131,E45,132:132)-SUMIF(131:131,C45,132:132)+100</f>
        <v>100</v>
      </c>
      <c r="G45" s="602"/>
      <c r="H45" s="385">
        <f>SUMIF(131:131,G45,132:132)-SUMIF(131:131,C45,132:132)+100</f>
        <v>100</v>
      </c>
      <c r="I45" s="602"/>
      <c r="J45" s="385">
        <f>SUMIF(131:131,I45,132:132)-SUMIF(131:131,C45,132:132)+100</f>
        <v>100</v>
      </c>
      <c r="K45" s="609"/>
      <c r="L45" s="2667"/>
      <c r="M45" s="2669"/>
      <c r="N45" s="2669"/>
      <c r="O45" s="2719"/>
      <c r="P45" s="3363"/>
      <c r="Q45" s="1407">
        <f t="shared" si="14"/>
        <v>111</v>
      </c>
      <c r="R45" s="677" t="s">
        <v>17</v>
      </c>
      <c r="S45" s="678">
        <f t="shared" si="10"/>
        <v>100</v>
      </c>
      <c r="T45" s="677" t="s">
        <v>17</v>
      </c>
      <c r="U45" s="678">
        <f t="shared" si="11"/>
        <v>100</v>
      </c>
      <c r="V45" s="677" t="s">
        <v>17</v>
      </c>
      <c r="W45" s="678">
        <f t="shared" si="12"/>
        <v>100</v>
      </c>
      <c r="X45" s="679"/>
      <c r="Y45" s="3363"/>
      <c r="Z45" s="680">
        <f t="shared" si="13"/>
        <v>111</v>
      </c>
      <c r="AA45" s="1408">
        <f t="shared" si="3"/>
        <v>1</v>
      </c>
      <c r="AB45" s="1408">
        <f t="shared" si="4"/>
        <v>1</v>
      </c>
      <c r="AC45" s="1408">
        <f t="shared" si="5"/>
        <v>1</v>
      </c>
    </row>
    <row r="46" spans="1:29" ht="15">
      <c r="A46" s="424" t="s">
        <v>2473</v>
      </c>
      <c r="B46" s="1972" t="s">
        <v>2509</v>
      </c>
      <c r="C46" s="610" t="s">
        <v>1</v>
      </c>
      <c r="D46" s="426"/>
      <c r="E46" s="427"/>
      <c r="F46" s="428"/>
      <c r="G46" s="429"/>
      <c r="H46" s="430"/>
      <c r="I46" s="427"/>
      <c r="J46" s="430"/>
      <c r="K46" s="682"/>
      <c r="L46" s="2670"/>
      <c r="M46" s="2663"/>
      <c r="N46" s="2663"/>
      <c r="O46" s="2663"/>
      <c r="P46" s="3351" t="str">
        <f>A46</f>
        <v>成交单价</v>
      </c>
      <c r="Q46" s="3351"/>
      <c r="R46" s="3352">
        <f>E46</f>
        <v>0</v>
      </c>
      <c r="S46" s="3352"/>
      <c r="T46" s="3352">
        <f>G46</f>
        <v>0</v>
      </c>
      <c r="U46" s="3352"/>
      <c r="V46" s="3352">
        <f>I46</f>
        <v>0</v>
      </c>
      <c r="W46" s="3352"/>
      <c r="X46" s="393"/>
      <c r="Y46" s="681"/>
      <c r="Z46" s="393"/>
      <c r="AA46" s="393"/>
      <c r="AB46" s="393"/>
      <c r="AC46" s="393"/>
    </row>
    <row r="47" spans="1:29" ht="15.75" thickBot="1">
      <c r="A47" s="431" t="s">
        <v>2422</v>
      </c>
      <c r="B47" s="611"/>
      <c r="C47" s="434" t="e">
        <f>R48</f>
        <v>#DIV/0!</v>
      </c>
      <c r="D47" s="2312" t="s">
        <v>2807</v>
      </c>
      <c r="E47" s="434" t="e">
        <f>R47</f>
        <v>#DIV/0!</v>
      </c>
      <c r="F47" s="2313"/>
      <c r="G47" s="433" t="e">
        <f>T47</f>
        <v>#DIV/0!</v>
      </c>
      <c r="H47" s="2313"/>
      <c r="I47" s="434" t="e">
        <f>V47</f>
        <v>#DIV/0!</v>
      </c>
      <c r="J47" s="2313"/>
      <c r="K47" s="2315">
        <f>F47+H47+J47</f>
        <v>0</v>
      </c>
      <c r="L47" s="2670"/>
      <c r="M47" s="2663"/>
      <c r="N47" s="2663"/>
      <c r="O47" s="2663"/>
      <c r="P47" s="3351" t="str">
        <f>A47</f>
        <v>比较价值（元/平方米）</v>
      </c>
      <c r="Q47" s="3351"/>
      <c r="R47" s="3458" t="e">
        <f>ROUND(PRODUCT(R46,AA7:AA45),0)</f>
        <v>#DIV/0!</v>
      </c>
      <c r="S47" s="3458"/>
      <c r="T47" s="3458" t="e">
        <f>ROUND(PRODUCT(T46,AB7:AB45),0)</f>
        <v>#DIV/0!</v>
      </c>
      <c r="U47" s="3458"/>
      <c r="V47" s="3458" t="e">
        <f>ROUND(PRODUCT(V46,AC7:AC45),0)</f>
        <v>#DIV/0!</v>
      </c>
      <c r="W47" s="3458"/>
      <c r="X47" s="393"/>
      <c r="Y47" s="393"/>
      <c r="Z47" s="393"/>
      <c r="AA47" s="393"/>
      <c r="AB47" s="393"/>
      <c r="AC47" s="393"/>
    </row>
    <row r="48" spans="1:29" ht="15.75" thickBot="1">
      <c r="A48" s="435" t="s">
        <v>2510</v>
      </c>
      <c r="B48" s="436"/>
      <c r="C48" s="437" t="e">
        <f>R48</f>
        <v>#DIV/0!</v>
      </c>
      <c r="D48" s="437"/>
      <c r="E48" s="437"/>
      <c r="F48" s="437"/>
      <c r="G48" s="437"/>
      <c r="H48" s="437"/>
      <c r="I48" s="437"/>
      <c r="J48" s="437"/>
      <c r="K48" s="683"/>
      <c r="L48" s="2670"/>
      <c r="M48" s="2663"/>
      <c r="N48" s="2663"/>
      <c r="O48" s="2663"/>
      <c r="P48" s="3444" t="str">
        <f>A48</f>
        <v>估价对象XX用房的比较价值（楼面单价，元/平方米）</v>
      </c>
      <c r="Q48" s="3445"/>
      <c r="R48" s="3459" t="e">
        <f>ROUND(IF(D47="简单平均",AVERAGE(R47:W47),R47*F47+T47*H47+V47*J47),0)</f>
        <v>#DIV/0!</v>
      </c>
      <c r="S48" s="3459"/>
      <c r="T48" s="3459"/>
      <c r="U48" s="3459"/>
      <c r="V48" s="3459"/>
      <c r="W48" s="3459"/>
      <c r="X48" s="393"/>
      <c r="Y48" s="393"/>
      <c r="Z48" s="393"/>
      <c r="AA48" s="393"/>
      <c r="AB48" s="393"/>
      <c r="AC48" s="393"/>
    </row>
    <row r="49" spans="1:29">
      <c r="A49" s="2663"/>
      <c r="B49" s="2663"/>
      <c r="C49" s="2663"/>
      <c r="D49" s="2663"/>
      <c r="E49" s="2663"/>
      <c r="F49" s="2663"/>
      <c r="G49" s="2674"/>
      <c r="H49" s="2663"/>
      <c r="I49" s="2663"/>
      <c r="J49" s="2663"/>
      <c r="K49" s="2675"/>
      <c r="L49" s="2671"/>
      <c r="M49" s="2663"/>
      <c r="N49" s="2663"/>
      <c r="O49" s="2663"/>
      <c r="P49" s="2663"/>
      <c r="Q49" s="2663"/>
      <c r="R49" s="2663"/>
      <c r="S49" s="2663"/>
      <c r="T49" s="2663"/>
      <c r="U49" s="2663"/>
      <c r="V49" s="2663"/>
      <c r="W49" s="2663"/>
      <c r="X49" s="2663"/>
      <c r="Y49" s="2663"/>
      <c r="Z49" s="2663"/>
      <c r="AA49" s="2663"/>
      <c r="AB49" s="2663"/>
      <c r="AC49" s="2663"/>
    </row>
    <row r="50" spans="1:29">
      <c r="A50" s="2663"/>
      <c r="B50" s="2663"/>
      <c r="C50" s="2663"/>
      <c r="D50" s="2663"/>
      <c r="E50" s="2663"/>
      <c r="F50" s="2663"/>
      <c r="G50" s="2663"/>
      <c r="H50" s="2663"/>
      <c r="I50" s="2663"/>
      <c r="J50" s="2663"/>
      <c r="K50" s="2675"/>
      <c r="L50" s="2671"/>
      <c r="M50" s="2663"/>
      <c r="N50" s="2663"/>
      <c r="O50" s="2663"/>
      <c r="P50" s="2663"/>
      <c r="Q50" s="2663"/>
      <c r="R50" s="2663"/>
      <c r="S50" s="2663"/>
      <c r="T50" s="2663"/>
      <c r="U50" s="2663"/>
      <c r="V50" s="2663"/>
      <c r="W50" s="2663"/>
      <c r="X50" s="2663"/>
      <c r="Y50" s="2663"/>
      <c r="Z50" s="2663"/>
      <c r="AA50" s="2663"/>
      <c r="AB50" s="2663"/>
      <c r="AC50" s="2663"/>
    </row>
    <row r="51" spans="1:29" ht="13.5" customHeight="1">
      <c r="A51" s="2663"/>
      <c r="B51" s="2663"/>
      <c r="C51" s="440" t="s">
        <v>2424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75"/>
      <c r="L51" s="2671"/>
      <c r="M51" s="2663"/>
      <c r="N51" s="2663"/>
      <c r="O51" s="2663"/>
      <c r="P51" s="2663"/>
      <c r="Q51" s="2663"/>
      <c r="R51" s="2663"/>
      <c r="S51" s="2663"/>
      <c r="T51" s="2663"/>
      <c r="U51" s="2663"/>
      <c r="V51" s="2663"/>
      <c r="W51" s="2663"/>
      <c r="X51" s="2663"/>
      <c r="Y51" s="2663"/>
      <c r="Z51" s="2663"/>
      <c r="AA51" s="2663"/>
      <c r="AB51" s="2663"/>
      <c r="AC51" s="2663"/>
    </row>
    <row r="52" spans="1:29" ht="13.5" customHeight="1">
      <c r="A52" s="2663"/>
      <c r="B52" s="2663"/>
      <c r="C52" s="440" t="s">
        <v>2425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75"/>
      <c r="L52" s="2671"/>
      <c r="M52" s="2663"/>
      <c r="N52" s="2663"/>
      <c r="O52" s="2663"/>
      <c r="P52" s="2663"/>
      <c r="Q52" s="2663"/>
      <c r="R52" s="2663"/>
      <c r="S52" s="2663"/>
      <c r="T52" s="2663"/>
      <c r="U52" s="2663"/>
      <c r="V52" s="2663"/>
      <c r="W52" s="2663"/>
      <c r="X52" s="2663"/>
      <c r="Y52" s="2663"/>
      <c r="Z52" s="2663"/>
      <c r="AA52" s="2663"/>
      <c r="AB52" s="2663"/>
      <c r="AC52" s="2663"/>
    </row>
    <row r="53" spans="1:29" s="445" customFormat="1" ht="13.5" customHeight="1">
      <c r="A53" s="2673"/>
      <c r="B53" s="2673"/>
      <c r="C53" s="440" t="s">
        <v>2426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78"/>
      <c r="L53" s="2672"/>
      <c r="M53" s="2673"/>
      <c r="N53" s="2673"/>
      <c r="O53" s="2673"/>
      <c r="P53" s="2673"/>
      <c r="Q53" s="2673"/>
      <c r="R53" s="2673"/>
      <c r="S53" s="2673"/>
      <c r="T53" s="2673"/>
      <c r="U53" s="2673"/>
      <c r="V53" s="2673"/>
      <c r="W53" s="2673"/>
      <c r="X53" s="2673"/>
      <c r="Y53" s="2673"/>
      <c r="Z53" s="2673"/>
      <c r="AA53" s="2673"/>
      <c r="AB53" s="2673"/>
      <c r="AC53" s="2673"/>
    </row>
    <row r="54" spans="1:29" s="445" customFormat="1" ht="15" thickBot="1">
      <c r="A54" s="2673"/>
      <c r="B54" s="2676"/>
      <c r="C54" s="665"/>
      <c r="D54" s="663"/>
      <c r="E54" s="663"/>
      <c r="F54" s="663"/>
      <c r="G54" s="663"/>
      <c r="H54" s="663"/>
      <c r="I54" s="663"/>
      <c r="J54" s="663"/>
      <c r="K54" s="2678"/>
      <c r="L54" s="2672"/>
      <c r="M54" s="2673"/>
      <c r="N54" s="2673"/>
      <c r="O54" s="2673"/>
      <c r="P54" s="2673"/>
      <c r="Q54" s="2673"/>
      <c r="R54" s="2673"/>
      <c r="S54" s="2673"/>
      <c r="T54" s="2673"/>
      <c r="U54" s="2673"/>
      <c r="V54" s="2673"/>
      <c r="W54" s="2673"/>
      <c r="X54" s="2673"/>
      <c r="Y54" s="2673"/>
      <c r="Z54" s="2673"/>
      <c r="AA54" s="2673"/>
      <c r="AB54" s="2673"/>
      <c r="AC54" s="2673"/>
    </row>
    <row r="55" spans="1:29" ht="27" customHeight="1">
      <c r="A55" s="612" t="s">
        <v>2511</v>
      </c>
      <c r="B55" s="613" t="s">
        <v>2512</v>
      </c>
      <c r="C55" s="1973" t="s">
        <v>2513</v>
      </c>
      <c r="D55" s="1974" t="s">
        <v>2514</v>
      </c>
      <c r="E55" s="614" t="s">
        <v>2515</v>
      </c>
      <c r="F55" s="961" t="s">
        <v>2516</v>
      </c>
      <c r="G55" s="3368" t="s">
        <v>2517</v>
      </c>
      <c r="H55" s="3460"/>
      <c r="I55" s="132" t="s">
        <v>2518</v>
      </c>
      <c r="J55" s="1975">
        <f>项目基本情况!F35</f>
        <v>0</v>
      </c>
      <c r="K55" s="1976" t="s">
        <v>2519</v>
      </c>
      <c r="L55" s="2671"/>
      <c r="M55" s="2663"/>
      <c r="N55" s="2663"/>
      <c r="O55" s="2663"/>
      <c r="P55" s="2663"/>
      <c r="Q55" s="2663"/>
      <c r="R55" s="2663"/>
      <c r="S55" s="2663"/>
      <c r="T55" s="2663"/>
      <c r="U55" s="2663"/>
      <c r="V55" s="2663"/>
      <c r="W55" s="2663"/>
      <c r="X55" s="2663"/>
      <c r="Y55" s="2663"/>
      <c r="Z55" s="2663"/>
      <c r="AA55" s="2663"/>
      <c r="AB55" s="2663"/>
      <c r="AC55" s="2663"/>
    </row>
    <row r="56" spans="1:29" s="620" customFormat="1">
      <c r="A56" s="616" t="s">
        <v>2520</v>
      </c>
      <c r="B56" s="617" t="e">
        <f>C48</f>
        <v>#DIV/0!</v>
      </c>
      <c r="C56" s="618">
        <v>1</v>
      </c>
      <c r="D56" s="1013">
        <v>1</v>
      </c>
      <c r="E56" s="618">
        <f>'数据-汇总表'!E8+'数据-汇总表'!E9</f>
        <v>69.52</v>
      </c>
      <c r="F56" s="957" t="e">
        <f t="shared" ref="F56:F65" si="15">ROUND(B56*E56/10000,0)</f>
        <v>#DIV/0!</v>
      </c>
      <c r="G56" s="3350"/>
      <c r="H56" s="3351"/>
      <c r="I56" s="962">
        <v>1</v>
      </c>
      <c r="J56" s="965">
        <v>1</v>
      </c>
      <c r="K56" s="2673"/>
      <c r="L56" s="2722"/>
      <c r="M56" s="2722"/>
      <c r="N56" s="2722"/>
      <c r="O56" s="2722"/>
      <c r="P56" s="2722"/>
      <c r="Q56" s="2722"/>
      <c r="R56" s="2722"/>
      <c r="S56" s="2722"/>
      <c r="T56" s="2722"/>
      <c r="U56" s="2722"/>
      <c r="V56" s="2722"/>
      <c r="W56" s="2722"/>
      <c r="X56" s="2722"/>
      <c r="Y56" s="2722"/>
      <c r="Z56" s="2722"/>
      <c r="AA56" s="2722"/>
      <c r="AB56" s="2722"/>
      <c r="AC56" s="2722"/>
    </row>
    <row r="57" spans="1:29" s="620" customFormat="1">
      <c r="A57" s="621" t="s">
        <v>2521</v>
      </c>
      <c r="B57" s="216" t="e">
        <f>ROUND($C$48*C57*D57,0)</f>
        <v>#DIV/0!</v>
      </c>
      <c r="C57" s="168">
        <f t="shared" ref="C57:C65" si="16">IF($C$55="北京市系数",I57,J57)</f>
        <v>0</v>
      </c>
      <c r="D57" s="1014">
        <v>0.25</v>
      </c>
      <c r="E57" s="622"/>
      <c r="F57" s="957" t="e">
        <f t="shared" si="15"/>
        <v>#DIV/0!</v>
      </c>
      <c r="G57" s="3461" t="s">
        <v>2522</v>
      </c>
      <c r="H57" s="958">
        <f>项目基本情况!B37</f>
        <v>0</v>
      </c>
      <c r="I57" s="962">
        <f>SUMIF(修正!A45:A56,H57,修正!B45:B56)</f>
        <v>0</v>
      </c>
      <c r="J57" s="966"/>
      <c r="K57" s="2663"/>
      <c r="L57" s="2722"/>
      <c r="M57" s="2722"/>
      <c r="N57" s="2722"/>
      <c r="O57" s="2722"/>
      <c r="P57" s="2722"/>
      <c r="Q57" s="2722"/>
      <c r="R57" s="2722"/>
      <c r="S57" s="2722"/>
      <c r="T57" s="2722"/>
      <c r="U57" s="2722"/>
      <c r="V57" s="2722"/>
      <c r="W57" s="2722"/>
      <c r="X57" s="2722"/>
      <c r="Y57" s="2722"/>
      <c r="Z57" s="2722"/>
      <c r="AA57" s="2722"/>
      <c r="AB57" s="2722"/>
      <c r="AC57" s="2722"/>
    </row>
    <row r="58" spans="1:29" s="620" customFormat="1">
      <c r="A58" s="621" t="s">
        <v>2523</v>
      </c>
      <c r="B58" s="216" t="e">
        <f t="shared" ref="B58:B65" si="17">ROUND($C$48*C58*D58,0)</f>
        <v>#DIV/0!</v>
      </c>
      <c r="C58" s="168">
        <f t="shared" si="16"/>
        <v>0</v>
      </c>
      <c r="D58" s="1014">
        <v>0.25</v>
      </c>
      <c r="E58" s="622"/>
      <c r="F58" s="957" t="e">
        <f t="shared" si="15"/>
        <v>#DIV/0!</v>
      </c>
      <c r="G58" s="3461"/>
      <c r="H58" s="958">
        <f>项目基本情况!B37</f>
        <v>0</v>
      </c>
      <c r="I58" s="962">
        <f>SUMIF(修正!A45:A56,H58,修正!C45:C56)</f>
        <v>0</v>
      </c>
      <c r="J58" s="966"/>
      <c r="K58" s="2673"/>
      <c r="L58" s="2722"/>
      <c r="M58" s="2722"/>
      <c r="N58" s="2722"/>
      <c r="O58" s="2722"/>
      <c r="P58" s="2722"/>
      <c r="Q58" s="2722"/>
      <c r="R58" s="2722"/>
      <c r="S58" s="2722"/>
      <c r="T58" s="2722"/>
      <c r="U58" s="2722"/>
      <c r="V58" s="2722"/>
      <c r="W58" s="2722"/>
      <c r="X58" s="2722"/>
      <c r="Y58" s="2722"/>
      <c r="Z58" s="2722"/>
      <c r="AA58" s="2722"/>
      <c r="AB58" s="2722"/>
      <c r="AC58" s="2722"/>
    </row>
    <row r="59" spans="1:29" s="620" customFormat="1">
      <c r="A59" s="621" t="s">
        <v>2524</v>
      </c>
      <c r="B59" s="216" t="e">
        <f t="shared" si="17"/>
        <v>#DIV/0!</v>
      </c>
      <c r="C59" s="168">
        <f t="shared" si="16"/>
        <v>0</v>
      </c>
      <c r="D59" s="1014">
        <v>0.25</v>
      </c>
      <c r="E59" s="622"/>
      <c r="F59" s="957" t="e">
        <f t="shared" si="15"/>
        <v>#DIV/0!</v>
      </c>
      <c r="G59" s="3461"/>
      <c r="H59" s="958">
        <f>项目基本情况!B37</f>
        <v>0</v>
      </c>
      <c r="I59" s="962">
        <f>SUMIF(修正!A45:A56,H59,修正!D45:D56)</f>
        <v>0</v>
      </c>
      <c r="J59" s="966"/>
      <c r="K59" s="2663"/>
      <c r="L59" s="2722"/>
      <c r="M59" s="2722"/>
      <c r="N59" s="2722"/>
      <c r="O59" s="2722"/>
      <c r="P59" s="2722"/>
      <c r="Q59" s="2722"/>
      <c r="R59" s="2722"/>
      <c r="S59" s="2722"/>
      <c r="T59" s="2722"/>
      <c r="U59" s="2722"/>
      <c r="V59" s="2722"/>
      <c r="W59" s="2722"/>
      <c r="X59" s="2722"/>
      <c r="Y59" s="2722"/>
      <c r="Z59" s="2722"/>
      <c r="AA59" s="2722"/>
      <c r="AB59" s="2722"/>
      <c r="AC59" s="2722"/>
    </row>
    <row r="60" spans="1:29" s="620" customFormat="1">
      <c r="A60" s="621" t="s">
        <v>2525</v>
      </c>
      <c r="B60" s="216" t="e">
        <f t="shared" si="17"/>
        <v>#DIV/0!</v>
      </c>
      <c r="C60" s="168">
        <f t="shared" si="16"/>
        <v>0</v>
      </c>
      <c r="D60" s="1014">
        <v>0.25</v>
      </c>
      <c r="E60" s="622"/>
      <c r="F60" s="957" t="e">
        <f t="shared" si="15"/>
        <v>#DIV/0!</v>
      </c>
      <c r="G60" s="3461"/>
      <c r="H60" s="958">
        <f>项目基本情况!B37</f>
        <v>0</v>
      </c>
      <c r="I60" s="962">
        <f>SUMIF(修正!A45:A56,H60,修正!E45:E56)</f>
        <v>0</v>
      </c>
      <c r="J60" s="966"/>
      <c r="K60" s="2673"/>
      <c r="L60" s="2722"/>
      <c r="M60" s="2722"/>
      <c r="N60" s="2722"/>
      <c r="O60" s="2722"/>
      <c r="P60" s="2722"/>
      <c r="Q60" s="2722"/>
      <c r="R60" s="2722"/>
      <c r="S60" s="2722"/>
      <c r="T60" s="2722"/>
      <c r="U60" s="2722"/>
      <c r="V60" s="2722"/>
      <c r="W60" s="2722"/>
      <c r="X60" s="2722"/>
      <c r="Y60" s="2722"/>
      <c r="Z60" s="2722"/>
      <c r="AA60" s="2722"/>
      <c r="AB60" s="2722"/>
      <c r="AC60" s="2722"/>
    </row>
    <row r="61" spans="1:29" s="620" customFormat="1">
      <c r="A61" s="621" t="s">
        <v>2526</v>
      </c>
      <c r="B61" s="216" t="e">
        <f t="shared" si="17"/>
        <v>#DIV/0!</v>
      </c>
      <c r="C61" s="168">
        <f t="shared" si="16"/>
        <v>0</v>
      </c>
      <c r="D61" s="1014">
        <v>0.25</v>
      </c>
      <c r="E61" s="215">
        <f>'数据-汇总表'!E11</f>
        <v>0</v>
      </c>
      <c r="F61" s="957" t="e">
        <f t="shared" si="15"/>
        <v>#DIV/0!</v>
      </c>
      <c r="G61" s="1977" t="s">
        <v>2527</v>
      </c>
      <c r="H61" s="958">
        <f>项目基本情况!C37</f>
        <v>0</v>
      </c>
      <c r="I61" s="962">
        <f>SUMIF(修正!A45:A56,H61,修正!F45:F56)</f>
        <v>0</v>
      </c>
      <c r="J61" s="966"/>
      <c r="K61" s="2663"/>
      <c r="L61" s="2722"/>
      <c r="M61" s="2722"/>
      <c r="N61" s="2722"/>
      <c r="O61" s="2722"/>
      <c r="P61" s="2722"/>
      <c r="Q61" s="2722"/>
      <c r="R61" s="2722"/>
      <c r="S61" s="2722"/>
      <c r="T61" s="2722"/>
      <c r="U61" s="2722"/>
      <c r="V61" s="2722"/>
      <c r="W61" s="2722"/>
      <c r="X61" s="2722"/>
      <c r="Y61" s="2722"/>
      <c r="Z61" s="2722"/>
      <c r="AA61" s="2722"/>
      <c r="AB61" s="2722"/>
      <c r="AC61" s="2722"/>
    </row>
    <row r="62" spans="1:29" s="620" customFormat="1">
      <c r="A62" s="621" t="s">
        <v>2528</v>
      </c>
      <c r="B62" s="216" t="e">
        <f t="shared" si="17"/>
        <v>#DIV/0!</v>
      </c>
      <c r="C62" s="168">
        <f t="shared" si="16"/>
        <v>0</v>
      </c>
      <c r="D62" s="1014">
        <v>0.25</v>
      </c>
      <c r="E62" s="215">
        <f>'数据-汇总表'!E12</f>
        <v>0</v>
      </c>
      <c r="F62" s="957" t="e">
        <f t="shared" si="15"/>
        <v>#DIV/0!</v>
      </c>
      <c r="G62" s="963" t="s">
        <v>2529</v>
      </c>
      <c r="H62" s="958">
        <f>IF(G62="商业",项目基本情况!B37,IF(G62="办公",项目基本情况!C37,IF(G62="住宅",项目基本情况!D37,项目基本情况!E37)))</f>
        <v>0</v>
      </c>
      <c r="I62" s="962">
        <f>SUMIF(修正!A45:A56,H62,修正!G45:G56)</f>
        <v>0</v>
      </c>
      <c r="J62" s="966"/>
      <c r="K62" s="2673"/>
      <c r="L62" s="2722"/>
      <c r="M62" s="2722"/>
      <c r="N62" s="2722"/>
      <c r="O62" s="2722"/>
      <c r="P62" s="2722"/>
      <c r="Q62" s="2722"/>
      <c r="R62" s="2722"/>
      <c r="S62" s="2722"/>
      <c r="T62" s="2722"/>
      <c r="U62" s="2722"/>
      <c r="V62" s="2722"/>
      <c r="W62" s="2722"/>
      <c r="X62" s="2722"/>
      <c r="Y62" s="2722"/>
      <c r="Z62" s="2722"/>
      <c r="AA62" s="2722"/>
      <c r="AB62" s="2722"/>
      <c r="AC62" s="2722"/>
    </row>
    <row r="63" spans="1:29" s="620" customFormat="1">
      <c r="A63" s="621" t="s">
        <v>2530</v>
      </c>
      <c r="B63" s="216" t="e">
        <f t="shared" si="17"/>
        <v>#DIV/0!</v>
      </c>
      <c r="C63" s="168">
        <f t="shared" si="16"/>
        <v>0.2</v>
      </c>
      <c r="D63" s="1014">
        <v>0.25</v>
      </c>
      <c r="E63" s="215">
        <f>'数据-汇总表'!E13</f>
        <v>0</v>
      </c>
      <c r="F63" s="957" t="e">
        <f t="shared" si="15"/>
        <v>#DIV/0!</v>
      </c>
      <c r="G63" s="963" t="s">
        <v>2531</v>
      </c>
      <c r="H63" s="958" t="str">
        <f>IF(G63="商业",项目基本情况!B37,IF(G63="办公",项目基本情况!C37,IF(G63="住宅",项目基本情况!D37,项目基本情况!E37)))</f>
        <v>六级</v>
      </c>
      <c r="I63" s="962">
        <f>SUMIF(修正!A45:A56,H63,修正!H45:H56)</f>
        <v>0.2</v>
      </c>
      <c r="J63" s="966"/>
      <c r="K63" s="2663"/>
      <c r="L63" s="2722"/>
      <c r="M63" s="2722"/>
      <c r="N63" s="2722"/>
      <c r="O63" s="2722"/>
      <c r="P63" s="2722"/>
      <c r="Q63" s="2722"/>
      <c r="R63" s="2722"/>
      <c r="S63" s="2722"/>
      <c r="T63" s="2722"/>
      <c r="U63" s="2722"/>
      <c r="V63" s="2722"/>
      <c r="W63" s="2722"/>
      <c r="X63" s="2722"/>
      <c r="Y63" s="2722"/>
      <c r="Z63" s="2722"/>
      <c r="AA63" s="2722"/>
      <c r="AB63" s="2722"/>
      <c r="AC63" s="2722"/>
    </row>
    <row r="64" spans="1:29" s="620" customFormat="1">
      <c r="A64" s="621" t="s">
        <v>2532</v>
      </c>
      <c r="B64" s="216" t="e">
        <f t="shared" si="17"/>
        <v>#DIV/0!</v>
      </c>
      <c r="C64" s="168">
        <f t="shared" si="16"/>
        <v>0</v>
      </c>
      <c r="D64" s="1014">
        <v>0.25</v>
      </c>
      <c r="E64" s="215">
        <f>'数据-汇总表'!E14</f>
        <v>0</v>
      </c>
      <c r="F64" s="957" t="e">
        <f t="shared" si="15"/>
        <v>#DIV/0!</v>
      </c>
      <c r="G64" s="1977" t="s">
        <v>2522</v>
      </c>
      <c r="H64" s="958">
        <f>项目基本情况!B37</f>
        <v>0</v>
      </c>
      <c r="I64" s="962">
        <f>SUMIF(修正!A45:A56,H64,修正!H45:H56)</f>
        <v>0</v>
      </c>
      <c r="J64" s="966"/>
      <c r="K64" s="2673"/>
      <c r="L64" s="2722"/>
      <c r="M64" s="2722"/>
      <c r="N64" s="2722"/>
      <c r="O64" s="2722"/>
      <c r="P64" s="2722"/>
      <c r="Q64" s="2722"/>
      <c r="R64" s="2722"/>
      <c r="S64" s="2722"/>
      <c r="T64" s="2722"/>
      <c r="U64" s="2722"/>
      <c r="V64" s="2722"/>
      <c r="W64" s="2722"/>
      <c r="X64" s="2722"/>
      <c r="Y64" s="2722"/>
      <c r="Z64" s="2722"/>
      <c r="AA64" s="2722"/>
      <c r="AB64" s="2722"/>
      <c r="AC64" s="2722"/>
    </row>
    <row r="65" spans="1:29" s="620" customFormat="1" ht="15" thickBot="1">
      <c r="A65" s="621" t="s">
        <v>2533</v>
      </c>
      <c r="B65" s="216" t="e">
        <f t="shared" si="17"/>
        <v>#DIV/0!</v>
      </c>
      <c r="C65" s="168">
        <f t="shared" si="16"/>
        <v>0</v>
      </c>
      <c r="D65" s="1014">
        <v>0.25</v>
      </c>
      <c r="E65" s="215">
        <f>'数据-汇总表'!E15</f>
        <v>0</v>
      </c>
      <c r="F65" s="957" t="e">
        <f t="shared" si="15"/>
        <v>#DIV/0!</v>
      </c>
      <c r="G65" s="1978" t="s">
        <v>2527</v>
      </c>
      <c r="H65" s="968">
        <f>项目基本情况!C37</f>
        <v>0</v>
      </c>
      <c r="I65" s="964">
        <f>SUMIF(修正!A45:A56,H65,修正!H45:H56)</f>
        <v>0</v>
      </c>
      <c r="J65" s="967"/>
      <c r="K65" s="2663"/>
      <c r="L65" s="2722"/>
      <c r="M65" s="2722"/>
      <c r="N65" s="2722"/>
      <c r="O65" s="2722"/>
      <c r="P65" s="2722"/>
      <c r="Q65" s="2722"/>
      <c r="R65" s="2722"/>
      <c r="S65" s="2722"/>
      <c r="T65" s="2722"/>
      <c r="U65" s="2722"/>
      <c r="V65" s="2722"/>
      <c r="W65" s="2722"/>
      <c r="X65" s="2722"/>
      <c r="Y65" s="2722"/>
      <c r="Z65" s="2722"/>
      <c r="AA65" s="2722"/>
      <c r="AB65" s="2722"/>
      <c r="AC65" s="2722"/>
    </row>
    <row r="66" spans="1:29" s="620" customFormat="1" ht="13.5" thickBot="1">
      <c r="A66" s="623" t="s">
        <v>2534</v>
      </c>
      <c r="B66" s="624" t="s">
        <v>28</v>
      </c>
      <c r="C66" s="624" t="s">
        <v>29</v>
      </c>
      <c r="D66" s="624" t="s">
        <v>997</v>
      </c>
      <c r="E66" s="624">
        <f>IF(B46="楼面地价",SUM(E56:E65),'数据-汇总表'!D3)</f>
        <v>69.52</v>
      </c>
      <c r="F66" s="625" t="e">
        <f>IF(B46="楼面地价",SUM(F56:F65),ROUND(C48*E66/10000,0))</f>
        <v>#DIV/0!</v>
      </c>
      <c r="G66" s="685"/>
      <c r="H66" s="685"/>
      <c r="I66" s="685"/>
      <c r="J66" s="685"/>
      <c r="K66" s="2723"/>
      <c r="L66" s="2722"/>
      <c r="M66" s="2722"/>
      <c r="N66" s="2722"/>
      <c r="O66" s="2722"/>
      <c r="P66" s="2722"/>
      <c r="Q66" s="2722"/>
      <c r="R66" s="2722"/>
      <c r="S66" s="2722"/>
      <c r="T66" s="2722"/>
      <c r="U66" s="2722"/>
      <c r="V66" s="2722"/>
      <c r="W66" s="2722"/>
      <c r="X66" s="2722"/>
      <c r="Y66" s="2722"/>
      <c r="Z66" s="2722"/>
      <c r="AA66" s="2722"/>
      <c r="AB66" s="2722"/>
      <c r="AC66" s="2722"/>
    </row>
    <row r="67" spans="1:29">
      <c r="A67" s="393"/>
      <c r="B67" s="664"/>
      <c r="C67" s="665"/>
      <c r="D67" s="393"/>
      <c r="E67" s="393"/>
      <c r="F67" s="393"/>
      <c r="G67" s="393"/>
      <c r="H67" s="393"/>
      <c r="I67" s="393"/>
      <c r="J67" s="984"/>
      <c r="K67" s="959"/>
      <c r="L67" s="960"/>
      <c r="M67" s="984"/>
      <c r="N67" s="984"/>
      <c r="O67" s="984"/>
      <c r="P67" s="2663"/>
      <c r="Q67" s="2663"/>
      <c r="R67" s="2663"/>
      <c r="S67" s="2663"/>
      <c r="T67" s="2663"/>
      <c r="U67" s="2663"/>
      <c r="V67" s="2663"/>
      <c r="W67" s="2663"/>
      <c r="X67" s="2663"/>
      <c r="Y67" s="2663"/>
      <c r="Z67" s="2663"/>
      <c r="AA67" s="2663"/>
      <c r="AB67" s="2663"/>
      <c r="AC67" s="2663"/>
    </row>
    <row r="68" spans="1:29">
      <c r="A68" s="393"/>
      <c r="B68" s="664"/>
      <c r="C68" s="664" t="str">
        <f>YEAR(C7)&amp;"-"&amp;MONTH(C7)&amp;"-1"</f>
        <v>2014-2-1</v>
      </c>
      <c r="D68" s="664">
        <f>EDATE(C68,-3)</f>
        <v>41579</v>
      </c>
      <c r="E68" s="664">
        <f>EDATE(D68,-3)</f>
        <v>41487</v>
      </c>
      <c r="F68" s="664">
        <f t="shared" ref="F68:O68" si="18">EDATE(E68,-3)</f>
        <v>41395</v>
      </c>
      <c r="G68" s="664">
        <f t="shared" si="18"/>
        <v>41306</v>
      </c>
      <c r="H68" s="664">
        <f t="shared" si="18"/>
        <v>41214</v>
      </c>
      <c r="I68" s="664">
        <f t="shared" si="18"/>
        <v>41122</v>
      </c>
      <c r="J68" s="664">
        <f t="shared" si="18"/>
        <v>41030</v>
      </c>
      <c r="K68" s="664">
        <f t="shared" si="18"/>
        <v>40940</v>
      </c>
      <c r="L68" s="664">
        <f t="shared" si="18"/>
        <v>40848</v>
      </c>
      <c r="M68" s="664">
        <f t="shared" si="18"/>
        <v>40756</v>
      </c>
      <c r="N68" s="664">
        <f t="shared" si="18"/>
        <v>40664</v>
      </c>
      <c r="O68" s="664">
        <f t="shared" si="18"/>
        <v>40575</v>
      </c>
      <c r="P68" s="2663"/>
      <c r="Q68" s="2663"/>
      <c r="R68" s="2663"/>
      <c r="S68" s="2663"/>
      <c r="T68" s="2663"/>
      <c r="U68" s="2663"/>
      <c r="V68" s="2663"/>
      <c r="W68" s="2663"/>
      <c r="X68" s="2663"/>
      <c r="Y68" s="2663"/>
      <c r="Z68" s="2663"/>
      <c r="AA68" s="2663"/>
      <c r="AB68" s="2663"/>
      <c r="AC68" s="2663"/>
    </row>
    <row r="69" spans="1:29" ht="21.75" thickBot="1">
      <c r="A69" s="666" t="s">
        <v>2427</v>
      </c>
      <c r="B69" s="393"/>
      <c r="C69" s="667"/>
      <c r="D69" s="667"/>
      <c r="E69" s="667"/>
      <c r="F69" s="668"/>
      <c r="G69" s="668"/>
      <c r="H69" s="667"/>
      <c r="I69" s="667"/>
      <c r="J69" s="1009"/>
      <c r="K69" s="1010"/>
      <c r="L69" s="1011"/>
      <c r="M69" s="1009"/>
      <c r="N69" s="2713"/>
      <c r="O69" s="2713"/>
      <c r="P69" s="2713"/>
      <c r="Q69" s="2684"/>
      <c r="R69" s="2663"/>
      <c r="S69" s="2663"/>
      <c r="T69" s="2663"/>
      <c r="U69" s="2663"/>
      <c r="V69" s="2663"/>
      <c r="W69" s="2663"/>
      <c r="X69" s="2663"/>
      <c r="Y69" s="2663"/>
      <c r="Z69" s="2663"/>
      <c r="AA69" s="2663"/>
      <c r="AB69" s="2663"/>
      <c r="AC69" s="2663"/>
    </row>
    <row r="70" spans="1:29" s="450" customFormat="1" ht="15">
      <c r="A70" s="1775" t="s">
        <v>2535</v>
      </c>
      <c r="B70" s="1171"/>
      <c r="C70" s="1228" t="str">
        <f>YEAR(C68)&amp;"-"&amp;ROUNDUP(MONTH(C68)/3,0)</f>
        <v>2014-1</v>
      </c>
      <c r="D70" s="1228" t="str">
        <f>YEAR(D68)&amp;"-"&amp;ROUNDUP(MONTH(D68)/3,0)</f>
        <v>2013-4</v>
      </c>
      <c r="E70" s="1228" t="str">
        <f t="shared" ref="E70:O70" si="19">YEAR(E68)&amp;"-"&amp;ROUNDUP(MONTH(E68)/3,0)</f>
        <v>2013-3</v>
      </c>
      <c r="F70" s="1228" t="str">
        <f t="shared" si="19"/>
        <v>2013-2</v>
      </c>
      <c r="G70" s="1228" t="str">
        <f t="shared" si="19"/>
        <v>2013-1</v>
      </c>
      <c r="H70" s="1228" t="str">
        <f t="shared" si="19"/>
        <v>2012-4</v>
      </c>
      <c r="I70" s="1228" t="str">
        <f t="shared" si="19"/>
        <v>2012-3</v>
      </c>
      <c r="J70" s="1228" t="str">
        <f t="shared" si="19"/>
        <v>2012-2</v>
      </c>
      <c r="K70" s="1228" t="str">
        <f t="shared" si="19"/>
        <v>2012-1</v>
      </c>
      <c r="L70" s="1228" t="str">
        <f t="shared" si="19"/>
        <v>2011-4</v>
      </c>
      <c r="M70" s="1228" t="str">
        <f t="shared" si="19"/>
        <v>2011-3</v>
      </c>
      <c r="N70" s="1228" t="str">
        <f t="shared" si="19"/>
        <v>2011-2</v>
      </c>
      <c r="O70" s="1228" t="str">
        <f t="shared" si="19"/>
        <v>2011-1</v>
      </c>
      <c r="P70" s="2686"/>
      <c r="Q70" s="2686"/>
      <c r="R70" s="2686"/>
      <c r="S70" s="2686"/>
      <c r="T70" s="2686"/>
      <c r="U70" s="2686"/>
      <c r="V70" s="2686"/>
      <c r="W70" s="2686"/>
      <c r="X70" s="2686"/>
      <c r="Y70" s="2686"/>
      <c r="Z70" s="2686"/>
      <c r="AA70" s="2686"/>
      <c r="AB70" s="2686"/>
      <c r="AC70" s="2686"/>
    </row>
    <row r="71" spans="1:29" s="107" customFormat="1" ht="30" customHeight="1">
      <c r="A71" s="1979" t="s">
        <v>2536</v>
      </c>
      <c r="B71" s="286" t="str">
        <f>"北京市平均增长率"&amp;TEXT(SUMIF(基准地价修正!N21:N25,A71,基准地价修正!P21:P25),"0.00%")</f>
        <v>北京市平均增长率3.28%</v>
      </c>
      <c r="C71" s="538">
        <v>100</v>
      </c>
      <c r="D71" s="9"/>
      <c r="E71" s="9"/>
      <c r="F71" s="9"/>
      <c r="G71" s="9"/>
      <c r="H71" s="9"/>
      <c r="I71" s="9"/>
      <c r="J71" s="9"/>
      <c r="K71" s="9"/>
      <c r="L71" s="9"/>
      <c r="M71" s="1193"/>
      <c r="N71" s="9"/>
      <c r="O71" s="1225"/>
      <c r="P71" s="2684"/>
      <c r="Q71" s="2613"/>
      <c r="R71" s="2613"/>
      <c r="S71" s="2613"/>
      <c r="T71" s="2613"/>
      <c r="U71" s="2613"/>
      <c r="V71" s="2613"/>
      <c r="W71" s="2613"/>
      <c r="X71" s="2613"/>
      <c r="Y71" s="2613"/>
      <c r="Z71" s="2613"/>
      <c r="AA71" s="2613"/>
      <c r="AB71" s="2613"/>
      <c r="AC71" s="2613"/>
    </row>
    <row r="72" spans="1:29" s="107" customFormat="1" ht="15.75" thickBot="1">
      <c r="A72" s="457" t="s">
        <v>2338</v>
      </c>
      <c r="B72" s="458"/>
      <c r="C72" s="459"/>
      <c r="D72" s="460"/>
      <c r="E72" s="460"/>
      <c r="F72" s="460"/>
      <c r="G72" s="460"/>
      <c r="H72" s="460"/>
      <c r="I72" s="460"/>
      <c r="J72" s="460"/>
      <c r="K72" s="460"/>
      <c r="L72" s="460"/>
      <c r="M72" s="461"/>
      <c r="N72" s="460"/>
      <c r="O72" s="1012"/>
      <c r="P72" s="2684"/>
      <c r="Q72" s="2684"/>
      <c r="R72" s="2613"/>
      <c r="S72" s="2613"/>
      <c r="T72" s="2613"/>
      <c r="U72" s="2613"/>
      <c r="V72" s="2613"/>
      <c r="W72" s="2613"/>
      <c r="X72" s="2613"/>
      <c r="Y72" s="2613"/>
      <c r="Z72" s="2613"/>
      <c r="AA72" s="2613"/>
      <c r="AB72" s="2613"/>
      <c r="AC72" s="2613"/>
    </row>
    <row r="73" spans="1:29" s="107" customFormat="1" ht="15">
      <c r="A73" s="463" t="s">
        <v>2304</v>
      </c>
      <c r="B73" s="452"/>
      <c r="C73" s="464" t="s">
        <v>2405</v>
      </c>
      <c r="D73" s="34"/>
      <c r="E73" s="34"/>
      <c r="F73" s="34"/>
      <c r="G73" s="34"/>
      <c r="H73" s="34"/>
      <c r="I73" s="34"/>
      <c r="J73" s="34"/>
      <c r="K73" s="34"/>
      <c r="L73" s="465"/>
      <c r="M73" s="466"/>
      <c r="N73" s="2696"/>
      <c r="O73" s="2696"/>
      <c r="P73" s="2720"/>
      <c r="Q73" s="2684"/>
      <c r="R73" s="2613"/>
      <c r="S73" s="2613"/>
      <c r="T73" s="2613"/>
      <c r="U73" s="2613"/>
      <c r="V73" s="2613"/>
      <c r="W73" s="2613"/>
      <c r="X73" s="2613"/>
      <c r="Y73" s="2613"/>
      <c r="Z73" s="2613"/>
      <c r="AA73" s="2613"/>
      <c r="AB73" s="2613"/>
      <c r="AC73" s="2613"/>
    </row>
    <row r="74" spans="1:29" s="107" customFormat="1" ht="15.75" thickBot="1">
      <c r="A74" s="463"/>
      <c r="B74" s="452"/>
      <c r="C74" s="571">
        <v>100</v>
      </c>
      <c r="D74" s="454"/>
      <c r="E74" s="454"/>
      <c r="F74" s="454"/>
      <c r="G74" s="454"/>
      <c r="H74" s="454"/>
      <c r="I74" s="454"/>
      <c r="J74" s="454"/>
      <c r="K74" s="454"/>
      <c r="L74" s="454"/>
      <c r="M74" s="456"/>
      <c r="N74" s="2696"/>
      <c r="O74" s="2696"/>
      <c r="P74" s="2684"/>
      <c r="Q74" s="2684"/>
      <c r="R74" s="2613"/>
      <c r="S74" s="2613"/>
      <c r="T74" s="2613"/>
      <c r="U74" s="2613"/>
      <c r="V74" s="2613"/>
      <c r="W74" s="2613"/>
      <c r="X74" s="2613"/>
      <c r="Y74" s="2613"/>
      <c r="Z74" s="2613"/>
      <c r="AA74" s="2613"/>
      <c r="AB74" s="2613"/>
      <c r="AC74" s="2613"/>
    </row>
    <row r="75" spans="1:29">
      <c r="A75" s="387" t="s">
        <v>2341</v>
      </c>
      <c r="B75" s="468" t="s">
        <v>2308</v>
      </c>
      <c r="C75" s="470"/>
      <c r="D75" s="470"/>
      <c r="E75" s="470"/>
      <c r="F75" s="470"/>
      <c r="G75" s="470"/>
      <c r="H75" s="470"/>
      <c r="I75" s="470"/>
      <c r="J75" s="470"/>
      <c r="K75" s="471"/>
      <c r="L75" s="472"/>
      <c r="M75" s="473"/>
      <c r="N75" s="2697"/>
      <c r="O75" s="2697"/>
      <c r="P75" s="2696"/>
      <c r="Q75" s="2684"/>
      <c r="R75" s="2663"/>
      <c r="S75" s="2663"/>
      <c r="T75" s="2663"/>
      <c r="U75" s="2663"/>
      <c r="V75" s="2663"/>
      <c r="W75" s="2663"/>
      <c r="X75" s="2663"/>
      <c r="Y75" s="2663"/>
      <c r="Z75" s="2663"/>
      <c r="AA75" s="2663"/>
      <c r="AB75" s="2663"/>
      <c r="AC75" s="2663"/>
    </row>
    <row r="76" spans="1:29" ht="15.75" thickBot="1">
      <c r="A76" s="375"/>
      <c r="B76" s="474"/>
      <c r="C76" s="475"/>
      <c r="D76" s="475"/>
      <c r="E76" s="475"/>
      <c r="F76" s="475"/>
      <c r="G76" s="475"/>
      <c r="H76" s="475"/>
      <c r="I76" s="475"/>
      <c r="J76" s="475"/>
      <c r="K76" s="475"/>
      <c r="L76" s="475"/>
      <c r="M76" s="476"/>
      <c r="N76" s="2698"/>
      <c r="O76" s="2698"/>
      <c r="P76" s="2696"/>
      <c r="Q76" s="2684"/>
      <c r="R76" s="2663"/>
      <c r="S76" s="2663"/>
      <c r="T76" s="2663"/>
      <c r="U76" s="2663"/>
      <c r="V76" s="2663"/>
      <c r="W76" s="2663"/>
      <c r="X76" s="2663"/>
      <c r="Y76" s="2663"/>
      <c r="Z76" s="2663"/>
      <c r="AA76" s="2663"/>
      <c r="AB76" s="2663"/>
      <c r="AC76" s="2663"/>
    </row>
    <row r="77" spans="1:29" ht="27.75" thickTop="1">
      <c r="A77" s="375"/>
      <c r="B77" s="477" t="s">
        <v>2311</v>
      </c>
      <c r="C77" s="478"/>
      <c r="D77" s="478"/>
      <c r="E77" s="478"/>
      <c r="F77" s="478"/>
      <c r="G77" s="478"/>
      <c r="H77" s="478"/>
      <c r="I77" s="478"/>
      <c r="J77" s="478"/>
      <c r="K77" s="479"/>
      <c r="L77" s="480"/>
      <c r="M77" s="481"/>
      <c r="N77" s="2697"/>
      <c r="O77" s="2697"/>
      <c r="P77" s="2696"/>
      <c r="Q77" s="2684"/>
      <c r="R77" s="2663"/>
      <c r="S77" s="2663"/>
      <c r="T77" s="2663"/>
      <c r="U77" s="2663"/>
      <c r="V77" s="2663"/>
      <c r="W77" s="2663"/>
      <c r="X77" s="2663"/>
      <c r="Y77" s="2663"/>
      <c r="Z77" s="2663"/>
      <c r="AA77" s="2663"/>
      <c r="AB77" s="2663"/>
      <c r="AC77" s="2663"/>
    </row>
    <row r="78" spans="1:29" ht="15.75" thickBot="1">
      <c r="A78" s="375"/>
      <c r="B78" s="482"/>
      <c r="C78" s="483"/>
      <c r="D78" s="483"/>
      <c r="E78" s="483"/>
      <c r="F78" s="483"/>
      <c r="G78" s="483"/>
      <c r="H78" s="483"/>
      <c r="I78" s="483"/>
      <c r="J78" s="483"/>
      <c r="K78" s="483"/>
      <c r="L78" s="483"/>
      <c r="M78" s="484"/>
      <c r="N78" s="2698"/>
      <c r="O78" s="2698"/>
      <c r="P78" s="2696"/>
      <c r="Q78" s="2684"/>
      <c r="R78" s="2663"/>
      <c r="S78" s="2663"/>
      <c r="T78" s="2663"/>
      <c r="U78" s="2663"/>
      <c r="V78" s="2663"/>
      <c r="W78" s="2663"/>
      <c r="X78" s="2663"/>
      <c r="Y78" s="2663"/>
      <c r="Z78" s="2663"/>
      <c r="AA78" s="2663"/>
      <c r="AB78" s="2663"/>
      <c r="AC78" s="2663"/>
    </row>
    <row r="79" spans="1:29" ht="15.75" thickTop="1">
      <c r="A79" s="375"/>
      <c r="B79" s="485" t="s">
        <v>2312</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698"/>
      <c r="O79" s="2698"/>
      <c r="P79" s="2696"/>
      <c r="Q79" s="2684"/>
      <c r="R79" s="2663"/>
      <c r="S79" s="2663"/>
      <c r="T79" s="2663"/>
      <c r="U79" s="2663"/>
      <c r="V79" s="2663"/>
      <c r="W79" s="2663"/>
      <c r="X79" s="2663"/>
      <c r="Y79" s="2663"/>
      <c r="Z79" s="2663"/>
      <c r="AA79" s="2663"/>
      <c r="AB79" s="2663"/>
      <c r="AC79" s="2663"/>
    </row>
    <row r="80" spans="1:29" ht="15">
      <c r="A80" s="375"/>
      <c r="B80" s="487"/>
      <c r="C80" s="488"/>
      <c r="D80" s="488"/>
      <c r="E80" s="488"/>
      <c r="F80" s="488"/>
      <c r="G80" s="488"/>
      <c r="H80" s="488"/>
      <c r="I80" s="488"/>
      <c r="J80" s="488"/>
      <c r="K80" s="489"/>
      <c r="L80" s="490"/>
      <c r="M80" s="491"/>
      <c r="N80" s="2697"/>
      <c r="O80" s="2697"/>
      <c r="P80" s="2696"/>
      <c r="Q80" s="2684"/>
      <c r="R80" s="2663"/>
      <c r="S80" s="2663"/>
      <c r="T80" s="2663"/>
      <c r="U80" s="2663"/>
      <c r="V80" s="2663"/>
      <c r="W80" s="2663"/>
      <c r="X80" s="2663"/>
      <c r="Y80" s="2663"/>
      <c r="Z80" s="2663"/>
      <c r="AA80" s="2663"/>
      <c r="AB80" s="2663"/>
      <c r="AC80" s="2663"/>
    </row>
    <row r="81" spans="1:29" ht="15.7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698"/>
      <c r="O81" s="2698"/>
      <c r="P81" s="2696"/>
      <c r="Q81" s="2684"/>
      <c r="R81" s="2663"/>
      <c r="S81" s="2663"/>
      <c r="T81" s="2663"/>
      <c r="U81" s="2663"/>
      <c r="V81" s="2663"/>
      <c r="W81" s="2663"/>
      <c r="X81" s="2663"/>
      <c r="Y81" s="2663"/>
      <c r="Z81" s="2663"/>
      <c r="AA81" s="2663"/>
      <c r="AB81" s="2663"/>
      <c r="AC81" s="2663"/>
    </row>
    <row r="82" spans="1:29" s="416" customFormat="1" ht="15.75" thickTop="1">
      <c r="A82" s="492"/>
      <c r="B82" s="477" t="str">
        <f>B12</f>
        <v>配建</v>
      </c>
      <c r="C82" s="493"/>
      <c r="D82" s="493"/>
      <c r="E82" s="493"/>
      <c r="F82" s="493"/>
      <c r="G82" s="493"/>
      <c r="H82" s="494"/>
      <c r="I82" s="494"/>
      <c r="J82" s="494"/>
      <c r="K82" s="494"/>
      <c r="L82" s="495"/>
      <c r="M82" s="496"/>
      <c r="N82" s="2699"/>
      <c r="O82" s="2699"/>
      <c r="P82" s="2699"/>
      <c r="Q82" s="2691"/>
      <c r="R82" s="2669"/>
      <c r="S82" s="2669"/>
      <c r="T82" s="2669"/>
      <c r="U82" s="2669"/>
      <c r="V82" s="2669"/>
      <c r="W82" s="2669"/>
      <c r="X82" s="2669"/>
      <c r="Y82" s="2669"/>
      <c r="Z82" s="2669"/>
      <c r="AA82" s="2669"/>
      <c r="AB82" s="2669"/>
      <c r="AC82" s="2669"/>
    </row>
    <row r="83" spans="1:29" s="416" customFormat="1" ht="15.75" thickBot="1">
      <c r="A83" s="492"/>
      <c r="B83" s="482"/>
      <c r="C83" s="499"/>
      <c r="D83" s="475"/>
      <c r="E83" s="475"/>
      <c r="F83" s="475"/>
      <c r="G83" s="475"/>
      <c r="H83" s="475"/>
      <c r="I83" s="475"/>
      <c r="J83" s="475"/>
      <c r="K83" s="475"/>
      <c r="L83" s="475"/>
      <c r="M83" s="476"/>
      <c r="N83" s="2698"/>
      <c r="O83" s="2698"/>
      <c r="P83" s="2699"/>
      <c r="Q83" s="2691"/>
      <c r="R83" s="2669"/>
      <c r="S83" s="2669"/>
      <c r="T83" s="2669"/>
      <c r="U83" s="2669"/>
      <c r="V83" s="2669"/>
      <c r="W83" s="2669"/>
      <c r="X83" s="2669"/>
      <c r="Y83" s="2669"/>
      <c r="Z83" s="2669"/>
      <c r="AA83" s="2669"/>
      <c r="AB83" s="2669"/>
      <c r="AC83" s="2669"/>
    </row>
    <row r="84" spans="1:29" s="416" customFormat="1" ht="15.75" thickTop="1">
      <c r="A84" s="492"/>
      <c r="B84" s="477">
        <f>B13</f>
        <v>111</v>
      </c>
      <c r="C84" s="493"/>
      <c r="D84" s="493"/>
      <c r="E84" s="493"/>
      <c r="F84" s="493"/>
      <c r="G84" s="493"/>
      <c r="H84" s="494"/>
      <c r="I84" s="494"/>
      <c r="J84" s="494"/>
      <c r="K84" s="494"/>
      <c r="L84" s="495"/>
      <c r="M84" s="496"/>
      <c r="N84" s="2699"/>
      <c r="O84" s="2699"/>
      <c r="P84" s="2669"/>
      <c r="Q84" s="2693"/>
      <c r="R84" s="2669"/>
      <c r="S84" s="2669"/>
      <c r="T84" s="2669"/>
      <c r="U84" s="2669"/>
      <c r="V84" s="2669"/>
      <c r="W84" s="2669"/>
      <c r="X84" s="2669"/>
      <c r="Y84" s="2669"/>
      <c r="Z84" s="2669"/>
      <c r="AA84" s="2669"/>
      <c r="AB84" s="2669"/>
      <c r="AC84" s="2669"/>
    </row>
    <row r="85" spans="1:29" s="416" customFormat="1" ht="15.75" thickBot="1">
      <c r="A85" s="492"/>
      <c r="B85" s="482"/>
      <c r="C85" s="499"/>
      <c r="D85" s="499"/>
      <c r="E85" s="499"/>
      <c r="F85" s="499"/>
      <c r="G85" s="499"/>
      <c r="H85" s="501"/>
      <c r="I85" s="501"/>
      <c r="J85" s="501"/>
      <c r="K85" s="501"/>
      <c r="L85" s="501"/>
      <c r="M85" s="502"/>
      <c r="N85" s="2699"/>
      <c r="O85" s="2699"/>
      <c r="P85" s="2699"/>
      <c r="Q85" s="2691"/>
      <c r="R85" s="2669"/>
      <c r="S85" s="2669"/>
      <c r="T85" s="2669"/>
      <c r="U85" s="2669"/>
      <c r="V85" s="2669"/>
      <c r="W85" s="2669"/>
      <c r="X85" s="2669"/>
      <c r="Y85" s="2669"/>
      <c r="Z85" s="2669"/>
      <c r="AA85" s="2669"/>
      <c r="AB85" s="2669"/>
      <c r="AC85" s="2669"/>
    </row>
    <row r="86" spans="1:29" s="416" customFormat="1" ht="15.75" thickTop="1">
      <c r="A86" s="492"/>
      <c r="B86" s="485">
        <f>B14</f>
        <v>111</v>
      </c>
      <c r="C86" s="34"/>
      <c r="D86" s="34"/>
      <c r="E86" s="34"/>
      <c r="F86" s="34"/>
      <c r="G86" s="34"/>
      <c r="H86" s="503"/>
      <c r="I86" s="503"/>
      <c r="J86" s="503"/>
      <c r="K86" s="503"/>
      <c r="L86" s="504"/>
      <c r="M86" s="505"/>
      <c r="N86" s="2699"/>
      <c r="O86" s="2699"/>
      <c r="P86" s="2724"/>
      <c r="Q86" s="2691"/>
      <c r="R86" s="2669"/>
      <c r="S86" s="2669"/>
      <c r="T86" s="2669"/>
      <c r="U86" s="2669"/>
      <c r="V86" s="2669"/>
      <c r="W86" s="2669"/>
      <c r="X86" s="2669"/>
      <c r="Y86" s="2669"/>
      <c r="Z86" s="2669"/>
      <c r="AA86" s="2669"/>
      <c r="AB86" s="2669"/>
      <c r="AC86" s="2669"/>
    </row>
    <row r="87" spans="1:29" s="416" customFormat="1" ht="15.75" thickBot="1">
      <c r="A87" s="507"/>
      <c r="B87" s="508"/>
      <c r="C87" s="509"/>
      <c r="D87" s="509"/>
      <c r="E87" s="509"/>
      <c r="F87" s="509"/>
      <c r="G87" s="509"/>
      <c r="H87" s="510"/>
      <c r="I87" s="510"/>
      <c r="J87" s="510"/>
      <c r="K87" s="510"/>
      <c r="L87" s="510"/>
      <c r="M87" s="511"/>
      <c r="N87" s="2699"/>
      <c r="O87" s="2699"/>
      <c r="P87" s="2699"/>
      <c r="Q87" s="2691"/>
      <c r="R87" s="2669"/>
      <c r="S87" s="2669"/>
      <c r="T87" s="2669"/>
      <c r="U87" s="2669"/>
      <c r="V87" s="2669"/>
      <c r="W87" s="2669"/>
      <c r="X87" s="2669"/>
      <c r="Y87" s="2669"/>
      <c r="Z87" s="2669"/>
      <c r="AA87" s="2669"/>
      <c r="AB87" s="2669"/>
      <c r="AC87" s="2669"/>
    </row>
    <row r="88" spans="1:29">
      <c r="A88" s="387" t="s">
        <v>2313</v>
      </c>
      <c r="B88" s="468" t="s">
        <v>2349</v>
      </c>
      <c r="C88" s="512" t="s">
        <v>2350</v>
      </c>
      <c r="D88" s="512" t="s">
        <v>2351</v>
      </c>
      <c r="E88" s="512" t="s">
        <v>2352</v>
      </c>
      <c r="F88" s="512" t="s">
        <v>2353</v>
      </c>
      <c r="G88" s="512" t="s">
        <v>2354</v>
      </c>
      <c r="H88" s="469"/>
      <c r="I88" s="469"/>
      <c r="J88" s="469"/>
      <c r="K88" s="513"/>
      <c r="L88" s="514"/>
      <c r="M88" s="515"/>
      <c r="N88" s="2697"/>
      <c r="O88" s="2697"/>
      <c r="P88" s="2721"/>
      <c r="Q88" s="2684"/>
      <c r="R88" s="2663"/>
      <c r="S88" s="2663"/>
      <c r="T88" s="2663"/>
      <c r="U88" s="2663"/>
      <c r="V88" s="2663"/>
      <c r="W88" s="2663"/>
      <c r="X88" s="2663"/>
      <c r="Y88" s="2663"/>
      <c r="Z88" s="2663"/>
      <c r="AA88" s="2663"/>
      <c r="AB88" s="2663"/>
      <c r="AC88" s="2663"/>
    </row>
    <row r="89" spans="1:29" ht="15.75" thickBot="1">
      <c r="A89" s="375"/>
      <c r="B89" s="482"/>
      <c r="C89" s="483">
        <v>100</v>
      </c>
      <c r="D89" s="483">
        <f>C89-$K15</f>
        <v>100</v>
      </c>
      <c r="E89" s="483">
        <f>D89-$K15</f>
        <v>100</v>
      </c>
      <c r="F89" s="483">
        <f>E89-$K15</f>
        <v>100</v>
      </c>
      <c r="G89" s="483">
        <f>F89-$K15</f>
        <v>100</v>
      </c>
      <c r="H89" s="483"/>
      <c r="I89" s="483"/>
      <c r="J89" s="483"/>
      <c r="K89" s="483"/>
      <c r="L89" s="483"/>
      <c r="M89" s="484"/>
      <c r="N89" s="2698"/>
      <c r="O89" s="2698"/>
      <c r="P89" s="2696"/>
      <c r="Q89" s="2684"/>
      <c r="R89" s="2663"/>
      <c r="S89" s="2663"/>
      <c r="T89" s="2663"/>
      <c r="U89" s="2663"/>
      <c r="V89" s="2663"/>
      <c r="W89" s="2663"/>
      <c r="X89" s="2663"/>
      <c r="Y89" s="2663"/>
      <c r="Z89" s="2663"/>
      <c r="AA89" s="2663"/>
      <c r="AB89" s="2663"/>
      <c r="AC89" s="2663"/>
    </row>
    <row r="90" spans="1:29" ht="15.75" thickTop="1">
      <c r="A90" s="375"/>
      <c r="B90" s="477" t="s">
        <v>2537</v>
      </c>
      <c r="C90" s="517" t="s">
        <v>2350</v>
      </c>
      <c r="D90" s="517" t="s">
        <v>2351</v>
      </c>
      <c r="E90" s="517" t="s">
        <v>2352</v>
      </c>
      <c r="F90" s="517" t="s">
        <v>2353</v>
      </c>
      <c r="G90" s="517" t="s">
        <v>2354</v>
      </c>
      <c r="H90" s="478"/>
      <c r="I90" s="478"/>
      <c r="J90" s="478"/>
      <c r="K90" s="479"/>
      <c r="L90" s="480"/>
      <c r="M90" s="481"/>
      <c r="N90" s="2697"/>
      <c r="O90" s="2697"/>
      <c r="P90" s="2696"/>
      <c r="Q90" s="2684"/>
      <c r="R90" s="2663"/>
      <c r="S90" s="2663"/>
      <c r="T90" s="2663"/>
      <c r="U90" s="2663"/>
      <c r="V90" s="2663"/>
      <c r="W90" s="2663"/>
      <c r="X90" s="2663"/>
      <c r="Y90" s="2663"/>
      <c r="Z90" s="2663"/>
      <c r="AA90" s="2663"/>
      <c r="AB90" s="2663"/>
      <c r="AC90" s="2663"/>
    </row>
    <row r="91" spans="1:29" ht="15.75" thickBot="1">
      <c r="A91" s="375"/>
      <c r="B91" s="482"/>
      <c r="C91" s="483">
        <v>100</v>
      </c>
      <c r="D91" s="483">
        <f>C91-$K17</f>
        <v>100</v>
      </c>
      <c r="E91" s="483">
        <f>D91-$K17</f>
        <v>100</v>
      </c>
      <c r="F91" s="483">
        <f>E91-$K17</f>
        <v>100</v>
      </c>
      <c r="G91" s="483">
        <f>F91-$K17</f>
        <v>100</v>
      </c>
      <c r="H91" s="483"/>
      <c r="I91" s="483"/>
      <c r="J91" s="483"/>
      <c r="K91" s="483"/>
      <c r="L91" s="483"/>
      <c r="M91" s="484"/>
      <c r="N91" s="2698"/>
      <c r="O91" s="2698"/>
      <c r="P91" s="2696"/>
      <c r="Q91" s="2684"/>
      <c r="R91" s="2663"/>
      <c r="S91" s="2663"/>
      <c r="T91" s="2663"/>
      <c r="U91" s="2663"/>
      <c r="V91" s="2663"/>
      <c r="W91" s="2663"/>
      <c r="X91" s="2663"/>
      <c r="Y91" s="2663"/>
      <c r="Z91" s="2663"/>
      <c r="AA91" s="2663"/>
      <c r="AB91" s="2663"/>
      <c r="AC91" s="2663"/>
    </row>
    <row r="92" spans="1:29" ht="15.75" thickTop="1">
      <c r="A92" s="375"/>
      <c r="B92" s="477" t="s">
        <v>2450</v>
      </c>
      <c r="C92" s="517" t="s">
        <v>2350</v>
      </c>
      <c r="D92" s="517" t="s">
        <v>2351</v>
      </c>
      <c r="E92" s="517" t="s">
        <v>2352</v>
      </c>
      <c r="F92" s="517" t="s">
        <v>2353</v>
      </c>
      <c r="G92" s="517" t="s">
        <v>2354</v>
      </c>
      <c r="H92" s="478"/>
      <c r="I92" s="478"/>
      <c r="J92" s="478"/>
      <c r="K92" s="479"/>
      <c r="L92" s="480"/>
      <c r="M92" s="481"/>
      <c r="N92" s="2697"/>
      <c r="O92" s="2697"/>
      <c r="P92" s="2696"/>
      <c r="Q92" s="2684"/>
      <c r="R92" s="2663"/>
      <c r="S92" s="2663"/>
      <c r="T92" s="2663"/>
      <c r="U92" s="2663"/>
      <c r="V92" s="2663"/>
      <c r="W92" s="2663"/>
      <c r="X92" s="2663"/>
      <c r="Y92" s="2663"/>
      <c r="Z92" s="2663"/>
      <c r="AA92" s="2663"/>
      <c r="AB92" s="2663"/>
      <c r="AC92" s="2663"/>
    </row>
    <row r="93" spans="1:29" ht="15.75" thickBot="1">
      <c r="A93" s="375"/>
      <c r="B93" s="482"/>
      <c r="C93" s="483">
        <v>100</v>
      </c>
      <c r="D93" s="483">
        <f>C93-$K19</f>
        <v>100</v>
      </c>
      <c r="E93" s="483">
        <f>D93-$K19</f>
        <v>100</v>
      </c>
      <c r="F93" s="483">
        <f>E93-$K19</f>
        <v>100</v>
      </c>
      <c r="G93" s="483">
        <f>F93-$K19</f>
        <v>100</v>
      </c>
      <c r="H93" s="483"/>
      <c r="I93" s="483"/>
      <c r="J93" s="483"/>
      <c r="K93" s="483"/>
      <c r="L93" s="483"/>
      <c r="M93" s="484"/>
      <c r="N93" s="2698"/>
      <c r="O93" s="2698"/>
      <c r="P93" s="2696"/>
      <c r="Q93" s="2684"/>
      <c r="R93" s="2663"/>
      <c r="S93" s="2663"/>
      <c r="T93" s="2663"/>
      <c r="U93" s="2663"/>
      <c r="V93" s="2663"/>
      <c r="W93" s="2663"/>
      <c r="X93" s="2663"/>
      <c r="Y93" s="2663"/>
      <c r="Z93" s="2663"/>
      <c r="AA93" s="2663"/>
      <c r="AB93" s="2663"/>
      <c r="AC93" s="2663"/>
    </row>
    <row r="94" spans="1:29" ht="15.75" thickTop="1">
      <c r="A94" s="375"/>
      <c r="B94" s="477" t="s">
        <v>2355</v>
      </c>
      <c r="C94" s="517" t="s">
        <v>2350</v>
      </c>
      <c r="D94" s="517" t="s">
        <v>2351</v>
      </c>
      <c r="E94" s="517" t="s">
        <v>2352</v>
      </c>
      <c r="F94" s="517" t="s">
        <v>2353</v>
      </c>
      <c r="G94" s="517" t="s">
        <v>2354</v>
      </c>
      <c r="H94" s="478"/>
      <c r="I94" s="478"/>
      <c r="J94" s="478"/>
      <c r="K94" s="479"/>
      <c r="L94" s="480"/>
      <c r="M94" s="481"/>
      <c r="N94" s="2697"/>
      <c r="O94" s="2697"/>
      <c r="P94" s="2696"/>
      <c r="Q94" s="2684"/>
      <c r="R94" s="2663"/>
      <c r="S94" s="2663"/>
      <c r="T94" s="2663"/>
      <c r="U94" s="2663"/>
      <c r="V94" s="2663"/>
      <c r="W94" s="2663"/>
      <c r="X94" s="2663"/>
      <c r="Y94" s="2663"/>
      <c r="Z94" s="2663"/>
      <c r="AA94" s="2663"/>
      <c r="AB94" s="2663"/>
      <c r="AC94" s="2663"/>
    </row>
    <row r="95" spans="1:29" ht="15.75" thickBot="1">
      <c r="A95" s="375"/>
      <c r="B95" s="482"/>
      <c r="C95" s="483">
        <v>100</v>
      </c>
      <c r="D95" s="483">
        <f>C95-$K21</f>
        <v>100</v>
      </c>
      <c r="E95" s="483">
        <f>D95-$K21</f>
        <v>100</v>
      </c>
      <c r="F95" s="483">
        <f>E95-$K21</f>
        <v>100</v>
      </c>
      <c r="G95" s="483">
        <f>F95-$K21</f>
        <v>100</v>
      </c>
      <c r="H95" s="483"/>
      <c r="I95" s="483"/>
      <c r="J95" s="483"/>
      <c r="K95" s="483"/>
      <c r="L95" s="483"/>
      <c r="M95" s="484"/>
      <c r="N95" s="2698"/>
      <c r="O95" s="2698"/>
      <c r="P95" s="2696"/>
      <c r="Q95" s="2684"/>
      <c r="R95" s="2663"/>
      <c r="S95" s="2663"/>
      <c r="T95" s="2663"/>
      <c r="U95" s="2663"/>
      <c r="V95" s="2663"/>
      <c r="W95" s="2663"/>
      <c r="X95" s="2663"/>
      <c r="Y95" s="2663"/>
      <c r="Z95" s="2663"/>
      <c r="AA95" s="2663"/>
      <c r="AB95" s="2663"/>
      <c r="AC95" s="2663"/>
    </row>
    <row r="96" spans="1:29" s="107" customFormat="1" ht="15.75" thickTop="1">
      <c r="A96" s="378"/>
      <c r="B96" s="477" t="s">
        <v>2538</v>
      </c>
      <c r="C96" s="517" t="s">
        <v>2350</v>
      </c>
      <c r="D96" s="517" t="s">
        <v>2351</v>
      </c>
      <c r="E96" s="517" t="s">
        <v>2352</v>
      </c>
      <c r="F96" s="517" t="s">
        <v>2353</v>
      </c>
      <c r="G96" s="517" t="s">
        <v>2354</v>
      </c>
      <c r="H96" s="517"/>
      <c r="I96" s="517"/>
      <c r="J96" s="517"/>
      <c r="K96" s="517"/>
      <c r="L96" s="626"/>
      <c r="M96" s="555"/>
      <c r="N96" s="2696"/>
      <c r="O96" s="2696"/>
      <c r="P96" s="2696"/>
      <c r="Q96" s="2684"/>
      <c r="R96" s="2613"/>
      <c r="S96" s="2613"/>
      <c r="T96" s="2613"/>
      <c r="U96" s="2613"/>
      <c r="V96" s="2613"/>
      <c r="W96" s="2613"/>
      <c r="X96" s="2613"/>
      <c r="Y96" s="2613"/>
      <c r="Z96" s="2613"/>
      <c r="AA96" s="2613"/>
      <c r="AB96" s="2613"/>
      <c r="AC96" s="2613"/>
    </row>
    <row r="97" spans="1:29" s="107" customFormat="1" ht="15.75" thickBot="1">
      <c r="A97" s="378"/>
      <c r="B97" s="482"/>
      <c r="C97" s="520">
        <v>100</v>
      </c>
      <c r="D97" s="483">
        <f>C97-$K23</f>
        <v>100</v>
      </c>
      <c r="E97" s="483">
        <f>D97-$K23</f>
        <v>100</v>
      </c>
      <c r="F97" s="483">
        <f>E97-$K23</f>
        <v>100</v>
      </c>
      <c r="G97" s="483">
        <f>F97-$K23</f>
        <v>100</v>
      </c>
      <c r="H97" s="483"/>
      <c r="I97" s="483"/>
      <c r="J97" s="483"/>
      <c r="K97" s="483"/>
      <c r="L97" s="483"/>
      <c r="M97" s="484"/>
      <c r="N97" s="2698"/>
      <c r="O97" s="2698"/>
      <c r="P97" s="2696"/>
      <c r="Q97" s="2684"/>
      <c r="R97" s="2613"/>
      <c r="S97" s="2613"/>
      <c r="T97" s="2613"/>
      <c r="U97" s="2613"/>
      <c r="V97" s="2613"/>
      <c r="W97" s="2613"/>
      <c r="X97" s="2613"/>
      <c r="Y97" s="2613"/>
      <c r="Z97" s="2613"/>
      <c r="AA97" s="2613"/>
      <c r="AB97" s="2613"/>
      <c r="AC97" s="2613"/>
    </row>
    <row r="98" spans="1:29" s="107" customFormat="1" ht="27.75" thickTop="1">
      <c r="A98" s="378"/>
      <c r="B98" s="477" t="s">
        <v>2539</v>
      </c>
      <c r="C98" s="512" t="s">
        <v>2350</v>
      </c>
      <c r="D98" s="512" t="s">
        <v>2351</v>
      </c>
      <c r="E98" s="512" t="s">
        <v>2352</v>
      </c>
      <c r="F98" s="512" t="s">
        <v>2353</v>
      </c>
      <c r="G98" s="512" t="s">
        <v>2354</v>
      </c>
      <c r="H98" s="517"/>
      <c r="I98" s="517"/>
      <c r="J98" s="517"/>
      <c r="K98" s="517"/>
      <c r="L98" s="517"/>
      <c r="M98" s="555"/>
      <c r="N98" s="2696"/>
      <c r="O98" s="2696"/>
      <c r="P98" s="2696"/>
      <c r="Q98" s="2684"/>
      <c r="R98" s="2613"/>
      <c r="S98" s="2613"/>
      <c r="T98" s="2613"/>
      <c r="U98" s="2613"/>
      <c r="V98" s="2613"/>
      <c r="W98" s="2613"/>
      <c r="X98" s="2613"/>
      <c r="Y98" s="2613"/>
      <c r="Z98" s="2613"/>
      <c r="AA98" s="2613"/>
      <c r="AB98" s="2613"/>
      <c r="AC98" s="2613"/>
    </row>
    <row r="99" spans="1:29" s="107" customFormat="1" ht="15.75" thickBot="1">
      <c r="A99" s="378"/>
      <c r="B99" s="482"/>
      <c r="C99" s="483">
        <v>100</v>
      </c>
      <c r="D99" s="483">
        <f>C99-$K25</f>
        <v>100</v>
      </c>
      <c r="E99" s="483">
        <f>D99-$K25</f>
        <v>100</v>
      </c>
      <c r="F99" s="483">
        <f>E99-$K25</f>
        <v>100</v>
      </c>
      <c r="G99" s="483">
        <f>F99-$K25</f>
        <v>100</v>
      </c>
      <c r="H99" s="483"/>
      <c r="I99" s="483"/>
      <c r="J99" s="483"/>
      <c r="K99" s="483"/>
      <c r="L99" s="483"/>
      <c r="M99" s="484"/>
      <c r="N99" s="2698"/>
      <c r="O99" s="2698"/>
      <c r="P99" s="2696"/>
      <c r="Q99" s="2684"/>
      <c r="R99" s="2613"/>
      <c r="S99" s="2613"/>
      <c r="T99" s="2613"/>
      <c r="U99" s="2613"/>
      <c r="V99" s="2613"/>
      <c r="W99" s="2613"/>
      <c r="X99" s="2613"/>
      <c r="Y99" s="2613"/>
      <c r="Z99" s="2613"/>
      <c r="AA99" s="2613"/>
      <c r="AB99" s="2613"/>
      <c r="AC99" s="2613"/>
    </row>
    <row r="100" spans="1:29" s="416" customFormat="1" ht="15.75" thickTop="1">
      <c r="A100" s="492"/>
      <c r="B100" s="477" t="s">
        <v>2407</v>
      </c>
      <c r="C100" s="512" t="s">
        <v>2350</v>
      </c>
      <c r="D100" s="512" t="s">
        <v>2351</v>
      </c>
      <c r="E100" s="512" t="s">
        <v>2352</v>
      </c>
      <c r="F100" s="512" t="s">
        <v>2353</v>
      </c>
      <c r="G100" s="512" t="s">
        <v>2354</v>
      </c>
      <c r="H100" s="535"/>
      <c r="I100" s="535"/>
      <c r="J100" s="535"/>
      <c r="K100" s="535"/>
      <c r="L100" s="536"/>
      <c r="M100" s="537"/>
      <c r="N100" s="2699"/>
      <c r="O100" s="2699"/>
      <c r="P100" s="2699"/>
      <c r="Q100" s="2691"/>
      <c r="R100" s="2669"/>
      <c r="S100" s="2669"/>
      <c r="T100" s="2669"/>
      <c r="U100" s="2669"/>
      <c r="V100" s="2669"/>
      <c r="W100" s="2669"/>
      <c r="X100" s="2669"/>
      <c r="Y100" s="2669"/>
      <c r="Z100" s="2669"/>
      <c r="AA100" s="2669"/>
      <c r="AB100" s="2669"/>
      <c r="AC100" s="2669"/>
    </row>
    <row r="101" spans="1:29" s="416" customFormat="1" ht="15.75" thickBot="1">
      <c r="A101" s="492"/>
      <c r="B101" s="482"/>
      <c r="C101" s="483">
        <v>100</v>
      </c>
      <c r="D101" s="483">
        <f>C101-$K27</f>
        <v>100</v>
      </c>
      <c r="E101" s="483">
        <f>D101-$K27</f>
        <v>100</v>
      </c>
      <c r="F101" s="483">
        <f>E101-$K27</f>
        <v>100</v>
      </c>
      <c r="G101" s="483">
        <f>F101-$K27</f>
        <v>100</v>
      </c>
      <c r="H101" s="542"/>
      <c r="I101" s="542"/>
      <c r="J101" s="542"/>
      <c r="K101" s="542"/>
      <c r="L101" s="542"/>
      <c r="M101" s="543"/>
      <c r="N101" s="2699"/>
      <c r="O101" s="2699"/>
      <c r="P101" s="2699"/>
      <c r="Q101" s="2691"/>
      <c r="R101" s="2669"/>
      <c r="S101" s="2669"/>
      <c r="T101" s="2669"/>
      <c r="U101" s="2669"/>
      <c r="V101" s="2669"/>
      <c r="W101" s="2669"/>
      <c r="X101" s="2669"/>
      <c r="Y101" s="2669"/>
      <c r="Z101" s="2669"/>
      <c r="AA101" s="2669"/>
      <c r="AB101" s="2669"/>
      <c r="AC101" s="2669"/>
    </row>
    <row r="102" spans="1:29" s="416" customFormat="1" ht="15.75" thickTop="1">
      <c r="A102" s="492"/>
      <c r="B102" s="485" t="s">
        <v>2408</v>
      </c>
      <c r="C102" s="589" t="s">
        <v>2428</v>
      </c>
      <c r="D102" s="589" t="s">
        <v>2429</v>
      </c>
      <c r="E102" s="589" t="s">
        <v>2430</v>
      </c>
      <c r="F102" s="589" t="s">
        <v>2431</v>
      </c>
      <c r="G102" s="589" t="s">
        <v>2432</v>
      </c>
      <c r="H102" s="535"/>
      <c r="I102" s="535"/>
      <c r="J102" s="535"/>
      <c r="K102" s="535"/>
      <c r="L102" s="535"/>
      <c r="M102" s="1192"/>
      <c r="N102" s="2699"/>
      <c r="O102" s="2699"/>
      <c r="P102" s="2699"/>
      <c r="Q102" s="2691"/>
      <c r="R102" s="2669"/>
      <c r="S102" s="2669"/>
      <c r="T102" s="2669"/>
      <c r="U102" s="2669"/>
      <c r="V102" s="2669"/>
      <c r="W102" s="2669"/>
      <c r="X102" s="2669"/>
      <c r="Y102" s="2669"/>
      <c r="Z102" s="2669"/>
      <c r="AA102" s="2669"/>
      <c r="AB102" s="2669"/>
      <c r="AC102" s="2669"/>
    </row>
    <row r="103" spans="1:29" s="416" customFormat="1" ht="15.75" thickBot="1">
      <c r="A103" s="492"/>
      <c r="B103" s="485"/>
      <c r="C103" s="483">
        <v>100</v>
      </c>
      <c r="D103" s="483">
        <f>C103-$K29</f>
        <v>100</v>
      </c>
      <c r="E103" s="483">
        <f>D103-$K29</f>
        <v>100</v>
      </c>
      <c r="F103" s="483">
        <f>E103-$K29</f>
        <v>100</v>
      </c>
      <c r="G103" s="483">
        <f>F103-$K29</f>
        <v>100</v>
      </c>
      <c r="H103" s="487"/>
      <c r="I103" s="487"/>
      <c r="J103" s="487"/>
      <c r="K103" s="487"/>
      <c r="L103" s="487"/>
      <c r="M103" s="1192"/>
      <c r="N103" s="2699"/>
      <c r="O103" s="2699"/>
      <c r="P103" s="2699"/>
      <c r="Q103" s="2691"/>
      <c r="R103" s="2669"/>
      <c r="S103" s="2669"/>
      <c r="T103" s="2669"/>
      <c r="U103" s="2669"/>
      <c r="V103" s="2669"/>
      <c r="W103" s="2669"/>
      <c r="X103" s="2669"/>
      <c r="Y103" s="2669"/>
      <c r="Z103" s="2669"/>
      <c r="AA103" s="2669"/>
      <c r="AB103" s="2669"/>
      <c r="AC103" s="2669"/>
    </row>
    <row r="104" spans="1:29" ht="15.75" thickTop="1">
      <c r="A104" s="375"/>
      <c r="B104" s="477" t="str">
        <f>B31</f>
        <v>临街状况</v>
      </c>
      <c r="C104" s="478" t="s">
        <v>2540</v>
      </c>
      <c r="D104" s="478" t="s">
        <v>2541</v>
      </c>
      <c r="E104" s="478" t="s">
        <v>2542</v>
      </c>
      <c r="F104" s="478" t="s">
        <v>2543</v>
      </c>
      <c r="G104" s="478"/>
      <c r="H104" s="478"/>
      <c r="I104" s="478"/>
      <c r="J104" s="478"/>
      <c r="K104" s="479"/>
      <c r="L104" s="480"/>
      <c r="M104" s="481"/>
      <c r="N104" s="2697"/>
      <c r="O104" s="2697"/>
      <c r="P104" s="2696"/>
      <c r="Q104" s="2684"/>
      <c r="R104" s="2663"/>
      <c r="S104" s="2663"/>
      <c r="T104" s="2663"/>
      <c r="U104" s="2663"/>
      <c r="V104" s="2663"/>
      <c r="W104" s="2663"/>
      <c r="X104" s="2663"/>
      <c r="Y104" s="2663"/>
      <c r="Z104" s="2663"/>
      <c r="AA104" s="2663"/>
      <c r="AB104" s="2663"/>
      <c r="AC104" s="2663"/>
    </row>
    <row r="105" spans="1:29" ht="15.7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698"/>
      <c r="O105" s="2698"/>
      <c r="P105" s="2696"/>
      <c r="Q105" s="2684"/>
      <c r="R105" s="2663"/>
      <c r="S105" s="2663"/>
      <c r="T105" s="2663"/>
      <c r="U105" s="2663"/>
      <c r="V105" s="2663"/>
      <c r="W105" s="2663"/>
      <c r="X105" s="2663"/>
      <c r="Y105" s="2663"/>
      <c r="Z105" s="2663"/>
      <c r="AA105" s="2663"/>
      <c r="AB105" s="2663"/>
      <c r="AC105" s="2663"/>
    </row>
    <row r="106" spans="1:29" ht="27.75" thickTop="1">
      <c r="A106" s="375"/>
      <c r="B106" s="477" t="s">
        <v>2444</v>
      </c>
      <c r="C106" s="493"/>
      <c r="D106" s="493"/>
      <c r="E106" s="493"/>
      <c r="F106" s="493"/>
      <c r="G106" s="493"/>
      <c r="H106" s="521"/>
      <c r="I106" s="521"/>
      <c r="J106" s="521"/>
      <c r="K106" s="522"/>
      <c r="L106" s="523"/>
      <c r="M106" s="524"/>
      <c r="N106" s="2697"/>
      <c r="O106" s="2697"/>
      <c r="P106" s="2696"/>
      <c r="Q106" s="2684"/>
      <c r="R106" s="2663"/>
      <c r="S106" s="2663"/>
      <c r="T106" s="2663"/>
      <c r="U106" s="2663"/>
      <c r="V106" s="2663"/>
      <c r="W106" s="2663"/>
      <c r="X106" s="2663"/>
      <c r="Y106" s="2663"/>
      <c r="Z106" s="2663"/>
      <c r="AA106" s="2663"/>
      <c r="AB106" s="2663"/>
      <c r="AC106" s="2663"/>
    </row>
    <row r="107" spans="1:29" ht="15.7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698"/>
      <c r="O107" s="2698"/>
      <c r="P107" s="2696"/>
      <c r="Q107" s="2684"/>
      <c r="R107" s="2663"/>
      <c r="S107" s="2663"/>
      <c r="T107" s="2663"/>
      <c r="U107" s="2663"/>
      <c r="V107" s="2663"/>
      <c r="W107" s="2663"/>
      <c r="X107" s="2663"/>
      <c r="Y107" s="2663"/>
      <c r="Z107" s="2663"/>
      <c r="AA107" s="2663"/>
      <c r="AB107" s="2663"/>
      <c r="AC107" s="2663"/>
    </row>
    <row r="108" spans="1:29" ht="15.75" thickTop="1">
      <c r="A108" s="375"/>
      <c r="B108" s="477" t="s">
        <v>2503</v>
      </c>
      <c r="C108" s="521"/>
      <c r="D108" s="521"/>
      <c r="E108" s="521"/>
      <c r="F108" s="521"/>
      <c r="G108" s="521"/>
      <c r="H108" s="521"/>
      <c r="I108" s="521"/>
      <c r="J108" s="521"/>
      <c r="K108" s="522"/>
      <c r="L108" s="523"/>
      <c r="M108" s="524"/>
      <c r="N108" s="2697"/>
      <c r="O108" s="2697"/>
      <c r="P108" s="2696"/>
      <c r="Q108" s="2684"/>
      <c r="R108" s="2663"/>
      <c r="S108" s="2663"/>
      <c r="T108" s="2663"/>
      <c r="U108" s="2663"/>
      <c r="V108" s="2663"/>
      <c r="W108" s="2663"/>
      <c r="X108" s="2663"/>
      <c r="Y108" s="2663"/>
      <c r="Z108" s="2663"/>
      <c r="AA108" s="2663"/>
      <c r="AB108" s="2663"/>
      <c r="AC108" s="2663"/>
    </row>
    <row r="109" spans="1:29" ht="15.7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698"/>
      <c r="O109" s="2698"/>
      <c r="P109" s="2696"/>
      <c r="Q109" s="2684"/>
      <c r="R109" s="2663"/>
      <c r="S109" s="2663"/>
      <c r="T109" s="2663"/>
      <c r="U109" s="2663"/>
      <c r="V109" s="2663"/>
      <c r="W109" s="2663"/>
      <c r="X109" s="2663"/>
      <c r="Y109" s="2663"/>
      <c r="Z109" s="2663"/>
      <c r="AA109" s="2663"/>
      <c r="AB109" s="2663"/>
      <c r="AC109" s="2663"/>
    </row>
    <row r="110" spans="1:29" ht="15.75" thickTop="1">
      <c r="A110" s="375"/>
      <c r="B110" s="485">
        <f>B35</f>
        <v>111</v>
      </c>
      <c r="C110" s="493"/>
      <c r="D110" s="493"/>
      <c r="E110" s="493"/>
      <c r="F110" s="493"/>
      <c r="G110" s="525"/>
      <c r="H110" s="525"/>
      <c r="I110" s="525"/>
      <c r="J110" s="525"/>
      <c r="K110" s="526"/>
      <c r="L110" s="527"/>
      <c r="M110" s="528"/>
      <c r="N110" s="2697"/>
      <c r="O110" s="2697"/>
      <c r="P110" s="2696"/>
      <c r="Q110" s="2684"/>
      <c r="R110" s="2663"/>
      <c r="S110" s="2663"/>
      <c r="T110" s="2663"/>
      <c r="U110" s="2663"/>
      <c r="V110" s="2663"/>
      <c r="W110" s="2663"/>
      <c r="X110" s="2663"/>
      <c r="Y110" s="2663"/>
      <c r="Z110" s="2663"/>
      <c r="AA110" s="2663"/>
      <c r="AB110" s="2663"/>
      <c r="AC110" s="2663"/>
    </row>
    <row r="111" spans="1:29" ht="15.75" thickBot="1">
      <c r="A111" s="375"/>
      <c r="B111" s="508"/>
      <c r="C111" s="499"/>
      <c r="D111" s="499"/>
      <c r="E111" s="499"/>
      <c r="F111" s="499"/>
      <c r="G111" s="529"/>
      <c r="H111" s="529"/>
      <c r="I111" s="529"/>
      <c r="J111" s="529"/>
      <c r="K111" s="529"/>
      <c r="L111" s="529"/>
      <c r="M111" s="530"/>
      <c r="N111" s="2698"/>
      <c r="O111" s="2698"/>
      <c r="P111" s="2696"/>
      <c r="Q111" s="2684"/>
      <c r="R111" s="2663"/>
      <c r="S111" s="2663"/>
      <c r="T111" s="2663"/>
      <c r="U111" s="2663"/>
      <c r="V111" s="2663"/>
      <c r="W111" s="2663"/>
      <c r="X111" s="2663"/>
      <c r="Y111" s="2663"/>
      <c r="Z111" s="2663"/>
      <c r="AA111" s="2663"/>
      <c r="AB111" s="2663"/>
      <c r="AC111" s="2663"/>
    </row>
    <row r="112" spans="1:29" ht="15" thickTop="1">
      <c r="A112" s="603"/>
      <c r="B112" s="477">
        <f>B36</f>
        <v>111</v>
      </c>
      <c r="C112" s="34"/>
      <c r="D112" s="34"/>
      <c r="E112" s="34"/>
      <c r="F112" s="34"/>
      <c r="G112" s="521"/>
      <c r="H112" s="521"/>
      <c r="I112" s="521"/>
      <c r="J112" s="521"/>
      <c r="K112" s="522"/>
      <c r="L112" s="523"/>
      <c r="M112" s="524"/>
      <c r="N112" s="2697"/>
      <c r="O112" s="2697"/>
      <c r="P112" s="2696"/>
      <c r="Q112" s="2684"/>
      <c r="R112" s="2663"/>
      <c r="S112" s="2663"/>
      <c r="T112" s="2663"/>
      <c r="U112" s="2663"/>
      <c r="V112" s="2663"/>
      <c r="W112" s="2663"/>
      <c r="X112" s="2663"/>
      <c r="Y112" s="2663"/>
      <c r="Z112" s="2663"/>
      <c r="AA112" s="2663"/>
      <c r="AB112" s="2663"/>
      <c r="AC112" s="2663"/>
    </row>
    <row r="113" spans="1:29" ht="15.75" thickBot="1">
      <c r="A113" s="375"/>
      <c r="B113" s="482"/>
      <c r="C113" s="509"/>
      <c r="D113" s="509"/>
      <c r="E113" s="509"/>
      <c r="F113" s="509"/>
      <c r="G113" s="475"/>
      <c r="H113" s="475"/>
      <c r="I113" s="475"/>
      <c r="J113" s="475"/>
      <c r="K113" s="475"/>
      <c r="L113" s="475"/>
      <c r="M113" s="476"/>
      <c r="N113" s="2698"/>
      <c r="O113" s="2698"/>
      <c r="P113" s="2696"/>
      <c r="Q113" s="2684"/>
      <c r="R113" s="2663"/>
      <c r="S113" s="2663"/>
      <c r="T113" s="2663"/>
      <c r="U113" s="2663"/>
      <c r="V113" s="2663"/>
      <c r="W113" s="2663"/>
      <c r="X113" s="2663"/>
      <c r="Y113" s="2663"/>
      <c r="Z113" s="2663"/>
      <c r="AA113" s="2663"/>
      <c r="AB113" s="2663"/>
      <c r="AC113" s="2663"/>
    </row>
    <row r="114" spans="1:29" s="416" customFormat="1" ht="15" thickTop="1">
      <c r="A114" s="414"/>
      <c r="B114" s="531">
        <f>B37</f>
        <v>111</v>
      </c>
      <c r="C114" s="9"/>
      <c r="D114" s="9"/>
      <c r="E114" s="9"/>
      <c r="F114" s="9"/>
      <c r="G114" s="9"/>
      <c r="H114" s="9"/>
      <c r="I114" s="9"/>
      <c r="J114" s="532"/>
      <c r="K114" s="532"/>
      <c r="L114" s="533"/>
      <c r="M114" s="534"/>
      <c r="N114" s="2699"/>
      <c r="O114" s="2699"/>
      <c r="P114" s="2699"/>
      <c r="Q114" s="2691"/>
      <c r="R114" s="2669"/>
      <c r="S114" s="2669"/>
      <c r="T114" s="2669"/>
      <c r="U114" s="2669"/>
      <c r="V114" s="2669"/>
      <c r="W114" s="2669"/>
      <c r="X114" s="2669"/>
      <c r="Y114" s="2669"/>
      <c r="Z114" s="2669"/>
      <c r="AA114" s="2669"/>
      <c r="AB114" s="2669"/>
      <c r="AC114" s="2669"/>
    </row>
    <row r="115" spans="1:29" s="416" customFormat="1" ht="15.75" thickBot="1">
      <c r="A115" s="492"/>
      <c r="B115" s="485"/>
      <c r="C115" s="454"/>
      <c r="D115" s="605"/>
      <c r="E115" s="605"/>
      <c r="F115" s="605"/>
      <c r="G115" s="605"/>
      <c r="H115" s="605"/>
      <c r="I115" s="605"/>
      <c r="J115" s="605"/>
      <c r="K115" s="605"/>
      <c r="L115" s="605"/>
      <c r="M115" s="627"/>
      <c r="N115" s="2698"/>
      <c r="O115" s="2698"/>
      <c r="P115" s="2699"/>
      <c r="Q115" s="2691"/>
      <c r="R115" s="2669"/>
      <c r="S115" s="2669"/>
      <c r="T115" s="2669"/>
      <c r="U115" s="2669"/>
      <c r="V115" s="2669"/>
      <c r="W115" s="2669"/>
      <c r="X115" s="2669"/>
      <c r="Y115" s="2669"/>
      <c r="Z115" s="2669"/>
      <c r="AA115" s="2669"/>
      <c r="AB115" s="2669"/>
      <c r="AC115" s="2669"/>
    </row>
    <row r="116" spans="1:29">
      <c r="A116" s="387" t="s">
        <v>2317</v>
      </c>
      <c r="B116" s="468" t="s">
        <v>2544</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697"/>
      <c r="O116" s="2697"/>
      <c r="P116" s="2696"/>
      <c r="Q116" s="2684"/>
      <c r="R116" s="2663"/>
      <c r="S116" s="2663"/>
      <c r="T116" s="2663"/>
      <c r="U116" s="2663"/>
      <c r="V116" s="2663"/>
      <c r="W116" s="2663"/>
      <c r="X116" s="2663"/>
      <c r="Y116" s="2663"/>
      <c r="Z116" s="2663"/>
      <c r="AA116" s="2663"/>
      <c r="AB116" s="2663"/>
      <c r="AC116" s="2663"/>
    </row>
    <row r="117" spans="1:29" ht="15">
      <c r="A117" s="375"/>
      <c r="B117" s="485"/>
      <c r="C117" s="9"/>
      <c r="D117" s="9"/>
      <c r="E117" s="9"/>
      <c r="F117" s="9"/>
      <c r="G117" s="9"/>
      <c r="H117" s="9"/>
      <c r="I117" s="9"/>
      <c r="J117" s="532"/>
      <c r="K117" s="532"/>
      <c r="L117" s="533"/>
      <c r="M117" s="534"/>
      <c r="N117" s="2697"/>
      <c r="O117" s="2697"/>
      <c r="P117" s="2696"/>
      <c r="Q117" s="2684"/>
      <c r="R117" s="2663"/>
      <c r="S117" s="2663"/>
      <c r="T117" s="2663"/>
      <c r="U117" s="2663"/>
      <c r="V117" s="2663"/>
      <c r="W117" s="2663"/>
      <c r="X117" s="2663"/>
      <c r="Y117" s="2663"/>
      <c r="Z117" s="2663"/>
      <c r="AA117" s="2663"/>
      <c r="AB117" s="2663"/>
      <c r="AC117" s="2663"/>
    </row>
    <row r="118" spans="1:29" ht="15.75" thickBot="1">
      <c r="A118" s="375"/>
      <c r="B118" s="482"/>
      <c r="C118" s="509"/>
      <c r="D118" s="529"/>
      <c r="E118" s="529"/>
      <c r="F118" s="529"/>
      <c r="G118" s="529"/>
      <c r="H118" s="529"/>
      <c r="I118" s="529"/>
      <c r="J118" s="529"/>
      <c r="K118" s="529"/>
      <c r="L118" s="529"/>
      <c r="M118" s="530"/>
      <c r="N118" s="2698"/>
      <c r="O118" s="2698"/>
      <c r="P118" s="2696"/>
      <c r="Q118" s="2684"/>
      <c r="R118" s="2663"/>
      <c r="S118" s="2663"/>
      <c r="T118" s="2663"/>
      <c r="U118" s="2663"/>
      <c r="V118" s="2663"/>
      <c r="W118" s="2663"/>
      <c r="X118" s="2663"/>
      <c r="Y118" s="2663"/>
      <c r="Z118" s="2663"/>
      <c r="AA118" s="2663"/>
      <c r="AB118" s="2663"/>
      <c r="AC118" s="2663"/>
    </row>
    <row r="119" spans="1:29" ht="15" thickTop="1">
      <c r="A119" s="417"/>
      <c r="B119" s="477" t="s">
        <v>2545</v>
      </c>
      <c r="C119" s="521"/>
      <c r="D119" s="521"/>
      <c r="E119" s="521"/>
      <c r="F119" s="521"/>
      <c r="G119" s="521"/>
      <c r="H119" s="521"/>
      <c r="I119" s="521"/>
      <c r="J119" s="521"/>
      <c r="K119" s="522"/>
      <c r="L119" s="523"/>
      <c r="M119" s="524"/>
      <c r="N119" s="2697"/>
      <c r="O119" s="2697"/>
      <c r="P119" s="2696"/>
      <c r="Q119" s="2684"/>
      <c r="R119" s="2663"/>
      <c r="S119" s="2663"/>
      <c r="T119" s="2663"/>
      <c r="U119" s="2663"/>
      <c r="V119" s="2663"/>
      <c r="W119" s="2663"/>
      <c r="X119" s="2663"/>
      <c r="Y119" s="2663"/>
      <c r="Z119" s="2663"/>
      <c r="AA119" s="2663"/>
      <c r="AB119" s="2663"/>
      <c r="AC119" s="2663"/>
    </row>
    <row r="120" spans="1:29" ht="15.7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698"/>
      <c r="O120" s="2698"/>
      <c r="P120" s="2696"/>
      <c r="Q120" s="2684"/>
      <c r="R120" s="2663"/>
      <c r="S120" s="2663"/>
      <c r="T120" s="2663"/>
      <c r="U120" s="2663"/>
      <c r="V120" s="2663"/>
      <c r="W120" s="2663"/>
      <c r="X120" s="2663"/>
      <c r="Y120" s="2663"/>
      <c r="Z120" s="2663"/>
      <c r="AA120" s="2663"/>
      <c r="AB120" s="2663"/>
      <c r="AC120" s="2663"/>
    </row>
    <row r="121" spans="1:29" ht="15" thickTop="1">
      <c r="A121" s="417"/>
      <c r="B121" s="477" t="s">
        <v>2546</v>
      </c>
      <c r="C121" s="493"/>
      <c r="D121" s="493"/>
      <c r="E121" s="493"/>
      <c r="F121" s="521"/>
      <c r="G121" s="521"/>
      <c r="H121" s="521"/>
      <c r="I121" s="521"/>
      <c r="J121" s="521"/>
      <c r="K121" s="522"/>
      <c r="L121" s="523"/>
      <c r="M121" s="524"/>
      <c r="N121" s="2697"/>
      <c r="O121" s="2697"/>
      <c r="P121" s="2696"/>
      <c r="Q121" s="2684"/>
      <c r="R121" s="2663"/>
      <c r="S121" s="2663"/>
      <c r="T121" s="2663"/>
      <c r="U121" s="2663"/>
      <c r="V121" s="2663"/>
      <c r="W121" s="2663"/>
      <c r="X121" s="2663"/>
      <c r="Y121" s="2663"/>
      <c r="Z121" s="2663"/>
      <c r="AA121" s="2663"/>
      <c r="AB121" s="2663"/>
      <c r="AC121" s="2663"/>
    </row>
    <row r="122" spans="1:29" ht="15.7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698"/>
      <c r="O122" s="2698"/>
      <c r="P122" s="2696"/>
      <c r="Q122" s="2684"/>
      <c r="R122" s="2663"/>
      <c r="S122" s="2663"/>
      <c r="T122" s="2663"/>
      <c r="U122" s="2663"/>
      <c r="V122" s="2663"/>
      <c r="W122" s="2663"/>
      <c r="X122" s="2663"/>
      <c r="Y122" s="2663"/>
      <c r="Z122" s="2663"/>
      <c r="AA122" s="2663"/>
      <c r="AB122" s="2663"/>
      <c r="AC122" s="2663"/>
    </row>
    <row r="123" spans="1:29" s="416" customFormat="1" ht="15" thickTop="1">
      <c r="A123" s="414"/>
      <c r="B123" s="477" t="s">
        <v>2547</v>
      </c>
      <c r="C123" s="493"/>
      <c r="D123" s="493"/>
      <c r="E123" s="493"/>
      <c r="F123" s="493"/>
      <c r="G123" s="493"/>
      <c r="H123" s="521"/>
      <c r="I123" s="521"/>
      <c r="J123" s="521"/>
      <c r="K123" s="522"/>
      <c r="L123" s="523"/>
      <c r="M123" s="524"/>
      <c r="N123" s="2699"/>
      <c r="O123" s="2699"/>
      <c r="P123" s="2699"/>
      <c r="Q123" s="2691"/>
      <c r="R123" s="2669"/>
      <c r="S123" s="2669"/>
      <c r="T123" s="2669"/>
      <c r="U123" s="2669"/>
      <c r="V123" s="2669"/>
      <c r="W123" s="2669"/>
      <c r="X123" s="2669"/>
      <c r="Y123" s="2669"/>
      <c r="Z123" s="2669"/>
      <c r="AA123" s="2669"/>
      <c r="AB123" s="2669"/>
      <c r="AC123" s="2669"/>
    </row>
    <row r="124" spans="1:29" s="416" customFormat="1" ht="15.7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699"/>
      <c r="O124" s="2699"/>
      <c r="P124" s="2699"/>
      <c r="Q124" s="2691"/>
      <c r="R124" s="2669"/>
      <c r="S124" s="2669"/>
      <c r="T124" s="2669"/>
      <c r="U124" s="2669"/>
      <c r="V124" s="2669"/>
      <c r="W124" s="2669"/>
      <c r="X124" s="2669"/>
      <c r="Y124" s="2669"/>
      <c r="Z124" s="2669"/>
      <c r="AA124" s="2669"/>
      <c r="AB124" s="2669"/>
      <c r="AC124" s="2669"/>
    </row>
    <row r="125" spans="1:29" ht="15" thickTop="1">
      <c r="A125" s="417"/>
      <c r="B125" s="477" t="s">
        <v>2548</v>
      </c>
      <c r="C125" s="493"/>
      <c r="D125" s="493"/>
      <c r="E125" s="521"/>
      <c r="F125" s="521"/>
      <c r="G125" s="521"/>
      <c r="H125" s="521"/>
      <c r="I125" s="521"/>
      <c r="J125" s="521"/>
      <c r="K125" s="522"/>
      <c r="L125" s="523"/>
      <c r="M125" s="524"/>
      <c r="N125" s="2697"/>
      <c r="O125" s="2697"/>
      <c r="P125" s="2696"/>
      <c r="Q125" s="2684"/>
      <c r="R125" s="2663"/>
      <c r="S125" s="2663"/>
      <c r="T125" s="2663"/>
      <c r="U125" s="2663"/>
      <c r="V125" s="2663"/>
      <c r="W125" s="2663"/>
      <c r="X125" s="2663"/>
      <c r="Y125" s="2663"/>
      <c r="Z125" s="2663"/>
      <c r="AA125" s="2663"/>
      <c r="AB125" s="2663"/>
      <c r="AC125" s="2663"/>
    </row>
    <row r="126" spans="1:29" ht="15.7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698"/>
      <c r="O126" s="2698"/>
      <c r="P126" s="2696"/>
      <c r="Q126" s="2684"/>
      <c r="R126" s="2663"/>
      <c r="S126" s="2663"/>
      <c r="T126" s="2663"/>
      <c r="U126" s="2663"/>
      <c r="V126" s="2663"/>
      <c r="W126" s="2663"/>
      <c r="X126" s="2663"/>
      <c r="Y126" s="2663"/>
      <c r="Z126" s="2663"/>
      <c r="AA126" s="2663"/>
      <c r="AB126" s="2663"/>
      <c r="AC126" s="2663"/>
    </row>
    <row r="127" spans="1:29" ht="15" thickTop="1">
      <c r="A127" s="417"/>
      <c r="B127" s="477">
        <f>B43</f>
        <v>111</v>
      </c>
      <c r="C127" s="493"/>
      <c r="D127" s="493"/>
      <c r="E127" s="493"/>
      <c r="F127" s="493"/>
      <c r="G127" s="493"/>
      <c r="H127" s="521"/>
      <c r="I127" s="521"/>
      <c r="J127" s="521"/>
      <c r="K127" s="522"/>
      <c r="L127" s="523"/>
      <c r="M127" s="524"/>
      <c r="N127" s="2697"/>
      <c r="O127" s="2697"/>
      <c r="P127" s="2696"/>
      <c r="Q127" s="2684"/>
      <c r="R127" s="2663"/>
      <c r="S127" s="2663"/>
      <c r="T127" s="2663"/>
      <c r="U127" s="2663"/>
      <c r="V127" s="2663"/>
      <c r="W127" s="2663"/>
      <c r="X127" s="2663"/>
      <c r="Y127" s="2663"/>
      <c r="Z127" s="2663"/>
      <c r="AA127" s="2663"/>
      <c r="AB127" s="2663"/>
      <c r="AC127" s="2663"/>
    </row>
    <row r="128" spans="1:29" ht="15.75" thickBot="1">
      <c r="A128" s="375"/>
      <c r="B128" s="482"/>
      <c r="C128" s="499"/>
      <c r="D128" s="499"/>
      <c r="E128" s="499"/>
      <c r="F128" s="499"/>
      <c r="G128" s="475"/>
      <c r="H128" s="475"/>
      <c r="I128" s="475"/>
      <c r="J128" s="475"/>
      <c r="K128" s="475"/>
      <c r="L128" s="475"/>
      <c r="M128" s="476"/>
      <c r="N128" s="2698"/>
      <c r="O128" s="2698"/>
      <c r="P128" s="2696"/>
      <c r="Q128" s="2684"/>
      <c r="R128" s="2663"/>
      <c r="S128" s="2663"/>
      <c r="T128" s="2663"/>
      <c r="U128" s="2663"/>
      <c r="V128" s="2663"/>
      <c r="W128" s="2663"/>
      <c r="X128" s="2663"/>
      <c r="Y128" s="2663"/>
      <c r="Z128" s="2663"/>
      <c r="AA128" s="2663"/>
      <c r="AB128" s="2663"/>
      <c r="AC128" s="2663"/>
    </row>
    <row r="129" spans="1:29" ht="15" thickTop="1">
      <c r="A129" s="417"/>
      <c r="B129" s="477">
        <f>B44</f>
        <v>111</v>
      </c>
      <c r="C129" s="34"/>
      <c r="D129" s="34"/>
      <c r="E129" s="34"/>
      <c r="F129" s="34"/>
      <c r="G129" s="521"/>
      <c r="H129" s="521"/>
      <c r="I129" s="521"/>
      <c r="J129" s="521"/>
      <c r="K129" s="522"/>
      <c r="L129" s="523"/>
      <c r="M129" s="524"/>
      <c r="N129" s="2697"/>
      <c r="O129" s="2697"/>
      <c r="P129" s="2696"/>
      <c r="Q129" s="2684"/>
      <c r="R129" s="2663"/>
      <c r="S129" s="2663"/>
      <c r="T129" s="2663"/>
      <c r="U129" s="2663"/>
      <c r="V129" s="2663"/>
      <c r="W129" s="2663"/>
      <c r="X129" s="2663"/>
      <c r="Y129" s="2663"/>
      <c r="Z129" s="2663"/>
      <c r="AA129" s="2663"/>
      <c r="AB129" s="2663"/>
      <c r="AC129" s="2663"/>
    </row>
    <row r="130" spans="1:29" ht="15.75" thickBot="1">
      <c r="A130" s="375"/>
      <c r="B130" s="482"/>
      <c r="C130" s="509"/>
      <c r="D130" s="509"/>
      <c r="E130" s="509"/>
      <c r="F130" s="509"/>
      <c r="G130" s="475"/>
      <c r="H130" s="475"/>
      <c r="I130" s="475"/>
      <c r="J130" s="475"/>
      <c r="K130" s="475"/>
      <c r="L130" s="475"/>
      <c r="M130" s="476"/>
      <c r="N130" s="2698"/>
      <c r="O130" s="2698"/>
      <c r="P130" s="2696"/>
      <c r="Q130" s="2684"/>
      <c r="R130" s="2663"/>
      <c r="S130" s="2663"/>
      <c r="T130" s="2663"/>
      <c r="U130" s="2663"/>
      <c r="V130" s="2663"/>
      <c r="W130" s="2663"/>
      <c r="X130" s="2663"/>
      <c r="Y130" s="2663"/>
      <c r="Z130" s="2663"/>
      <c r="AA130" s="2663"/>
      <c r="AB130" s="2663"/>
      <c r="AC130" s="2663"/>
    </row>
    <row r="131" spans="1:29" s="416" customFormat="1" ht="15" thickTop="1">
      <c r="A131" s="414"/>
      <c r="B131" s="477">
        <f>B45</f>
        <v>111</v>
      </c>
      <c r="C131" s="34"/>
      <c r="D131" s="34"/>
      <c r="E131" s="34"/>
      <c r="F131" s="34"/>
      <c r="G131" s="494"/>
      <c r="H131" s="494"/>
      <c r="I131" s="494"/>
      <c r="J131" s="494"/>
      <c r="K131" s="494"/>
      <c r="L131" s="495"/>
      <c r="M131" s="496"/>
      <c r="N131" s="2699"/>
      <c r="O131" s="2699"/>
      <c r="P131" s="2699"/>
      <c r="Q131" s="2691"/>
      <c r="R131" s="2669"/>
      <c r="S131" s="2669"/>
      <c r="T131" s="2669"/>
      <c r="U131" s="2669"/>
      <c r="V131" s="2669"/>
      <c r="W131" s="2669"/>
      <c r="X131" s="2669"/>
      <c r="Y131" s="2669"/>
      <c r="Z131" s="2669"/>
      <c r="AA131" s="2669"/>
      <c r="AB131" s="2669"/>
      <c r="AC131" s="2669"/>
    </row>
    <row r="132" spans="1:29" s="416" customFormat="1" ht="15.75" thickBot="1">
      <c r="A132" s="507"/>
      <c r="B132" s="628"/>
      <c r="C132" s="509"/>
      <c r="D132" s="509"/>
      <c r="E132" s="509"/>
      <c r="F132" s="509"/>
      <c r="G132" s="529"/>
      <c r="H132" s="529"/>
      <c r="I132" s="529"/>
      <c r="J132" s="529"/>
      <c r="K132" s="529"/>
      <c r="L132" s="529"/>
      <c r="M132" s="530"/>
      <c r="N132" s="2699"/>
      <c r="O132" s="2699"/>
      <c r="P132" s="2699"/>
      <c r="Q132" s="2691"/>
      <c r="R132" s="2669"/>
      <c r="S132" s="2669"/>
      <c r="T132" s="2669"/>
      <c r="U132" s="2669"/>
      <c r="V132" s="2669"/>
      <c r="W132" s="2669"/>
      <c r="X132" s="2669"/>
      <c r="Y132" s="2669"/>
      <c r="Z132" s="2669"/>
      <c r="AA132" s="2669"/>
      <c r="AB132" s="2669"/>
      <c r="AC132" s="266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2" xr:uid="{00000000-0002-0000-2300-000013000000}">
      <formula1>"商业,办公,住宅,工业"</formula1>
    </dataValidation>
    <dataValidation type="list" allowBlank="1" showInputMessage="1" showErrorMessage="1" sqref="G63" xr:uid="{00000000-0002-0000-2300-000014000000}">
      <formula1>"住宅,工业"</formula1>
    </dataValidation>
    <dataValidation type="list" allowBlank="1" showInputMessage="1" showErrorMessage="1" sqref="D57:D65" xr:uid="{00000000-0002-0000-2300-000015000000}">
      <formula1>"25%,1"</formula1>
    </dataValidation>
    <dataValidation type="list" allowBlank="1" showInputMessage="1" showErrorMessage="1" sqref="C30 E30 G30 I30" xr:uid="{00000000-0002-0000-2300-000016000000}">
      <formula1>基础设施水平</formula1>
    </dataValidation>
    <dataValidation type="list" allowBlank="1" showInputMessage="1" showErrorMessage="1" sqref="A71" xr:uid="{00000000-0002-0000-2300-000017000000}">
      <formula1>"综合,商业,办公,住宅"</formula1>
    </dataValidation>
    <dataValidation type="list" allowBlank="1" showInputMessage="1" showErrorMessage="1" sqref="D47"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2497</v>
      </c>
      <c r="B1" s="346"/>
      <c r="C1" s="347" t="s">
        <v>2549</v>
      </c>
      <c r="D1" s="659"/>
      <c r="E1" s="659"/>
      <c r="F1" s="658" t="s">
        <v>2396</v>
      </c>
      <c r="G1" s="659"/>
      <c r="H1" s="659"/>
      <c r="I1" s="659"/>
      <c r="J1" s="659"/>
      <c r="K1" s="660"/>
      <c r="L1" s="661"/>
      <c r="M1" s="662"/>
      <c r="N1" s="662"/>
      <c r="O1" s="662"/>
      <c r="P1" s="347"/>
      <c r="Q1" s="347"/>
      <c r="R1" s="347"/>
      <c r="S1" s="347"/>
      <c r="T1" s="347"/>
      <c r="U1" s="347"/>
      <c r="V1" s="347"/>
      <c r="W1" s="347"/>
      <c r="X1" s="347"/>
      <c r="Y1" s="347"/>
      <c r="Z1" s="347"/>
      <c r="AA1" s="347"/>
      <c r="AB1" s="347"/>
      <c r="AC1" s="671"/>
    </row>
    <row r="2" spans="1:29" s="348" customFormat="1" ht="28.5" customHeight="1">
      <c r="A2" s="199" t="s">
        <v>2082</v>
      </c>
      <c r="B2" s="599" t="e">
        <f>F61</f>
        <v>#DIV/0!</v>
      </c>
      <c r="C2" s="978"/>
      <c r="D2" s="978"/>
      <c r="E2" s="978"/>
      <c r="F2" s="979"/>
      <c r="G2" s="978"/>
      <c r="H2" s="978"/>
      <c r="I2" s="978"/>
      <c r="J2" s="978"/>
      <c r="K2" s="980"/>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ROUND(IF(D3="",B2*10000/'数据-汇总表'!E3,B2*10000/D3),0)</f>
        <v>#DIV/0!</v>
      </c>
      <c r="C3" s="201" t="s">
        <v>2499</v>
      </c>
      <c r="D3" s="1238"/>
      <c r="E3" s="978"/>
      <c r="F3" s="979"/>
      <c r="G3" s="978"/>
      <c r="H3" s="978"/>
      <c r="I3" s="978"/>
      <c r="J3" s="978"/>
      <c r="K3" s="980"/>
      <c r="L3" s="2679"/>
      <c r="M3" s="2680"/>
      <c r="N3" s="2680"/>
      <c r="O3" s="2680"/>
      <c r="P3" s="347"/>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462" t="s">
        <v>2550</v>
      </c>
      <c r="D6" s="3463"/>
      <c r="E6" s="3464" t="s">
        <v>2550</v>
      </c>
      <c r="F6" s="3465"/>
      <c r="G6" s="3462" t="s">
        <v>2550</v>
      </c>
      <c r="H6" s="3463"/>
      <c r="I6" s="3462" t="s">
        <v>2550</v>
      </c>
      <c r="J6" s="3463"/>
      <c r="K6" s="545"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SUMIF(65:65,YEAR(E7)&amp;"-"&amp;INT((MONTH(E7)+2)/3),66:66)</f>
        <v>0</v>
      </c>
      <c r="G7" s="1964"/>
      <c r="H7" s="361">
        <f>SUMIF(65:65,YEAR(G7)&amp;"-"&amp;INT((MONTH(G7)+2)/3),66:66)</f>
        <v>0</v>
      </c>
      <c r="I7" s="1964"/>
      <c r="J7" s="361">
        <f>SUMIF(65:65,YEAR(I7)&amp;"-"&amp;INT((MONTH(I7)+2)/3),66:66)</f>
        <v>0</v>
      </c>
      <c r="K7" s="41"/>
      <c r="L7" s="2664"/>
      <c r="M7" s="2613"/>
      <c r="N7" s="2613"/>
      <c r="O7" s="2613"/>
      <c r="P7" s="3391"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53" t="e">
        <f>D7/J7</f>
        <v>#DIV/0!</v>
      </c>
    </row>
    <row r="8" spans="1:29" s="107" customFormat="1" ht="15.75" thickBot="1">
      <c r="A8" s="358" t="s">
        <v>2304</v>
      </c>
      <c r="B8" s="359"/>
      <c r="C8" s="364" t="s">
        <v>2305</v>
      </c>
      <c r="D8" s="361">
        <v>100</v>
      </c>
      <c r="E8" s="364"/>
      <c r="F8" s="363">
        <f>SUMIF(68:68,E8,69:69)-SUMIF(68:68,C8,69:69)+100</f>
        <v>0</v>
      </c>
      <c r="G8" s="364"/>
      <c r="H8" s="361">
        <f>SUMIF(68:68,G8,69:69)-SUMIF(68:68,C8,69:69)+100</f>
        <v>0</v>
      </c>
      <c r="I8" s="364"/>
      <c r="J8" s="361">
        <f>SUMIF(68:68,I8,69:69)-SUMIF(68:68,C8,69:69)+100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40" si="3">D8/F8</f>
        <v>#DIV/0!</v>
      </c>
      <c r="AB8" s="53" t="e">
        <f t="shared" ref="AB8:AB40" si="4">D8/H8</f>
        <v>#DIV/0!</v>
      </c>
      <c r="AC8" s="53" t="e">
        <f t="shared" ref="AC8:AC40" si="5">D8/J8</f>
        <v>#DIV/0!</v>
      </c>
    </row>
    <row r="9" spans="1:29" s="107" customFormat="1">
      <c r="A9" s="365" t="s">
        <v>2307</v>
      </c>
      <c r="B9" s="64" t="s">
        <v>2308</v>
      </c>
      <c r="C9" s="1967"/>
      <c r="D9" s="63">
        <v>100</v>
      </c>
      <c r="E9" s="1967"/>
      <c r="F9" s="63">
        <f>SUMIF(70:70,E9,71:71)-SUMIF(70:70,C9,71:71)+100</f>
        <v>100</v>
      </c>
      <c r="G9" s="1967"/>
      <c r="H9" s="63">
        <f>SUMIF(70:70,G9,71:71)-SUMIF(70:70,C9,71:71)+100</f>
        <v>100</v>
      </c>
      <c r="I9" s="1967"/>
      <c r="J9" s="63">
        <f>SUMIF(70:70,I9,71:71)-SUMIF(70:70,C9,71:71)+100</f>
        <v>100</v>
      </c>
      <c r="K9" s="41"/>
      <c r="L9" s="2664"/>
      <c r="M9" s="2613"/>
      <c r="N9" s="2613"/>
      <c r="O9" s="2716"/>
      <c r="P9" s="3351"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9"/>
      <c r="D10" s="124">
        <v>100</v>
      </c>
      <c r="E10" s="379"/>
      <c r="F10" s="124" t="e">
        <f>ROUND(100/'数据-取费表'!G16,0)</f>
        <v>#DIV/0!</v>
      </c>
      <c r="G10" s="379"/>
      <c r="H10" s="124" t="e">
        <f>ROUND(100/'数据-取费表'!G16,0)</f>
        <v>#DIV/0!</v>
      </c>
      <c r="I10" s="379"/>
      <c r="J10" s="124" t="e">
        <f>ROUND(100/'数据-取费表'!G16,0)</f>
        <v>#DIV/0!</v>
      </c>
      <c r="K10" s="600"/>
      <c r="L10" s="2665"/>
      <c r="M10" s="2666"/>
      <c r="N10" s="2666"/>
      <c r="O10" s="2717"/>
      <c r="P10" s="3351"/>
      <c r="Q10" s="538" t="str">
        <f t="shared" si="6"/>
        <v>土地使用年限（年）</v>
      </c>
      <c r="R10" s="672" t="s">
        <v>17</v>
      </c>
      <c r="S10" s="673" t="e">
        <f t="shared" si="0"/>
        <v>#DIV/0!</v>
      </c>
      <c r="T10" s="672" t="s">
        <v>17</v>
      </c>
      <c r="U10" s="673" t="e">
        <f t="shared" si="1"/>
        <v>#DIV/0!</v>
      </c>
      <c r="V10" s="672" t="s">
        <v>17</v>
      </c>
      <c r="W10" s="673" t="e">
        <f t="shared" si="2"/>
        <v>#DIV/0!</v>
      </c>
      <c r="X10" s="674"/>
      <c r="Y10" s="3225"/>
      <c r="Z10" s="53" t="str">
        <f t="shared" si="7"/>
        <v>土地使用年限（年）</v>
      </c>
      <c r="AA10" s="53" t="e">
        <f t="shared" si="3"/>
        <v>#DIV/0!</v>
      </c>
      <c r="AB10" s="53" t="e">
        <f t="shared" si="4"/>
        <v>#DIV/0!</v>
      </c>
      <c r="AC10" s="53" t="e">
        <f t="shared" si="5"/>
        <v>#DIV/0!</v>
      </c>
    </row>
    <row r="11" spans="1:29" ht="15">
      <c r="A11" s="375"/>
      <c r="B11" s="370" t="s">
        <v>2312</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67"/>
      <c r="M11" s="2663"/>
      <c r="N11" s="2663"/>
      <c r="O11" s="2718"/>
      <c r="P11" s="3351"/>
      <c r="Q11" s="538" t="str">
        <f t="shared" si="6"/>
        <v>容积率</v>
      </c>
      <c r="R11" s="672" t="s">
        <v>17</v>
      </c>
      <c r="S11" s="673" t="e">
        <f t="shared" si="0"/>
        <v>#N/A</v>
      </c>
      <c r="T11" s="672" t="s">
        <v>17</v>
      </c>
      <c r="U11" s="673" t="e">
        <f t="shared" si="1"/>
        <v>#N/A</v>
      </c>
      <c r="V11" s="672" t="s">
        <v>17</v>
      </c>
      <c r="W11" s="673" t="e">
        <f t="shared" si="2"/>
        <v>#N/A</v>
      </c>
      <c r="X11" s="674"/>
      <c r="Y11" s="3225"/>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64"/>
      <c r="M12" s="2613"/>
      <c r="N12" s="2613"/>
      <c r="O12" s="2716"/>
      <c r="P12" s="3351"/>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68"/>
      <c r="M13" s="2663"/>
      <c r="N13" s="2663"/>
      <c r="O13" s="2718"/>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15.75" thickBot="1">
      <c r="A14" s="383"/>
      <c r="B14" s="1893">
        <v>111</v>
      </c>
      <c r="C14" s="384"/>
      <c r="D14" s="385">
        <v>100</v>
      </c>
      <c r="E14" s="488"/>
      <c r="F14" s="385">
        <f>SUMIF(81:81,E14,82:82)-SUMIF(81:81,C14,82:82)+100</f>
        <v>100</v>
      </c>
      <c r="G14" s="602"/>
      <c r="H14" s="385">
        <f>SUMIF(81:81,G14,82:82)-SUMIF(81:81,C14,82:82)+100</f>
        <v>100</v>
      </c>
      <c r="I14" s="488"/>
      <c r="J14" s="385">
        <f>SUMIF(81:81,I14,82:82)-SUMIF(81:81,C14,82:82)+100</f>
        <v>100</v>
      </c>
      <c r="K14" s="600"/>
      <c r="L14" s="2668"/>
      <c r="M14" s="2663"/>
      <c r="N14" s="2663"/>
      <c r="O14" s="2718"/>
      <c r="P14" s="3351"/>
      <c r="Q14" s="538">
        <f t="shared" si="6"/>
        <v>111</v>
      </c>
      <c r="R14" s="672" t="s">
        <v>17</v>
      </c>
      <c r="S14" s="673">
        <f t="shared" si="0"/>
        <v>100</v>
      </c>
      <c r="T14" s="672" t="s">
        <v>17</v>
      </c>
      <c r="U14" s="673">
        <f t="shared" si="1"/>
        <v>100</v>
      </c>
      <c r="V14" s="672" t="s">
        <v>17</v>
      </c>
      <c r="W14" s="673">
        <f t="shared" si="2"/>
        <v>100</v>
      </c>
      <c r="X14" s="674"/>
      <c r="Y14" s="3225"/>
      <c r="Z14" s="53">
        <f t="shared" si="7"/>
        <v>111</v>
      </c>
      <c r="AA14" s="53">
        <f t="shared" si="3"/>
        <v>1</v>
      </c>
      <c r="AB14" s="53">
        <f t="shared" si="4"/>
        <v>1</v>
      </c>
      <c r="AC14" s="53">
        <f t="shared" si="5"/>
        <v>1</v>
      </c>
    </row>
    <row r="15" spans="1:29" ht="71.25">
      <c r="A15" s="387" t="s">
        <v>2313</v>
      </c>
      <c r="B15" s="562" t="s">
        <v>2551</v>
      </c>
      <c r="C15" s="1961"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68"/>
      <c r="M15" s="2663"/>
      <c r="N15" s="2663"/>
      <c r="O15" s="2718"/>
      <c r="P15" s="3358" t="s">
        <v>2314</v>
      </c>
      <c r="Q15" s="1407" t="str">
        <f t="shared" si="6"/>
        <v>产业集聚程度</v>
      </c>
      <c r="R15" s="675" t="s">
        <v>17</v>
      </c>
      <c r="S15" s="676">
        <f t="shared" si="0"/>
        <v>100</v>
      </c>
      <c r="T15" s="675" t="s">
        <v>17</v>
      </c>
      <c r="U15" s="676">
        <f t="shared" si="1"/>
        <v>100</v>
      </c>
      <c r="V15" s="675" t="s">
        <v>17</v>
      </c>
      <c r="W15" s="676">
        <f t="shared" si="2"/>
        <v>100</v>
      </c>
      <c r="X15" s="1409"/>
      <c r="Y15" s="3358" t="s">
        <v>2314</v>
      </c>
      <c r="Z15" s="1408" t="str">
        <f t="shared" si="7"/>
        <v>产业集聚程度</v>
      </c>
      <c r="AA15" s="1408">
        <f t="shared" si="3"/>
        <v>1</v>
      </c>
      <c r="AB15" s="1408">
        <f t="shared" si="4"/>
        <v>1</v>
      </c>
      <c r="AC15" s="1408">
        <f t="shared" si="5"/>
        <v>1</v>
      </c>
    </row>
    <row r="16" spans="1:29" ht="15">
      <c r="A16" s="375"/>
      <c r="B16" s="563"/>
      <c r="C16" s="394"/>
      <c r="D16" s="395"/>
      <c r="E16" s="1902"/>
      <c r="F16" s="395"/>
      <c r="G16" s="1902"/>
      <c r="H16" s="397"/>
      <c r="I16" s="1902"/>
      <c r="J16" s="395"/>
      <c r="K16" s="600"/>
      <c r="L16" s="2668"/>
      <c r="M16" s="2663"/>
      <c r="N16" s="2663"/>
      <c r="O16" s="2718"/>
      <c r="P16" s="3359"/>
      <c r="Q16" s="1407"/>
      <c r="R16" s="675"/>
      <c r="S16" s="676"/>
      <c r="T16" s="675"/>
      <c r="U16" s="676"/>
      <c r="V16" s="675"/>
      <c r="W16" s="676"/>
      <c r="X16" s="1409"/>
      <c r="Y16" s="3359"/>
      <c r="Z16" s="1408"/>
      <c r="AA16" s="1408">
        <v>1</v>
      </c>
      <c r="AB16" s="1408">
        <v>1</v>
      </c>
      <c r="AC16" s="1408">
        <v>1</v>
      </c>
    </row>
    <row r="17" spans="1:29" ht="85.5">
      <c r="A17" s="375"/>
      <c r="B17" s="564" t="s">
        <v>2462</v>
      </c>
      <c r="C17" s="1898"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68"/>
      <c r="M17" s="2663"/>
      <c r="N17" s="2663"/>
      <c r="O17" s="2718"/>
      <c r="P17" s="3359"/>
      <c r="Q17" s="1407" t="str">
        <f>B17</f>
        <v>交通便捷度</v>
      </c>
      <c r="R17" s="675" t="s">
        <v>17</v>
      </c>
      <c r="S17" s="676">
        <f>F17</f>
        <v>100</v>
      </c>
      <c r="T17" s="675" t="s">
        <v>17</v>
      </c>
      <c r="U17" s="676">
        <f>H17</f>
        <v>100</v>
      </c>
      <c r="V17" s="675" t="s">
        <v>17</v>
      </c>
      <c r="W17" s="676">
        <f>J17</f>
        <v>100</v>
      </c>
      <c r="X17" s="1409"/>
      <c r="Y17" s="3359"/>
      <c r="Z17" s="1408" t="str">
        <f>Q17</f>
        <v>交通便捷度</v>
      </c>
      <c r="AA17" s="1408">
        <f t="shared" si="3"/>
        <v>1</v>
      </c>
      <c r="AB17" s="1408">
        <f t="shared" si="4"/>
        <v>1</v>
      </c>
      <c r="AC17" s="1408">
        <f t="shared" si="5"/>
        <v>1</v>
      </c>
    </row>
    <row r="18" spans="1:29" ht="15">
      <c r="A18" s="375"/>
      <c r="B18" s="409"/>
      <c r="C18" s="394"/>
      <c r="D18" s="395"/>
      <c r="E18" s="1896"/>
      <c r="F18" s="395"/>
      <c r="G18" s="1896"/>
      <c r="H18" s="395"/>
      <c r="I18" s="1895"/>
      <c r="J18" s="395"/>
      <c r="K18" s="600"/>
      <c r="L18" s="2668"/>
      <c r="M18" s="2663"/>
      <c r="N18" s="2663"/>
      <c r="O18" s="2718"/>
      <c r="P18" s="3359"/>
      <c r="Q18" s="1407"/>
      <c r="R18" s="675"/>
      <c r="S18" s="676"/>
      <c r="T18" s="675"/>
      <c r="U18" s="676"/>
      <c r="V18" s="675"/>
      <c r="W18" s="676"/>
      <c r="X18" s="1409"/>
      <c r="Y18" s="3359"/>
      <c r="Z18" s="1408"/>
      <c r="AA18" s="1408">
        <v>1</v>
      </c>
      <c r="AB18" s="1408">
        <v>1</v>
      </c>
      <c r="AC18" s="1408">
        <v>1</v>
      </c>
    </row>
    <row r="19" spans="1:29" ht="15">
      <c r="A19" s="375"/>
      <c r="B19" s="564" t="s">
        <v>2501</v>
      </c>
      <c r="C19" s="1898">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68"/>
      <c r="M19" s="2663"/>
      <c r="N19" s="2663"/>
      <c r="O19" s="2718"/>
      <c r="P19" s="3359"/>
      <c r="Q19" s="1407" t="str">
        <f t="shared" ref="Q19:Q33" si="8">B19</f>
        <v>区域土地利用方向</v>
      </c>
      <c r="R19" s="675" t="s">
        <v>17</v>
      </c>
      <c r="S19" s="676">
        <f>F19</f>
        <v>100</v>
      </c>
      <c r="T19" s="675" t="s">
        <v>17</v>
      </c>
      <c r="U19" s="676">
        <f>H19</f>
        <v>100</v>
      </c>
      <c r="V19" s="675" t="s">
        <v>17</v>
      </c>
      <c r="W19" s="676">
        <f>J19</f>
        <v>100</v>
      </c>
      <c r="X19" s="1409"/>
      <c r="Y19" s="3359"/>
      <c r="Z19" s="1408" t="str">
        <f>Q19</f>
        <v>区域土地利用方向</v>
      </c>
      <c r="AA19" s="1408">
        <f t="shared" si="3"/>
        <v>1</v>
      </c>
      <c r="AB19" s="1408">
        <f t="shared" si="4"/>
        <v>1</v>
      </c>
      <c r="AC19" s="1408">
        <f t="shared" si="5"/>
        <v>1</v>
      </c>
    </row>
    <row r="20" spans="1:29" ht="15">
      <c r="A20" s="354"/>
      <c r="B20" s="409"/>
      <c r="C20" s="394"/>
      <c r="D20" s="395"/>
      <c r="E20" s="1896"/>
      <c r="F20" s="395"/>
      <c r="G20" s="1896"/>
      <c r="H20" s="395"/>
      <c r="I20" s="1896"/>
      <c r="J20" s="395"/>
      <c r="K20" s="707"/>
      <c r="L20" s="2668"/>
      <c r="M20" s="2663"/>
      <c r="N20" s="2663"/>
      <c r="O20" s="2718"/>
      <c r="P20" s="3359"/>
      <c r="Q20" s="1407"/>
      <c r="R20" s="675"/>
      <c r="S20" s="676"/>
      <c r="T20" s="675"/>
      <c r="U20" s="676"/>
      <c r="V20" s="675"/>
      <c r="W20" s="676"/>
      <c r="X20" s="1409"/>
      <c r="Y20" s="3359"/>
      <c r="Z20" s="1408"/>
      <c r="AA20" s="1408"/>
      <c r="AB20" s="1408"/>
      <c r="AC20" s="1408"/>
    </row>
    <row r="21" spans="1:29" ht="71.25">
      <c r="A21" s="354"/>
      <c r="B21" s="564" t="s">
        <v>2552</v>
      </c>
      <c r="C21" s="1898"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68"/>
      <c r="M21" s="2663"/>
      <c r="N21" s="2663"/>
      <c r="O21" s="2718"/>
      <c r="P21" s="3359"/>
      <c r="Q21" s="1407" t="str">
        <f t="shared" si="8"/>
        <v>环境状况</v>
      </c>
      <c r="R21" s="675" t="s">
        <v>17</v>
      </c>
      <c r="S21" s="676">
        <f>F21</f>
        <v>100</v>
      </c>
      <c r="T21" s="675" t="s">
        <v>17</v>
      </c>
      <c r="U21" s="676">
        <f>H21</f>
        <v>100</v>
      </c>
      <c r="V21" s="675" t="s">
        <v>17</v>
      </c>
      <c r="W21" s="676">
        <f>J21</f>
        <v>100</v>
      </c>
      <c r="X21" s="1409"/>
      <c r="Y21" s="3359"/>
      <c r="Z21" s="1408" t="str">
        <f>Q21</f>
        <v>环境状况</v>
      </c>
      <c r="AA21" s="1408">
        <f t="shared" si="3"/>
        <v>1</v>
      </c>
      <c r="AB21" s="1408">
        <f t="shared" si="4"/>
        <v>1</v>
      </c>
      <c r="AC21" s="1408">
        <f t="shared" si="5"/>
        <v>1</v>
      </c>
    </row>
    <row r="22" spans="1:29" ht="15">
      <c r="A22" s="354"/>
      <c r="B22" s="409"/>
      <c r="C22" s="394"/>
      <c r="D22" s="395"/>
      <c r="E22" s="1902"/>
      <c r="F22" s="395"/>
      <c r="G22" s="1902"/>
      <c r="H22" s="395"/>
      <c r="I22" s="394"/>
      <c r="J22" s="395"/>
      <c r="K22" s="600"/>
      <c r="L22" s="2668"/>
      <c r="M22" s="2663"/>
      <c r="N22" s="2663"/>
      <c r="O22" s="2718"/>
      <c r="P22" s="3359"/>
      <c r="Q22" s="1407"/>
      <c r="R22" s="675"/>
      <c r="S22" s="676"/>
      <c r="T22" s="675"/>
      <c r="U22" s="676"/>
      <c r="V22" s="675"/>
      <c r="W22" s="676"/>
      <c r="X22" s="1409"/>
      <c r="Y22" s="3359"/>
      <c r="Z22" s="1408"/>
      <c r="AA22" s="1408">
        <v>1</v>
      </c>
      <c r="AB22" s="1408">
        <v>1</v>
      </c>
      <c r="AC22" s="1408">
        <v>1</v>
      </c>
    </row>
    <row r="23" spans="1:29" s="107" customFormat="1" ht="42.75">
      <c r="A23" s="451"/>
      <c r="B23" s="565" t="s">
        <v>2407</v>
      </c>
      <c r="C23" s="1898"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64"/>
      <c r="M23" s="2613"/>
      <c r="N23" s="2613"/>
      <c r="O23" s="2716"/>
      <c r="P23" s="3359"/>
      <c r="Q23" s="538" t="str">
        <f t="shared" si="8"/>
        <v>公共配套设施</v>
      </c>
      <c r="R23" s="672" t="s">
        <v>17</v>
      </c>
      <c r="S23" s="673">
        <f>F23</f>
        <v>100</v>
      </c>
      <c r="T23" s="672" t="s">
        <v>17</v>
      </c>
      <c r="U23" s="673">
        <f>H23</f>
        <v>100</v>
      </c>
      <c r="V23" s="672" t="s">
        <v>17</v>
      </c>
      <c r="W23" s="673">
        <f>J23</f>
        <v>100</v>
      </c>
      <c r="X23" s="674"/>
      <c r="Y23" s="3359"/>
      <c r="Z23" s="53" t="str">
        <f>Q23</f>
        <v>公共配套设施</v>
      </c>
      <c r="AA23" s="1408">
        <f>D23/F23</f>
        <v>1</v>
      </c>
      <c r="AB23" s="1408">
        <f>D23/H23</f>
        <v>1</v>
      </c>
      <c r="AC23" s="1408">
        <f>D23/J23</f>
        <v>1</v>
      </c>
    </row>
    <row r="24" spans="1:29" s="107" customFormat="1" ht="15">
      <c r="A24" s="451"/>
      <c r="B24" s="409"/>
      <c r="C24" s="1968"/>
      <c r="D24" s="395"/>
      <c r="E24" s="1902"/>
      <c r="F24" s="395"/>
      <c r="G24" s="1902"/>
      <c r="H24" s="395"/>
      <c r="I24" s="394"/>
      <c r="J24" s="395"/>
      <c r="K24" s="600"/>
      <c r="L24" s="2664"/>
      <c r="M24" s="2613"/>
      <c r="N24" s="2613"/>
      <c r="O24" s="2716"/>
      <c r="P24" s="3359"/>
      <c r="Q24" s="538"/>
      <c r="R24" s="672"/>
      <c r="S24" s="673"/>
      <c r="T24" s="672"/>
      <c r="U24" s="673"/>
      <c r="V24" s="672"/>
      <c r="W24" s="673"/>
      <c r="X24" s="674"/>
      <c r="Y24" s="3359"/>
      <c r="Z24" s="53"/>
      <c r="AA24" s="53">
        <v>1</v>
      </c>
      <c r="AB24" s="53">
        <v>1</v>
      </c>
      <c r="AC24" s="53">
        <v>1</v>
      </c>
    </row>
    <row r="25" spans="1:29" s="107" customFormat="1" ht="42.75">
      <c r="A25" s="451"/>
      <c r="B25" s="565" t="s">
        <v>2408</v>
      </c>
      <c r="C25" s="1898"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64"/>
      <c r="M25" s="2613"/>
      <c r="N25" s="2613"/>
      <c r="O25" s="2716"/>
      <c r="P25" s="3359"/>
      <c r="Q25" s="538" t="str">
        <f t="shared" ref="Q25" si="9">B25</f>
        <v>基础设施水平</v>
      </c>
      <c r="R25" s="672" t="s">
        <v>17</v>
      </c>
      <c r="S25" s="673">
        <f>F25</f>
        <v>100</v>
      </c>
      <c r="T25" s="672" t="s">
        <v>17</v>
      </c>
      <c r="U25" s="673">
        <f>H25</f>
        <v>100</v>
      </c>
      <c r="V25" s="672" t="s">
        <v>17</v>
      </c>
      <c r="W25" s="673">
        <f>J25</f>
        <v>100</v>
      </c>
      <c r="X25" s="674"/>
      <c r="Y25" s="3359"/>
      <c r="Z25" s="53" t="str">
        <f>Q25</f>
        <v>基础设施水平</v>
      </c>
      <c r="AA25" s="1408">
        <f>D25/F25</f>
        <v>1</v>
      </c>
      <c r="AB25" s="1408">
        <f>D25/H25</f>
        <v>1</v>
      </c>
      <c r="AC25" s="1408">
        <f>D25/J25</f>
        <v>1</v>
      </c>
    </row>
    <row r="26" spans="1:29" s="107" customFormat="1" ht="15">
      <c r="A26" s="451"/>
      <c r="B26" s="409"/>
      <c r="C26" s="1968"/>
      <c r="D26" s="395"/>
      <c r="E26" s="1969"/>
      <c r="F26" s="395"/>
      <c r="G26" s="1969"/>
      <c r="H26" s="395"/>
      <c r="I26" s="1969"/>
      <c r="J26" s="395"/>
      <c r="K26" s="600"/>
      <c r="L26" s="2664"/>
      <c r="M26" s="2613"/>
      <c r="N26" s="2613"/>
      <c r="O26" s="2716"/>
      <c r="P26" s="3359"/>
      <c r="Q26" s="538"/>
      <c r="R26" s="672"/>
      <c r="S26" s="673"/>
      <c r="T26" s="672"/>
      <c r="U26" s="673"/>
      <c r="V26" s="672"/>
      <c r="W26" s="673"/>
      <c r="X26" s="674"/>
      <c r="Y26" s="3359"/>
      <c r="Z26" s="53"/>
      <c r="AA26" s="53">
        <v>1</v>
      </c>
      <c r="AB26" s="53">
        <v>1</v>
      </c>
      <c r="AC26" s="53">
        <v>1</v>
      </c>
    </row>
    <row r="27" spans="1:29" ht="15">
      <c r="A27" s="375"/>
      <c r="B27" s="409" t="s">
        <v>2409</v>
      </c>
      <c r="C27" s="550"/>
      <c r="D27" s="382">
        <v>100</v>
      </c>
      <c r="E27" s="566"/>
      <c r="F27" s="382">
        <f>SUMIF(95:95,E27,96:96)-SUMIF(95:95,C27,96:96)+100</f>
        <v>100</v>
      </c>
      <c r="G27" s="566"/>
      <c r="H27" s="382">
        <f>SUMIF(95:95,G27,96:96)-SUMIF(95:95,C27,96:96)+100</f>
        <v>100</v>
      </c>
      <c r="I27" s="566"/>
      <c r="J27" s="382">
        <f>SUMIF(95:95,I27,96:96)-SUMIF(95:95,C27,96:96)+100</f>
        <v>100</v>
      </c>
      <c r="K27" s="601"/>
      <c r="L27" s="2668"/>
      <c r="M27" s="2663"/>
      <c r="N27" s="2663"/>
      <c r="O27" s="2718"/>
      <c r="P27" s="3359"/>
      <c r="Q27" s="1407" t="str">
        <f t="shared" si="8"/>
        <v>临街状况</v>
      </c>
      <c r="R27" s="675" t="s">
        <v>17</v>
      </c>
      <c r="S27" s="676">
        <f t="shared" ref="S27:S40" si="10">F27</f>
        <v>100</v>
      </c>
      <c r="T27" s="675" t="s">
        <v>17</v>
      </c>
      <c r="U27" s="676">
        <f t="shared" ref="U27:U40" si="11">H27</f>
        <v>100</v>
      </c>
      <c r="V27" s="675" t="s">
        <v>17</v>
      </c>
      <c r="W27" s="676">
        <f t="shared" ref="W27:W40" si="12">J27</f>
        <v>100</v>
      </c>
      <c r="X27" s="1409"/>
      <c r="Y27" s="3359"/>
      <c r="Z27" s="1408" t="str">
        <f t="shared" ref="Z27:Z40" si="13">Q27</f>
        <v>临街状况</v>
      </c>
      <c r="AA27" s="1408">
        <f t="shared" si="3"/>
        <v>1</v>
      </c>
      <c r="AB27" s="1408">
        <f t="shared" si="4"/>
        <v>1</v>
      </c>
      <c r="AC27" s="1408">
        <f t="shared" si="5"/>
        <v>1</v>
      </c>
    </row>
    <row r="28" spans="1:29" ht="28.5">
      <c r="A28" s="375"/>
      <c r="B28" s="565" t="s">
        <v>2444</v>
      </c>
      <c r="C28" s="1980">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68"/>
      <c r="M28" s="2663"/>
      <c r="N28" s="2663"/>
      <c r="O28" s="2718"/>
      <c r="P28" s="3359"/>
      <c r="Q28" s="1407" t="str">
        <f t="shared" si="8"/>
        <v>毗邻道路的类型与等级</v>
      </c>
      <c r="R28" s="675" t="s">
        <v>17</v>
      </c>
      <c r="S28" s="676">
        <f t="shared" si="10"/>
        <v>100</v>
      </c>
      <c r="T28" s="675" t="s">
        <v>17</v>
      </c>
      <c r="U28" s="676">
        <f t="shared" si="11"/>
        <v>100</v>
      </c>
      <c r="V28" s="675" t="s">
        <v>17</v>
      </c>
      <c r="W28" s="676">
        <f t="shared" si="12"/>
        <v>100</v>
      </c>
      <c r="X28" s="1409"/>
      <c r="Y28" s="3359"/>
      <c r="Z28" s="1408" t="str">
        <f t="shared" si="13"/>
        <v>毗邻道路的类型与等级</v>
      </c>
      <c r="AA28" s="1408">
        <f t="shared" si="3"/>
        <v>1</v>
      </c>
      <c r="AB28" s="1408">
        <f t="shared" si="4"/>
        <v>1</v>
      </c>
      <c r="AC28" s="1408">
        <f t="shared" si="5"/>
        <v>1</v>
      </c>
    </row>
    <row r="29" spans="1:29" ht="15">
      <c r="A29" s="375"/>
      <c r="B29" s="409"/>
      <c r="C29" s="394"/>
      <c r="D29" s="395"/>
      <c r="E29" s="1902"/>
      <c r="F29" s="395"/>
      <c r="G29" s="1902"/>
      <c r="H29" s="395"/>
      <c r="I29" s="1902"/>
      <c r="J29" s="395"/>
      <c r="K29" s="547"/>
      <c r="L29" s="2668"/>
      <c r="M29" s="2663"/>
      <c r="N29" s="2663"/>
      <c r="O29" s="2718"/>
      <c r="P29" s="3359"/>
      <c r="Q29" s="1407"/>
      <c r="R29" s="675"/>
      <c r="S29" s="676"/>
      <c r="T29" s="675"/>
      <c r="U29" s="676"/>
      <c r="V29" s="675"/>
      <c r="W29" s="676"/>
      <c r="X29" s="1409"/>
      <c r="Y29" s="3359"/>
      <c r="Z29" s="1408"/>
      <c r="AA29" s="1408">
        <v>1</v>
      </c>
      <c r="AB29" s="1408">
        <v>1</v>
      </c>
      <c r="AC29" s="1408">
        <v>1</v>
      </c>
    </row>
    <row r="30" spans="1:29" ht="15">
      <c r="A30" s="375"/>
      <c r="B30" s="124" t="s">
        <v>2503</v>
      </c>
      <c r="C30" s="1196">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68"/>
      <c r="M30" s="2663"/>
      <c r="N30" s="2663"/>
      <c r="O30" s="2718"/>
      <c r="P30" s="3359"/>
      <c r="Q30" s="1407" t="str">
        <f t="shared" si="8"/>
        <v>土地级别</v>
      </c>
      <c r="R30" s="675" t="s">
        <v>17</v>
      </c>
      <c r="S30" s="676">
        <f t="shared" si="10"/>
        <v>100</v>
      </c>
      <c r="T30" s="675" t="s">
        <v>17</v>
      </c>
      <c r="U30" s="676">
        <f t="shared" si="11"/>
        <v>100</v>
      </c>
      <c r="V30" s="675" t="s">
        <v>17</v>
      </c>
      <c r="W30" s="676">
        <f t="shared" si="12"/>
        <v>100</v>
      </c>
      <c r="X30" s="1409"/>
      <c r="Y30" s="3359"/>
      <c r="Z30" s="1408" t="str">
        <f t="shared" si="13"/>
        <v>土地级别</v>
      </c>
      <c r="AA30" s="1408">
        <f t="shared" si="3"/>
        <v>1</v>
      </c>
      <c r="AB30" s="1408">
        <f t="shared" si="4"/>
        <v>1</v>
      </c>
      <c r="AC30" s="1408">
        <f t="shared" si="5"/>
        <v>1</v>
      </c>
    </row>
    <row r="31" spans="1:29" ht="15">
      <c r="A31" s="354"/>
      <c r="B31" s="1226">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68"/>
      <c r="M31" s="2663"/>
      <c r="N31" s="2663"/>
      <c r="O31" s="2718"/>
      <c r="P31" s="3359"/>
      <c r="Q31" s="1407">
        <f t="shared" si="8"/>
        <v>111</v>
      </c>
      <c r="R31" s="675" t="s">
        <v>17</v>
      </c>
      <c r="S31" s="676">
        <f t="shared" si="10"/>
        <v>100</v>
      </c>
      <c r="T31" s="675" t="s">
        <v>17</v>
      </c>
      <c r="U31" s="676">
        <f t="shared" si="11"/>
        <v>100</v>
      </c>
      <c r="V31" s="675" t="s">
        <v>17</v>
      </c>
      <c r="W31" s="676">
        <f t="shared" si="12"/>
        <v>100</v>
      </c>
      <c r="X31" s="1409"/>
      <c r="Y31" s="3359"/>
      <c r="Z31" s="1408">
        <f t="shared" si="13"/>
        <v>111</v>
      </c>
      <c r="AA31" s="1408">
        <f t="shared" si="3"/>
        <v>1</v>
      </c>
      <c r="AB31" s="1408">
        <f t="shared" si="4"/>
        <v>1</v>
      </c>
      <c r="AC31" s="1408">
        <f t="shared" si="5"/>
        <v>1</v>
      </c>
    </row>
    <row r="32" spans="1:29" ht="15">
      <c r="A32" s="603"/>
      <c r="B32" s="1981">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68"/>
      <c r="M32" s="2663"/>
      <c r="N32" s="2663"/>
      <c r="O32" s="2718"/>
      <c r="P32" s="3456" t="s">
        <v>2319</v>
      </c>
      <c r="Q32" s="1407">
        <f t="shared" si="8"/>
        <v>111</v>
      </c>
      <c r="R32" s="675" t="s">
        <v>17</v>
      </c>
      <c r="S32" s="676">
        <f t="shared" si="10"/>
        <v>100</v>
      </c>
      <c r="T32" s="675" t="s">
        <v>17</v>
      </c>
      <c r="U32" s="676">
        <f t="shared" si="11"/>
        <v>100</v>
      </c>
      <c r="V32" s="675" t="s">
        <v>17</v>
      </c>
      <c r="W32" s="676">
        <f t="shared" si="12"/>
        <v>100</v>
      </c>
      <c r="X32" s="1409"/>
      <c r="Y32" s="3363" t="s">
        <v>2319</v>
      </c>
      <c r="Z32" s="1408">
        <f t="shared" si="13"/>
        <v>111</v>
      </c>
      <c r="AA32" s="1408">
        <f t="shared" si="3"/>
        <v>1</v>
      </c>
      <c r="AB32" s="1408">
        <f t="shared" si="4"/>
        <v>1</v>
      </c>
      <c r="AC32" s="1408">
        <f t="shared" si="5"/>
        <v>1</v>
      </c>
    </row>
    <row r="33" spans="1:31" s="416" customFormat="1" ht="15.75" thickBot="1">
      <c r="A33" s="604"/>
      <c r="B33" s="1982">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67"/>
      <c r="M33" s="2669"/>
      <c r="N33" s="2669"/>
      <c r="O33" s="2719"/>
      <c r="P33" s="3363"/>
      <c r="Q33" s="1407">
        <f t="shared" si="8"/>
        <v>111</v>
      </c>
      <c r="R33" s="677" t="s">
        <v>17</v>
      </c>
      <c r="S33" s="678">
        <f t="shared" si="10"/>
        <v>100</v>
      </c>
      <c r="T33" s="677" t="s">
        <v>17</v>
      </c>
      <c r="U33" s="678">
        <f t="shared" si="11"/>
        <v>100</v>
      </c>
      <c r="V33" s="677" t="s">
        <v>17</v>
      </c>
      <c r="W33" s="678">
        <f t="shared" si="12"/>
        <v>100</v>
      </c>
      <c r="X33" s="679"/>
      <c r="Y33" s="3363"/>
      <c r="Z33" s="680">
        <f t="shared" si="13"/>
        <v>111</v>
      </c>
      <c r="AA33" s="1408">
        <f t="shared" si="3"/>
        <v>1</v>
      </c>
      <c r="AB33" s="1408">
        <f t="shared" si="4"/>
        <v>1</v>
      </c>
      <c r="AC33" s="1408">
        <f t="shared" si="5"/>
        <v>1</v>
      </c>
    </row>
    <row r="34" spans="1:31" ht="15">
      <c r="A34" s="387" t="s">
        <v>2317</v>
      </c>
      <c r="B34" s="403" t="s">
        <v>2504</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68"/>
      <c r="M34" s="2663"/>
      <c r="N34" s="2663"/>
      <c r="O34" s="2718"/>
      <c r="P34" s="3363"/>
      <c r="Q34" s="1407" t="str">
        <f>B34</f>
        <v>宗地面积</v>
      </c>
      <c r="R34" s="675" t="s">
        <v>17</v>
      </c>
      <c r="S34" s="676" t="e">
        <f t="shared" si="10"/>
        <v>#N/A</v>
      </c>
      <c r="T34" s="675" t="s">
        <v>17</v>
      </c>
      <c r="U34" s="676" t="e">
        <f t="shared" si="11"/>
        <v>#N/A</v>
      </c>
      <c r="V34" s="675" t="s">
        <v>17</v>
      </c>
      <c r="W34" s="676" t="e">
        <f t="shared" si="12"/>
        <v>#N/A</v>
      </c>
      <c r="X34" s="1409"/>
      <c r="Y34" s="3363"/>
      <c r="Z34" s="1408" t="str">
        <f t="shared" si="13"/>
        <v>宗地面积</v>
      </c>
      <c r="AA34" s="1408" t="e">
        <f t="shared" si="3"/>
        <v>#N/A</v>
      </c>
      <c r="AB34" s="1408" t="e">
        <f t="shared" si="4"/>
        <v>#N/A</v>
      </c>
      <c r="AC34" s="1408" t="e">
        <f t="shared" si="5"/>
        <v>#N/A</v>
      </c>
    </row>
    <row r="35" spans="1:31" ht="15">
      <c r="A35" s="417"/>
      <c r="B35" s="370" t="s">
        <v>2505</v>
      </c>
      <c r="C35" s="1904"/>
      <c r="D35" s="382">
        <v>100</v>
      </c>
      <c r="E35" s="1904"/>
      <c r="F35" s="382">
        <f>SUMIF(110:110,E35,111:111)-SUMIF(110:110,C35,111:111)+100</f>
        <v>100</v>
      </c>
      <c r="G35" s="1904"/>
      <c r="H35" s="382">
        <f>SUMIF(110:110,G35,111:111)-SUMIF(110:110,C35,111:111)+100</f>
        <v>100</v>
      </c>
      <c r="I35" s="1904"/>
      <c r="J35" s="382">
        <f>SUMIF(110:110,I35,111:111)-SUMIF(110:110,C35,111:111)+100</f>
        <v>100</v>
      </c>
      <c r="K35" s="546"/>
      <c r="L35" s="2668"/>
      <c r="M35" s="2663"/>
      <c r="N35" s="2663"/>
      <c r="O35" s="2718"/>
      <c r="P35" s="3363"/>
      <c r="Q35" s="1407" t="str">
        <f t="shared" ref="Q35:Q40" si="14">B35</f>
        <v>宗地形状</v>
      </c>
      <c r="R35" s="675" t="s">
        <v>17</v>
      </c>
      <c r="S35" s="676">
        <f t="shared" si="10"/>
        <v>100</v>
      </c>
      <c r="T35" s="675" t="s">
        <v>17</v>
      </c>
      <c r="U35" s="676">
        <f t="shared" si="11"/>
        <v>100</v>
      </c>
      <c r="V35" s="675" t="s">
        <v>17</v>
      </c>
      <c r="W35" s="676">
        <f t="shared" si="12"/>
        <v>100</v>
      </c>
      <c r="X35" s="1409"/>
      <c r="Y35" s="3363"/>
      <c r="Z35" s="1408" t="str">
        <f t="shared" si="13"/>
        <v>宗地形状</v>
      </c>
      <c r="AA35" s="1408">
        <f t="shared" si="3"/>
        <v>1</v>
      </c>
      <c r="AB35" s="1408">
        <f t="shared" si="4"/>
        <v>1</v>
      </c>
      <c r="AC35" s="1408">
        <f t="shared" si="5"/>
        <v>1</v>
      </c>
    </row>
    <row r="36" spans="1:31" s="107" customFormat="1" ht="15">
      <c r="A36" s="418"/>
      <c r="B36" s="370" t="s">
        <v>2507</v>
      </c>
      <c r="C36" s="1970"/>
      <c r="D36" s="124">
        <v>100</v>
      </c>
      <c r="E36" s="1970"/>
      <c r="F36" s="382">
        <f>SUMIF(112:112,E36,113:113)-SUMIF(112:112,C36,113:113)+100</f>
        <v>100</v>
      </c>
      <c r="G36" s="1970"/>
      <c r="H36" s="382">
        <f>SUMIF(112:112,G36,113:113)-SUMIF(112:112,C36,113:113)+100</f>
        <v>100</v>
      </c>
      <c r="I36" s="1970"/>
      <c r="J36" s="382">
        <f>SUMIF(112:112,I36,113:113)-SUMIF(112:112,C36,113:113)+100</f>
        <v>100</v>
      </c>
      <c r="K36" s="546"/>
      <c r="L36" s="2664"/>
      <c r="M36" s="2613"/>
      <c r="N36" s="2613"/>
      <c r="O36" s="2716"/>
      <c r="P36" s="3363"/>
      <c r="Q36" s="1407" t="str">
        <f t="shared" si="14"/>
        <v>宗地开发程度</v>
      </c>
      <c r="R36" s="672" t="s">
        <v>17</v>
      </c>
      <c r="S36" s="673">
        <f t="shared" si="10"/>
        <v>100</v>
      </c>
      <c r="T36" s="672" t="s">
        <v>17</v>
      </c>
      <c r="U36" s="673">
        <f t="shared" si="11"/>
        <v>100</v>
      </c>
      <c r="V36" s="672" t="s">
        <v>17</v>
      </c>
      <c r="W36" s="673">
        <f t="shared" si="12"/>
        <v>100</v>
      </c>
      <c r="X36" s="674"/>
      <c r="Y36" s="3363"/>
      <c r="Z36" s="53" t="str">
        <f t="shared" si="13"/>
        <v>宗地开发程度</v>
      </c>
      <c r="AA36" s="53">
        <f t="shared" si="3"/>
        <v>1</v>
      </c>
      <c r="AB36" s="53">
        <f t="shared" si="4"/>
        <v>1</v>
      </c>
      <c r="AC36" s="53">
        <f t="shared" si="5"/>
        <v>1</v>
      </c>
    </row>
    <row r="37" spans="1:31" ht="15">
      <c r="A37" s="417"/>
      <c r="B37" s="370" t="s">
        <v>2508</v>
      </c>
      <c r="C37" s="1904"/>
      <c r="D37" s="382">
        <v>100</v>
      </c>
      <c r="E37" s="1904"/>
      <c r="F37" s="382">
        <f>SUMIF(114:114,E37,115:115)-SUMIF(114:114,C37,115:115)+100</f>
        <v>100</v>
      </c>
      <c r="G37" s="1904"/>
      <c r="H37" s="382">
        <f>SUMIF(114:114,G37,115:115)-SUMIF(114:114,C37,115:115)+100</f>
        <v>100</v>
      </c>
      <c r="I37" s="1904"/>
      <c r="J37" s="382">
        <f>SUMIF(114:114,I37,115:115)-SUMIF(114:114,C37,115:115)+100</f>
        <v>100</v>
      </c>
      <c r="K37" s="546"/>
      <c r="L37" s="2668"/>
      <c r="M37" s="2663"/>
      <c r="N37" s="2663"/>
      <c r="O37" s="2718"/>
      <c r="P37" s="3363" t="s">
        <v>2319</v>
      </c>
      <c r="Q37" s="1407" t="str">
        <f t="shared" si="14"/>
        <v>工程地质条件</v>
      </c>
      <c r="R37" s="675" t="s">
        <v>17</v>
      </c>
      <c r="S37" s="676">
        <f t="shared" si="10"/>
        <v>100</v>
      </c>
      <c r="T37" s="675" t="s">
        <v>17</v>
      </c>
      <c r="U37" s="676">
        <f t="shared" si="11"/>
        <v>100</v>
      </c>
      <c r="V37" s="675" t="s">
        <v>17</v>
      </c>
      <c r="W37" s="676">
        <f t="shared" si="12"/>
        <v>100</v>
      </c>
      <c r="X37" s="1409"/>
      <c r="Y37" s="3363" t="s">
        <v>2319</v>
      </c>
      <c r="Z37" s="1408" t="str">
        <f t="shared" si="13"/>
        <v>工程地质条件</v>
      </c>
      <c r="AA37" s="1408">
        <f t="shared" si="3"/>
        <v>1</v>
      </c>
      <c r="AB37" s="1408">
        <f t="shared" si="4"/>
        <v>1</v>
      </c>
      <c r="AC37" s="1408">
        <f t="shared" si="5"/>
        <v>1</v>
      </c>
    </row>
    <row r="38" spans="1:31" ht="15">
      <c r="A38" s="417"/>
      <c r="B38" s="1194">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68"/>
      <c r="M38" s="2663"/>
      <c r="N38" s="2663"/>
      <c r="O38" s="2718"/>
      <c r="P38" s="3363"/>
      <c r="Q38" s="1407">
        <f t="shared" si="14"/>
        <v>111</v>
      </c>
      <c r="R38" s="675" t="s">
        <v>17</v>
      </c>
      <c r="S38" s="676">
        <f t="shared" si="10"/>
        <v>100</v>
      </c>
      <c r="T38" s="675" t="s">
        <v>17</v>
      </c>
      <c r="U38" s="676">
        <f t="shared" si="11"/>
        <v>100</v>
      </c>
      <c r="V38" s="675" t="s">
        <v>17</v>
      </c>
      <c r="W38" s="676">
        <f t="shared" si="12"/>
        <v>100</v>
      </c>
      <c r="X38" s="1409"/>
      <c r="Y38" s="3363"/>
      <c r="Z38" s="1408">
        <f t="shared" si="13"/>
        <v>111</v>
      </c>
      <c r="AA38" s="1408">
        <f t="shared" si="3"/>
        <v>1</v>
      </c>
      <c r="AB38" s="1408">
        <f t="shared" si="4"/>
        <v>1</v>
      </c>
      <c r="AC38" s="1408">
        <f t="shared" si="5"/>
        <v>1</v>
      </c>
    </row>
    <row r="39" spans="1:31" ht="15">
      <c r="A39" s="417"/>
      <c r="B39" s="1194">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68"/>
      <c r="M39" s="2663"/>
      <c r="N39" s="2663"/>
      <c r="O39" s="2718"/>
      <c r="P39" s="3363"/>
      <c r="Q39" s="1407">
        <f t="shared" si="14"/>
        <v>111</v>
      </c>
      <c r="R39" s="675" t="s">
        <v>17</v>
      </c>
      <c r="S39" s="676">
        <f t="shared" si="10"/>
        <v>100</v>
      </c>
      <c r="T39" s="675" t="s">
        <v>17</v>
      </c>
      <c r="U39" s="676">
        <f t="shared" si="11"/>
        <v>100</v>
      </c>
      <c r="V39" s="675" t="s">
        <v>17</v>
      </c>
      <c r="W39" s="676">
        <f t="shared" si="12"/>
        <v>100</v>
      </c>
      <c r="X39" s="1409"/>
      <c r="Y39" s="3363"/>
      <c r="Z39" s="1408">
        <f t="shared" si="13"/>
        <v>111</v>
      </c>
      <c r="AA39" s="1408">
        <f t="shared" si="3"/>
        <v>1</v>
      </c>
      <c r="AB39" s="1408">
        <f t="shared" si="4"/>
        <v>1</v>
      </c>
      <c r="AC39" s="1408">
        <f t="shared" si="5"/>
        <v>1</v>
      </c>
    </row>
    <row r="40" spans="1:31" s="416" customFormat="1" ht="15.75" thickBot="1">
      <c r="A40" s="414"/>
      <c r="B40" s="1194">
        <v>111</v>
      </c>
      <c r="C40" s="1971"/>
      <c r="D40" s="125">
        <v>100</v>
      </c>
      <c r="E40" s="602"/>
      <c r="F40" s="385">
        <f>SUMIF(120:120,E40,121:121)-SUMIF(120:120,C40,121:121)+100</f>
        <v>100</v>
      </c>
      <c r="G40" s="602"/>
      <c r="H40" s="385">
        <f>SUMIF(120:120,G40,121:121)-SUMIF(120:120,C40,121:121)+100</f>
        <v>100</v>
      </c>
      <c r="I40" s="488"/>
      <c r="J40" s="385">
        <f>SUMIF(120:120,I40,121:121)-SUMIF(120:120,C40,121:121)+100</f>
        <v>100</v>
      </c>
      <c r="K40" s="609"/>
      <c r="L40" s="2667"/>
      <c r="M40" s="2669"/>
      <c r="N40" s="2669"/>
      <c r="O40" s="2719"/>
      <c r="P40" s="3363"/>
      <c r="Q40" s="1407">
        <f t="shared" si="14"/>
        <v>111</v>
      </c>
      <c r="R40" s="677" t="s">
        <v>17</v>
      </c>
      <c r="S40" s="678">
        <f t="shared" si="10"/>
        <v>100</v>
      </c>
      <c r="T40" s="677" t="s">
        <v>17</v>
      </c>
      <c r="U40" s="678">
        <f t="shared" si="11"/>
        <v>100</v>
      </c>
      <c r="V40" s="677" t="s">
        <v>17</v>
      </c>
      <c r="W40" s="678">
        <f t="shared" si="12"/>
        <v>100</v>
      </c>
      <c r="X40" s="679"/>
      <c r="Y40" s="3363"/>
      <c r="Z40" s="680">
        <f t="shared" si="13"/>
        <v>111</v>
      </c>
      <c r="AA40" s="1408">
        <f t="shared" si="3"/>
        <v>1</v>
      </c>
      <c r="AB40" s="1408">
        <f t="shared" si="4"/>
        <v>1</v>
      </c>
      <c r="AC40" s="1408">
        <f t="shared" si="5"/>
        <v>1</v>
      </c>
    </row>
    <row r="41" spans="1:31" ht="15">
      <c r="A41" s="424" t="s">
        <v>2473</v>
      </c>
      <c r="B41" s="1972" t="s">
        <v>2553</v>
      </c>
      <c r="C41" s="610" t="s">
        <v>1</v>
      </c>
      <c r="D41" s="426"/>
      <c r="E41" s="427"/>
      <c r="F41" s="428"/>
      <c r="G41" s="429"/>
      <c r="H41" s="430"/>
      <c r="I41" s="427"/>
      <c r="J41" s="430"/>
      <c r="K41" s="682"/>
      <c r="L41" s="2670"/>
      <c r="M41" s="2663"/>
      <c r="N41" s="2663"/>
      <c r="O41" s="2663"/>
      <c r="P41" s="3351" t="str">
        <f>A41</f>
        <v>成交单价</v>
      </c>
      <c r="Q41" s="3351"/>
      <c r="R41" s="3352">
        <f>E41</f>
        <v>0</v>
      </c>
      <c r="S41" s="3352"/>
      <c r="T41" s="3352">
        <f>G41</f>
        <v>0</v>
      </c>
      <c r="U41" s="3352"/>
      <c r="V41" s="3352">
        <f>I41</f>
        <v>0</v>
      </c>
      <c r="W41" s="3352"/>
      <c r="X41" s="393"/>
      <c r="Y41" s="681"/>
      <c r="Z41" s="393"/>
      <c r="AA41" s="393"/>
      <c r="AB41" s="393"/>
      <c r="AC41" s="393"/>
    </row>
    <row r="42" spans="1:31" ht="15.75" thickBot="1">
      <c r="A42" s="431" t="s">
        <v>2422</v>
      </c>
      <c r="B42" s="611"/>
      <c r="C42" s="434" t="e">
        <f>R43</f>
        <v>#DIV/0!</v>
      </c>
      <c r="D42" s="2312" t="s">
        <v>2807</v>
      </c>
      <c r="E42" s="434" t="e">
        <f>R42</f>
        <v>#DIV/0!</v>
      </c>
      <c r="F42" s="2313"/>
      <c r="G42" s="433" t="e">
        <f>T42</f>
        <v>#DIV/0!</v>
      </c>
      <c r="H42" s="2313"/>
      <c r="I42" s="434" t="e">
        <f>V42</f>
        <v>#DIV/0!</v>
      </c>
      <c r="J42" s="2313"/>
      <c r="K42" s="2315">
        <f>F42+H42+J42</f>
        <v>0</v>
      </c>
      <c r="L42" s="2670"/>
      <c r="M42" s="2663"/>
      <c r="N42" s="2663"/>
      <c r="O42" s="2663"/>
      <c r="P42" s="3351" t="str">
        <f>A42</f>
        <v>比较价值（元/平方米）</v>
      </c>
      <c r="Q42" s="3351"/>
      <c r="R42" s="3458" t="e">
        <f>ROUND(PRODUCT(R41,AA7:AA40),0)</f>
        <v>#DIV/0!</v>
      </c>
      <c r="S42" s="3458"/>
      <c r="T42" s="3458" t="e">
        <f>ROUND(PRODUCT(T41,AB7:AB40),0)</f>
        <v>#DIV/0!</v>
      </c>
      <c r="U42" s="3458"/>
      <c r="V42" s="3458" t="e">
        <f>ROUND(PRODUCT(V41,AC7:AC40),0)</f>
        <v>#DIV/0!</v>
      </c>
      <c r="W42" s="3458"/>
      <c r="X42" s="393"/>
      <c r="Y42" s="393"/>
      <c r="Z42" s="393"/>
      <c r="AA42" s="393"/>
      <c r="AB42" s="393"/>
      <c r="AC42" s="393"/>
    </row>
    <row r="43" spans="1:31" ht="15.75" thickBot="1">
      <c r="A43" s="435" t="s">
        <v>2423</v>
      </c>
      <c r="B43" s="436"/>
      <c r="C43" s="437" t="e">
        <f>R43</f>
        <v>#DIV/0!</v>
      </c>
      <c r="D43" s="437"/>
      <c r="E43" s="437"/>
      <c r="F43" s="437"/>
      <c r="G43" s="437"/>
      <c r="H43" s="437"/>
      <c r="I43" s="437"/>
      <c r="J43" s="437"/>
      <c r="K43" s="683"/>
      <c r="L43" s="2670"/>
      <c r="M43" s="2663"/>
      <c r="N43" s="2663"/>
      <c r="O43" s="2663"/>
      <c r="P43" s="3444" t="str">
        <f>A43</f>
        <v>估价对象XX用房的比较价值（楼面单价，元/平方米）</v>
      </c>
      <c r="Q43" s="3445"/>
      <c r="R43" s="3459" t="e">
        <f>ROUND(IF(D42="简单平均",AVERAGE(R42:W42),R42*F42+T42*H42+V42*J42),0)</f>
        <v>#DIV/0!</v>
      </c>
      <c r="S43" s="3459"/>
      <c r="T43" s="3459"/>
      <c r="U43" s="3459"/>
      <c r="V43" s="3459"/>
      <c r="W43" s="3459"/>
      <c r="X43" s="393"/>
      <c r="Y43" s="393"/>
      <c r="Z43" s="393"/>
      <c r="AA43" s="393"/>
      <c r="AB43" s="393"/>
      <c r="AC43" s="393"/>
    </row>
    <row r="44" spans="1:31">
      <c r="A44" s="2663"/>
      <c r="B44" s="2663"/>
      <c r="C44" s="2663"/>
      <c r="D44" s="2663"/>
      <c r="E44" s="2663"/>
      <c r="F44" s="2663"/>
      <c r="G44" s="2674"/>
      <c r="H44" s="2663"/>
      <c r="I44" s="2663"/>
      <c r="J44" s="2663"/>
      <c r="K44" s="2675"/>
      <c r="L44" s="2671"/>
      <c r="M44" s="2663"/>
      <c r="N44" s="2663"/>
      <c r="O44" s="2663"/>
      <c r="P44" s="2663"/>
      <c r="Q44" s="2663"/>
      <c r="R44" s="2663"/>
      <c r="S44" s="2663"/>
      <c r="T44" s="2663"/>
      <c r="U44" s="2663"/>
      <c r="V44" s="2663"/>
      <c r="W44" s="2663"/>
      <c r="X44" s="2663"/>
      <c r="Y44" s="2663"/>
      <c r="Z44" s="2663"/>
      <c r="AA44" s="2663"/>
      <c r="AB44" s="2663"/>
      <c r="AC44" s="2663"/>
      <c r="AD44" s="2663"/>
      <c r="AE44" s="2663"/>
    </row>
    <row r="45" spans="1:31">
      <c r="A45" s="2663"/>
      <c r="B45" s="2663"/>
      <c r="C45" s="2663"/>
      <c r="D45" s="2663"/>
      <c r="E45" s="2663"/>
      <c r="F45" s="2663"/>
      <c r="G45" s="2663"/>
      <c r="H45" s="2663"/>
      <c r="I45" s="2663"/>
      <c r="J45" s="2663"/>
      <c r="K45" s="2675"/>
      <c r="L45" s="2671"/>
      <c r="M45" s="2663"/>
      <c r="N45" s="2663"/>
      <c r="O45" s="2663"/>
      <c r="P45" s="2663"/>
      <c r="Q45" s="2663"/>
      <c r="R45" s="2663"/>
      <c r="S45" s="2663"/>
      <c r="T45" s="2663"/>
      <c r="U45" s="2663"/>
      <c r="V45" s="2663"/>
      <c r="W45" s="2663"/>
      <c r="X45" s="2663"/>
      <c r="Y45" s="2663"/>
      <c r="Z45" s="2663"/>
      <c r="AA45" s="2663"/>
      <c r="AB45" s="2663"/>
      <c r="AC45" s="2663"/>
      <c r="AD45" s="2663"/>
      <c r="AE45" s="2663"/>
    </row>
    <row r="46" spans="1:31" ht="13.5" customHeight="1">
      <c r="A46" s="2663"/>
      <c r="B46" s="2663"/>
      <c r="C46" s="440" t="s">
        <v>2424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5"/>
      <c r="L46" s="2671"/>
      <c r="M46" s="2663"/>
      <c r="N46" s="2663"/>
      <c r="O46" s="2663"/>
      <c r="P46" s="2663"/>
      <c r="Q46" s="2663"/>
      <c r="R46" s="2663"/>
      <c r="S46" s="2663"/>
      <c r="T46" s="2663"/>
      <c r="U46" s="2663"/>
      <c r="V46" s="2663"/>
      <c r="W46" s="2663"/>
      <c r="X46" s="2663"/>
      <c r="Y46" s="2663"/>
      <c r="Z46" s="2663"/>
      <c r="AA46" s="2663"/>
      <c r="AB46" s="2663"/>
      <c r="AC46" s="2663"/>
      <c r="AD46" s="2663"/>
      <c r="AE46" s="2663"/>
    </row>
    <row r="47" spans="1:31" ht="13.5" customHeight="1">
      <c r="A47" s="2663"/>
      <c r="B47" s="2663"/>
      <c r="C47" s="440" t="s">
        <v>2425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5"/>
      <c r="L47" s="2671"/>
      <c r="M47" s="2663"/>
      <c r="N47" s="2663"/>
      <c r="O47" s="2663"/>
      <c r="P47" s="2663"/>
      <c r="Q47" s="2663"/>
      <c r="R47" s="2663"/>
      <c r="S47" s="2663"/>
      <c r="T47" s="2663"/>
      <c r="U47" s="2663"/>
      <c r="V47" s="2663"/>
      <c r="W47" s="2663"/>
      <c r="X47" s="2663"/>
      <c r="Y47" s="2663"/>
      <c r="Z47" s="2663"/>
      <c r="AA47" s="2663"/>
      <c r="AB47" s="2663"/>
      <c r="AC47" s="2663"/>
      <c r="AD47" s="2663"/>
      <c r="AE47" s="2663"/>
    </row>
    <row r="48" spans="1:31" s="445" customFormat="1" ht="13.5" customHeight="1">
      <c r="A48" s="2673"/>
      <c r="B48" s="2673"/>
      <c r="C48" s="440" t="s">
        <v>2426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78"/>
      <c r="L48" s="2672"/>
      <c r="M48" s="2673"/>
      <c r="N48" s="2673"/>
      <c r="O48" s="2673"/>
      <c r="P48" s="2673"/>
      <c r="Q48" s="2673"/>
      <c r="R48" s="2673"/>
      <c r="S48" s="2673"/>
      <c r="T48" s="2673"/>
      <c r="U48" s="2673"/>
      <c r="V48" s="2673"/>
      <c r="W48" s="2673"/>
      <c r="X48" s="2673"/>
      <c r="Y48" s="2673"/>
      <c r="Z48" s="2673"/>
      <c r="AA48" s="2673"/>
      <c r="AB48" s="2673"/>
      <c r="AC48" s="2673"/>
      <c r="AD48" s="2673"/>
      <c r="AE48" s="2673"/>
    </row>
    <row r="49" spans="1:31" s="445" customFormat="1" ht="15" thickBot="1">
      <c r="A49" s="2673"/>
      <c r="B49" s="2676"/>
      <c r="C49" s="665"/>
      <c r="D49" s="663"/>
      <c r="E49" s="663"/>
      <c r="F49" s="663"/>
      <c r="G49" s="663"/>
      <c r="H49" s="663"/>
      <c r="I49" s="663"/>
      <c r="J49" s="663"/>
      <c r="K49" s="2678"/>
      <c r="L49" s="2672"/>
      <c r="M49" s="2673"/>
      <c r="N49" s="2673"/>
      <c r="O49" s="2673"/>
      <c r="P49" s="2673"/>
      <c r="Q49" s="2673"/>
      <c r="R49" s="2673"/>
      <c r="S49" s="2673"/>
      <c r="T49" s="2673"/>
      <c r="U49" s="2673"/>
      <c r="V49" s="2673"/>
      <c r="W49" s="2673"/>
      <c r="X49" s="2673"/>
      <c r="Y49" s="2673"/>
      <c r="Z49" s="2673"/>
      <c r="AA49" s="2673"/>
      <c r="AB49" s="2673"/>
      <c r="AC49" s="2673"/>
      <c r="AD49" s="2673"/>
      <c r="AE49" s="2673"/>
    </row>
    <row r="50" spans="1:31" ht="27">
      <c r="A50" s="612" t="s">
        <v>2511</v>
      </c>
      <c r="B50" s="613" t="s">
        <v>2512</v>
      </c>
      <c r="C50" s="1973" t="s">
        <v>2513</v>
      </c>
      <c r="D50" s="1974" t="s">
        <v>2514</v>
      </c>
      <c r="E50" s="614" t="s">
        <v>2515</v>
      </c>
      <c r="F50" s="615" t="s">
        <v>2516</v>
      </c>
      <c r="G50" s="3368" t="s">
        <v>2517</v>
      </c>
      <c r="H50" s="3460"/>
      <c r="I50" s="1408" t="s">
        <v>2554</v>
      </c>
      <c r="J50" s="1408">
        <f>项目基本情况!F35</f>
        <v>0</v>
      </c>
      <c r="K50" s="1976" t="s">
        <v>2519</v>
      </c>
      <c r="L50" s="2671"/>
      <c r="M50" s="2663"/>
      <c r="N50" s="2663"/>
      <c r="O50" s="2663"/>
      <c r="P50" s="2663"/>
      <c r="Q50" s="2663"/>
      <c r="R50" s="2663"/>
      <c r="S50" s="2663"/>
      <c r="T50" s="2663"/>
      <c r="U50" s="2663"/>
      <c r="V50" s="2663"/>
      <c r="W50" s="2663"/>
      <c r="X50" s="2663"/>
      <c r="Y50" s="2663"/>
      <c r="Z50" s="2663"/>
      <c r="AA50" s="2663"/>
      <c r="AB50" s="2663"/>
      <c r="AC50" s="2663"/>
      <c r="AD50" s="2663"/>
      <c r="AE50" s="2663"/>
    </row>
    <row r="51" spans="1:31" s="620" customFormat="1">
      <c r="A51" s="616" t="s">
        <v>2520</v>
      </c>
      <c r="B51" s="617" t="e">
        <f>C43</f>
        <v>#DIV/0!</v>
      </c>
      <c r="C51" s="618">
        <v>1</v>
      </c>
      <c r="D51" s="1013">
        <v>1</v>
      </c>
      <c r="E51" s="618">
        <f>'数据-汇总表'!E8+'数据-汇总表'!E9</f>
        <v>69.52</v>
      </c>
      <c r="F51" s="619" t="e">
        <f t="shared" ref="F51:F60" si="15">ROUND(B51*E51/10000,0)</f>
        <v>#DIV/0!</v>
      </c>
      <c r="G51" s="3350"/>
      <c r="H51" s="3351"/>
      <c r="I51" s="826">
        <v>1</v>
      </c>
      <c r="J51" s="826">
        <v>1</v>
      </c>
      <c r="K51" s="2673"/>
      <c r="L51" s="2722"/>
      <c r="M51" s="2722"/>
      <c r="N51" s="2722"/>
      <c r="O51" s="2722"/>
      <c r="P51" s="2722"/>
      <c r="Q51" s="2722"/>
      <c r="R51" s="2722"/>
      <c r="S51" s="2722"/>
      <c r="T51" s="2722"/>
      <c r="U51" s="2722"/>
      <c r="V51" s="2722"/>
      <c r="W51" s="2722"/>
      <c r="X51" s="2722"/>
      <c r="Y51" s="2722"/>
      <c r="Z51" s="2722"/>
      <c r="AA51" s="2722"/>
      <c r="AB51" s="2722"/>
      <c r="AC51" s="2722"/>
      <c r="AD51" s="2722"/>
      <c r="AE51" s="2722"/>
    </row>
    <row r="52" spans="1:31" s="620" customFormat="1">
      <c r="A52" s="621" t="s">
        <v>2521</v>
      </c>
      <c r="B52" s="216" t="e">
        <f>ROUND($C$43*C52*D52,0)</f>
        <v>#DIV/0!</v>
      </c>
      <c r="C52" s="168">
        <f t="shared" ref="C52:C60" si="16">IF($C$50="北京市系数",I52,J52)</f>
        <v>0</v>
      </c>
      <c r="D52" s="1014">
        <v>0.25</v>
      </c>
      <c r="E52" s="622"/>
      <c r="F52" s="619" t="e">
        <f t="shared" si="15"/>
        <v>#DIV/0!</v>
      </c>
      <c r="G52" s="3461" t="s">
        <v>2522</v>
      </c>
      <c r="H52" s="958">
        <f>项目基本情况!B37</f>
        <v>0</v>
      </c>
      <c r="I52" s="826">
        <f>SUMIF(修正!A45:A56,H52,修正!B45:B56)</f>
        <v>0</v>
      </c>
      <c r="J52" s="827"/>
      <c r="K52" s="2663"/>
      <c r="L52" s="2722"/>
      <c r="M52" s="2722"/>
      <c r="N52" s="2722"/>
      <c r="O52" s="2722"/>
      <c r="P52" s="2722"/>
      <c r="Q52" s="2722"/>
      <c r="R52" s="2722"/>
      <c r="S52" s="2722"/>
      <c r="T52" s="2722"/>
      <c r="U52" s="2722"/>
      <c r="V52" s="2722"/>
      <c r="W52" s="2722"/>
      <c r="X52" s="2722"/>
      <c r="Y52" s="2722"/>
      <c r="Z52" s="2722"/>
      <c r="AA52" s="2722"/>
      <c r="AB52" s="2722"/>
      <c r="AC52" s="2722"/>
      <c r="AD52" s="2722"/>
      <c r="AE52" s="2722"/>
    </row>
    <row r="53" spans="1:31" s="620" customFormat="1">
      <c r="A53" s="621" t="s">
        <v>2523</v>
      </c>
      <c r="B53" s="216" t="e">
        <f t="shared" ref="B53:B60" si="17">ROUND($C$43*C53*D53,0)</f>
        <v>#DIV/0!</v>
      </c>
      <c r="C53" s="168">
        <f t="shared" si="16"/>
        <v>0</v>
      </c>
      <c r="D53" s="1014">
        <v>0.25</v>
      </c>
      <c r="E53" s="622"/>
      <c r="F53" s="619" t="e">
        <f t="shared" si="15"/>
        <v>#DIV/0!</v>
      </c>
      <c r="G53" s="3461"/>
      <c r="H53" s="958">
        <f>项目基本情况!B37</f>
        <v>0</v>
      </c>
      <c r="I53" s="826">
        <f>SUMIF(修正!A45:A56,H53,修正!C45:C56)</f>
        <v>0</v>
      </c>
      <c r="J53" s="827"/>
      <c r="K53" s="2673"/>
      <c r="L53" s="2722"/>
      <c r="M53" s="2722"/>
      <c r="N53" s="2722"/>
      <c r="O53" s="2722"/>
      <c r="P53" s="2722"/>
      <c r="Q53" s="2722"/>
      <c r="R53" s="2722"/>
      <c r="S53" s="2722"/>
      <c r="T53" s="2722"/>
      <c r="U53" s="2722"/>
      <c r="V53" s="2722"/>
      <c r="W53" s="2722"/>
      <c r="X53" s="2722"/>
      <c r="Y53" s="2722"/>
      <c r="Z53" s="2722"/>
      <c r="AA53" s="2722"/>
      <c r="AB53" s="2722"/>
      <c r="AC53" s="2722"/>
      <c r="AD53" s="2722"/>
      <c r="AE53" s="2722"/>
    </row>
    <row r="54" spans="1:31" s="620" customFormat="1">
      <c r="A54" s="621" t="s">
        <v>2524</v>
      </c>
      <c r="B54" s="216" t="e">
        <f t="shared" si="17"/>
        <v>#DIV/0!</v>
      </c>
      <c r="C54" s="168">
        <f t="shared" si="16"/>
        <v>0</v>
      </c>
      <c r="D54" s="1014">
        <v>0.25</v>
      </c>
      <c r="E54" s="622"/>
      <c r="F54" s="619" t="e">
        <f t="shared" si="15"/>
        <v>#DIV/0!</v>
      </c>
      <c r="G54" s="3461"/>
      <c r="H54" s="958">
        <f>项目基本情况!B37</f>
        <v>0</v>
      </c>
      <c r="I54" s="826">
        <f>SUMIF(修正!A45:A56,H54,修正!D45:D56)</f>
        <v>0</v>
      </c>
      <c r="J54" s="827"/>
      <c r="K54" s="2663"/>
      <c r="L54" s="2722"/>
      <c r="M54" s="2722"/>
      <c r="N54" s="2722"/>
      <c r="O54" s="2722"/>
      <c r="P54" s="2722"/>
      <c r="Q54" s="2722"/>
      <c r="R54" s="2722"/>
      <c r="S54" s="2722"/>
      <c r="T54" s="2722"/>
      <c r="U54" s="2722"/>
      <c r="V54" s="2722"/>
      <c r="W54" s="2722"/>
      <c r="X54" s="2722"/>
      <c r="Y54" s="2722"/>
      <c r="Z54" s="2722"/>
      <c r="AA54" s="2722"/>
      <c r="AB54" s="2722"/>
      <c r="AC54" s="2722"/>
      <c r="AD54" s="2722"/>
      <c r="AE54" s="2722"/>
    </row>
    <row r="55" spans="1:31" s="620" customFormat="1">
      <c r="A55" s="621" t="s">
        <v>2525</v>
      </c>
      <c r="B55" s="216" t="e">
        <f t="shared" si="17"/>
        <v>#DIV/0!</v>
      </c>
      <c r="C55" s="168">
        <f t="shared" si="16"/>
        <v>0</v>
      </c>
      <c r="D55" s="1014">
        <v>0.25</v>
      </c>
      <c r="E55" s="622"/>
      <c r="F55" s="619" t="e">
        <f t="shared" si="15"/>
        <v>#DIV/0!</v>
      </c>
      <c r="G55" s="3461"/>
      <c r="H55" s="958">
        <f>项目基本情况!B37</f>
        <v>0</v>
      </c>
      <c r="I55" s="826">
        <f>SUMIF(修正!A45:A56,H55,修正!E45:E56)</f>
        <v>0</v>
      </c>
      <c r="J55" s="827"/>
      <c r="K55" s="2673"/>
      <c r="L55" s="2722"/>
      <c r="M55" s="2722"/>
      <c r="N55" s="2722"/>
      <c r="O55" s="2722"/>
      <c r="P55" s="2722"/>
      <c r="Q55" s="2722"/>
      <c r="R55" s="2722"/>
      <c r="S55" s="2722"/>
      <c r="T55" s="2722"/>
      <c r="U55" s="2722"/>
      <c r="V55" s="2722"/>
      <c r="W55" s="2722"/>
      <c r="X55" s="2722"/>
      <c r="Y55" s="2722"/>
      <c r="Z55" s="2722"/>
      <c r="AA55" s="2722"/>
      <c r="AB55" s="2722"/>
      <c r="AC55" s="2722"/>
      <c r="AD55" s="2722"/>
      <c r="AE55" s="2722"/>
    </row>
    <row r="56" spans="1:31" s="620" customFormat="1">
      <c r="A56" s="621" t="s">
        <v>2526</v>
      </c>
      <c r="B56" s="216" t="e">
        <f t="shared" si="17"/>
        <v>#DIV/0!</v>
      </c>
      <c r="C56" s="168">
        <f t="shared" si="16"/>
        <v>0</v>
      </c>
      <c r="D56" s="1014">
        <v>0.25</v>
      </c>
      <c r="E56" s="215">
        <f>'数据-汇总表'!E11</f>
        <v>0</v>
      </c>
      <c r="F56" s="619" t="e">
        <f t="shared" si="15"/>
        <v>#DIV/0!</v>
      </c>
      <c r="G56" s="1977" t="s">
        <v>2527</v>
      </c>
      <c r="H56" s="958">
        <f>项目基本情况!C37</f>
        <v>0</v>
      </c>
      <c r="I56" s="826">
        <f>SUMIF(修正!A45:A56,H56,修正!F45:F56)</f>
        <v>0</v>
      </c>
      <c r="J56" s="827"/>
      <c r="K56" s="2663"/>
      <c r="L56" s="2722"/>
      <c r="M56" s="2722"/>
      <c r="N56" s="2722"/>
      <c r="O56" s="2722"/>
      <c r="P56" s="2722"/>
      <c r="Q56" s="2722"/>
      <c r="R56" s="2722"/>
      <c r="S56" s="2722"/>
      <c r="T56" s="2722"/>
      <c r="U56" s="2722"/>
      <c r="V56" s="2722"/>
      <c r="W56" s="2722"/>
      <c r="X56" s="2722"/>
      <c r="Y56" s="2722"/>
      <c r="Z56" s="2722"/>
      <c r="AA56" s="2722"/>
      <c r="AB56" s="2722"/>
      <c r="AC56" s="2722"/>
      <c r="AD56" s="2722"/>
      <c r="AE56" s="2722"/>
    </row>
    <row r="57" spans="1:31" s="620" customFormat="1">
      <c r="A57" s="621" t="s">
        <v>2528</v>
      </c>
      <c r="B57" s="216" t="e">
        <f t="shared" si="17"/>
        <v>#DIV/0!</v>
      </c>
      <c r="C57" s="168">
        <f t="shared" si="16"/>
        <v>0</v>
      </c>
      <c r="D57" s="1014">
        <v>0.25</v>
      </c>
      <c r="E57" s="215">
        <f>'数据-汇总表'!E12</f>
        <v>0</v>
      </c>
      <c r="F57" s="619" t="e">
        <f t="shared" si="15"/>
        <v>#DIV/0!</v>
      </c>
      <c r="G57" s="963" t="s">
        <v>2529</v>
      </c>
      <c r="H57" s="958">
        <f>IF(G57="商业",项目基本情况!B37,IF(G57="办公",项目基本情况!C37,IF(G57="住宅",项目基本情况!D37,项目基本情况!E37)))</f>
        <v>0</v>
      </c>
      <c r="I57" s="826">
        <f>SUMIF(修正!A45:A56,H57,修正!G45:G56)</f>
        <v>0</v>
      </c>
      <c r="J57" s="827"/>
      <c r="K57" s="2673"/>
      <c r="L57" s="2722"/>
      <c r="M57" s="2722"/>
      <c r="N57" s="2722"/>
      <c r="O57" s="2722"/>
      <c r="P57" s="2722"/>
      <c r="Q57" s="2722"/>
      <c r="R57" s="2722"/>
      <c r="S57" s="2722"/>
      <c r="T57" s="2722"/>
      <c r="U57" s="2722"/>
      <c r="V57" s="2722"/>
      <c r="W57" s="2722"/>
      <c r="X57" s="2722"/>
      <c r="Y57" s="2722"/>
      <c r="Z57" s="2722"/>
      <c r="AA57" s="2722"/>
      <c r="AB57" s="2722"/>
      <c r="AC57" s="2722"/>
      <c r="AD57" s="2722"/>
      <c r="AE57" s="2722"/>
    </row>
    <row r="58" spans="1:31" s="620" customFormat="1">
      <c r="A58" s="621" t="s">
        <v>2530</v>
      </c>
      <c r="B58" s="216" t="e">
        <f t="shared" si="17"/>
        <v>#DIV/0!</v>
      </c>
      <c r="C58" s="168">
        <f t="shared" si="16"/>
        <v>0.2</v>
      </c>
      <c r="D58" s="1014">
        <v>0.25</v>
      </c>
      <c r="E58" s="215">
        <f>'数据-汇总表'!E13</f>
        <v>0</v>
      </c>
      <c r="F58" s="619" t="e">
        <f t="shared" si="15"/>
        <v>#DIV/0!</v>
      </c>
      <c r="G58" s="963" t="s">
        <v>2531</v>
      </c>
      <c r="H58" s="958" t="str">
        <f>IF(G58="商业",项目基本情况!B37,IF(G58="办公",项目基本情况!C37,IF(G58="住宅",项目基本情况!D37,项目基本情况!E37)))</f>
        <v>六级</v>
      </c>
      <c r="I58" s="826">
        <f>SUMIF(修正!A45:A56,H58,修正!H45:H56)</f>
        <v>0.2</v>
      </c>
      <c r="J58" s="827"/>
      <c r="K58" s="2663"/>
      <c r="L58" s="2722"/>
      <c r="M58" s="2722"/>
      <c r="N58" s="2722"/>
      <c r="O58" s="2722"/>
      <c r="P58" s="2722"/>
      <c r="Q58" s="2722"/>
      <c r="R58" s="2722"/>
      <c r="S58" s="2722"/>
      <c r="T58" s="2722"/>
      <c r="U58" s="2722"/>
      <c r="V58" s="2722"/>
      <c r="W58" s="2722"/>
      <c r="X58" s="2722"/>
      <c r="Y58" s="2722"/>
      <c r="Z58" s="2722"/>
      <c r="AA58" s="2722"/>
      <c r="AB58" s="2722"/>
      <c r="AC58" s="2722"/>
      <c r="AD58" s="2722"/>
      <c r="AE58" s="2722"/>
    </row>
    <row r="59" spans="1:31" s="620" customFormat="1">
      <c r="A59" s="621" t="s">
        <v>2532</v>
      </c>
      <c r="B59" s="216" t="e">
        <f t="shared" si="17"/>
        <v>#DIV/0!</v>
      </c>
      <c r="C59" s="168">
        <f t="shared" si="16"/>
        <v>0</v>
      </c>
      <c r="D59" s="1014">
        <v>0.25</v>
      </c>
      <c r="E59" s="215">
        <f>'数据-汇总表'!E14</f>
        <v>0</v>
      </c>
      <c r="F59" s="619" t="e">
        <f t="shared" si="15"/>
        <v>#DIV/0!</v>
      </c>
      <c r="G59" s="1977" t="s">
        <v>2522</v>
      </c>
      <c r="H59" s="958">
        <f>项目基本情况!B37</f>
        <v>0</v>
      </c>
      <c r="I59" s="826">
        <f>SUMIF(修正!A45:A56,H59,修正!H45:H56)</f>
        <v>0</v>
      </c>
      <c r="J59" s="827"/>
      <c r="K59" s="2673"/>
      <c r="L59" s="2722"/>
      <c r="M59" s="2722"/>
      <c r="N59" s="2722"/>
      <c r="O59" s="2722"/>
      <c r="P59" s="2722"/>
      <c r="Q59" s="2722"/>
      <c r="R59" s="2722"/>
      <c r="S59" s="2722"/>
      <c r="T59" s="2722"/>
      <c r="U59" s="2722"/>
      <c r="V59" s="2722"/>
      <c r="W59" s="2722"/>
      <c r="X59" s="2722"/>
      <c r="Y59" s="2722"/>
      <c r="Z59" s="2722"/>
      <c r="AA59" s="2722"/>
      <c r="AB59" s="2722"/>
      <c r="AC59" s="2722"/>
      <c r="AD59" s="2722"/>
      <c r="AE59" s="2722"/>
    </row>
    <row r="60" spans="1:31" s="620" customFormat="1" ht="15" thickBot="1">
      <c r="A60" s="621" t="s">
        <v>2533</v>
      </c>
      <c r="B60" s="216" t="e">
        <f t="shared" si="17"/>
        <v>#DIV/0!</v>
      </c>
      <c r="C60" s="168">
        <f t="shared" si="16"/>
        <v>0</v>
      </c>
      <c r="D60" s="1014">
        <v>0.25</v>
      </c>
      <c r="E60" s="215">
        <f>'数据-汇总表'!E15</f>
        <v>0</v>
      </c>
      <c r="F60" s="619" t="e">
        <f t="shared" si="15"/>
        <v>#DIV/0!</v>
      </c>
      <c r="G60" s="1978" t="s">
        <v>2527</v>
      </c>
      <c r="H60" s="968">
        <f>项目基本情况!C37</f>
        <v>0</v>
      </c>
      <c r="I60" s="826">
        <f>SUMIF(修正!A45:A56,H60,修正!H45:H56)</f>
        <v>0</v>
      </c>
      <c r="J60" s="827"/>
      <c r="K60" s="2663"/>
      <c r="L60" s="2722"/>
      <c r="M60" s="2722"/>
      <c r="N60" s="2722"/>
      <c r="O60" s="2722"/>
      <c r="P60" s="2722"/>
      <c r="Q60" s="2722"/>
      <c r="R60" s="2722"/>
      <c r="S60" s="2722"/>
      <c r="T60" s="2722"/>
      <c r="U60" s="2722"/>
      <c r="V60" s="2722"/>
      <c r="W60" s="2722"/>
      <c r="X60" s="2722"/>
      <c r="Y60" s="2722"/>
      <c r="Z60" s="2722"/>
      <c r="AA60" s="2722"/>
      <c r="AB60" s="2722"/>
      <c r="AC60" s="2722"/>
      <c r="AD60" s="2722"/>
      <c r="AE60" s="2722"/>
    </row>
    <row r="61" spans="1:31" s="620" customFormat="1" ht="15" thickBot="1">
      <c r="A61" s="623" t="s">
        <v>2534</v>
      </c>
      <c r="B61" s="624" t="s">
        <v>28</v>
      </c>
      <c r="C61" s="624" t="s">
        <v>29</v>
      </c>
      <c r="D61" s="624" t="s">
        <v>997</v>
      </c>
      <c r="E61" s="624">
        <f>IF(B41="楼面地价",SUM(E51:E60),'数据-汇总表'!D3)</f>
        <v>0</v>
      </c>
      <c r="F61" s="625" t="e">
        <f>IF(B41="楼面地价",SUM(F51:F60),ROUND(C43*E61/10000,0))</f>
        <v>#DIV/0!</v>
      </c>
      <c r="G61" s="1008"/>
      <c r="H61" s="1008"/>
      <c r="I61" s="1008"/>
      <c r="J61" s="1008"/>
      <c r="K61" s="2675"/>
      <c r="L61" s="2722"/>
      <c r="M61" s="2722"/>
      <c r="N61" s="2722"/>
      <c r="O61" s="2722"/>
      <c r="P61" s="2722"/>
      <c r="Q61" s="2722"/>
      <c r="R61" s="2722"/>
      <c r="S61" s="2722"/>
      <c r="T61" s="2722"/>
      <c r="U61" s="2722"/>
      <c r="V61" s="2722"/>
      <c r="W61" s="2722"/>
      <c r="X61" s="2722"/>
      <c r="Y61" s="2722"/>
      <c r="Z61" s="2722"/>
      <c r="AA61" s="2722"/>
      <c r="AB61" s="2722"/>
      <c r="AC61" s="2722"/>
      <c r="AD61" s="2722"/>
      <c r="AE61" s="2722"/>
    </row>
    <row r="62" spans="1:31">
      <c r="A62" s="984"/>
      <c r="B62" s="998"/>
      <c r="C62" s="1000"/>
      <c r="D62" s="984"/>
      <c r="E62" s="984"/>
      <c r="F62" s="984"/>
      <c r="G62" s="984"/>
      <c r="H62" s="984"/>
      <c r="I62" s="984"/>
      <c r="J62" s="984"/>
      <c r="K62" s="959"/>
      <c r="L62" s="960"/>
      <c r="M62" s="984"/>
      <c r="N62" s="984"/>
      <c r="O62" s="984"/>
      <c r="P62" s="2663"/>
      <c r="Q62" s="2663"/>
      <c r="R62" s="2663"/>
      <c r="S62" s="2663"/>
      <c r="T62" s="2663"/>
      <c r="U62" s="2663"/>
      <c r="V62" s="2663"/>
      <c r="W62" s="2663"/>
      <c r="X62" s="2663"/>
      <c r="Y62" s="2663"/>
      <c r="Z62" s="2663"/>
      <c r="AA62" s="2663"/>
      <c r="AB62" s="2663"/>
      <c r="AC62" s="2663"/>
      <c r="AD62" s="2663"/>
      <c r="AE62" s="2663"/>
    </row>
    <row r="63" spans="1:31">
      <c r="A63" s="984"/>
      <c r="B63" s="998"/>
      <c r="C63" s="664" t="str">
        <f>YEAR(C7)&amp;"-"&amp;MONTH(C7)&amp;"-1"</f>
        <v>2014-2-1</v>
      </c>
      <c r="D63" s="664">
        <f>EDATE(C63,-3)</f>
        <v>41579</v>
      </c>
      <c r="E63" s="664">
        <f>EDATE(D63,-3)</f>
        <v>41487</v>
      </c>
      <c r="F63" s="664">
        <f t="shared" ref="F63:O63" si="18">EDATE(E63,-3)</f>
        <v>41395</v>
      </c>
      <c r="G63" s="664">
        <f t="shared" si="18"/>
        <v>41306</v>
      </c>
      <c r="H63" s="664">
        <f t="shared" si="18"/>
        <v>41214</v>
      </c>
      <c r="I63" s="664">
        <f t="shared" si="18"/>
        <v>41122</v>
      </c>
      <c r="J63" s="664">
        <f t="shared" si="18"/>
        <v>41030</v>
      </c>
      <c r="K63" s="664">
        <f t="shared" si="18"/>
        <v>40940</v>
      </c>
      <c r="L63" s="664">
        <f t="shared" si="18"/>
        <v>40848</v>
      </c>
      <c r="M63" s="664">
        <f t="shared" si="18"/>
        <v>40756</v>
      </c>
      <c r="N63" s="664">
        <f t="shared" si="18"/>
        <v>40664</v>
      </c>
      <c r="O63" s="664">
        <f t="shared" si="18"/>
        <v>40575</v>
      </c>
      <c r="P63" s="2663"/>
      <c r="Q63" s="2663"/>
      <c r="R63" s="2663"/>
      <c r="S63" s="2663"/>
      <c r="T63" s="2663"/>
      <c r="U63" s="2663"/>
      <c r="V63" s="2663"/>
      <c r="W63" s="2663"/>
      <c r="X63" s="2663"/>
      <c r="Y63" s="2663"/>
      <c r="Z63" s="2663"/>
      <c r="AA63" s="2663"/>
      <c r="AB63" s="2663"/>
      <c r="AC63" s="2663"/>
      <c r="AD63" s="2663"/>
      <c r="AE63" s="2663"/>
    </row>
    <row r="64" spans="1:31" ht="21.75" thickBot="1">
      <c r="A64" s="666" t="s">
        <v>2427</v>
      </c>
      <c r="B64" s="393"/>
      <c r="C64" s="667"/>
      <c r="D64" s="667"/>
      <c r="E64" s="667"/>
      <c r="F64" s="668"/>
      <c r="G64" s="668"/>
      <c r="H64" s="667"/>
      <c r="I64" s="667"/>
      <c r="J64" s="667"/>
      <c r="K64" s="669"/>
      <c r="L64" s="670"/>
      <c r="M64" s="667"/>
      <c r="N64" s="667"/>
      <c r="O64" s="1009"/>
      <c r="P64" s="2713"/>
      <c r="Q64" s="2684"/>
      <c r="R64" s="2663"/>
      <c r="S64" s="2663"/>
      <c r="T64" s="2663"/>
      <c r="U64" s="2663"/>
      <c r="V64" s="2663"/>
      <c r="W64" s="2663"/>
      <c r="X64" s="2663"/>
      <c r="Y64" s="2663"/>
      <c r="Z64" s="2663"/>
      <c r="AA64" s="2663"/>
      <c r="AB64" s="2663"/>
      <c r="AC64" s="2663"/>
      <c r="AD64" s="2663"/>
      <c r="AE64" s="2663"/>
    </row>
    <row r="65" spans="1:31" s="450" customFormat="1" ht="15">
      <c r="A65" s="1775" t="s">
        <v>2535</v>
      </c>
      <c r="B65" s="1171"/>
      <c r="C65" s="1228" t="str">
        <f>YEAR(C63)&amp;"-"&amp;ROUNDUP(MONTH(C63)/3,0)</f>
        <v>2014-1</v>
      </c>
      <c r="D65" s="1228" t="str">
        <f t="shared" ref="D65:O65" si="19">YEAR(D63)&amp;"-"&amp;ROUNDUP(MONTH(D63)/3,0)</f>
        <v>2013-4</v>
      </c>
      <c r="E65" s="1228" t="str">
        <f t="shared" si="19"/>
        <v>2013-3</v>
      </c>
      <c r="F65" s="1228" t="str">
        <f t="shared" si="19"/>
        <v>2013-2</v>
      </c>
      <c r="G65" s="1228" t="str">
        <f t="shared" si="19"/>
        <v>2013-1</v>
      </c>
      <c r="H65" s="1228" t="str">
        <f t="shared" si="19"/>
        <v>2012-4</v>
      </c>
      <c r="I65" s="1228" t="str">
        <f t="shared" si="19"/>
        <v>2012-3</v>
      </c>
      <c r="J65" s="1228" t="str">
        <f t="shared" si="19"/>
        <v>2012-2</v>
      </c>
      <c r="K65" s="1228" t="str">
        <f t="shared" si="19"/>
        <v>2012-1</v>
      </c>
      <c r="L65" s="1228" t="str">
        <f t="shared" si="19"/>
        <v>2011-4</v>
      </c>
      <c r="M65" s="1228" t="str">
        <f t="shared" si="19"/>
        <v>2011-3</v>
      </c>
      <c r="N65" s="1228" t="str">
        <f t="shared" si="19"/>
        <v>2011-2</v>
      </c>
      <c r="O65" s="1228" t="str">
        <f t="shared" si="19"/>
        <v>2011-1</v>
      </c>
      <c r="P65" s="2686"/>
      <c r="Q65" s="2686"/>
      <c r="R65" s="2686"/>
      <c r="S65" s="2686"/>
      <c r="T65" s="2686"/>
      <c r="U65" s="2686"/>
      <c r="V65" s="2686"/>
      <c r="W65" s="2686"/>
      <c r="X65" s="2686"/>
      <c r="Y65" s="2686"/>
      <c r="Z65" s="2686"/>
      <c r="AA65" s="2686"/>
      <c r="AB65" s="2686"/>
      <c r="AC65" s="2686"/>
      <c r="AD65" s="2686"/>
      <c r="AE65" s="2686"/>
    </row>
    <row r="66" spans="1:31" s="107" customFormat="1" ht="30.75" customHeight="1">
      <c r="A66" s="1983" t="s">
        <v>2555</v>
      </c>
      <c r="B66" s="286" t="str">
        <f>"北京市平均增长率"&amp;TEXT(基准地价修正!P24,"0.00%")</f>
        <v>北京市平均增长率1.36%</v>
      </c>
      <c r="C66" s="538">
        <v>100</v>
      </c>
      <c r="D66" s="9"/>
      <c r="E66" s="9"/>
      <c r="F66" s="9"/>
      <c r="G66" s="9"/>
      <c r="H66" s="9"/>
      <c r="I66" s="9"/>
      <c r="J66" s="9"/>
      <c r="K66" s="9"/>
      <c r="L66" s="9"/>
      <c r="M66" s="1193"/>
      <c r="N66" s="1193"/>
      <c r="O66" s="1226"/>
      <c r="P66" s="2684"/>
      <c r="Q66" s="2613"/>
      <c r="R66" s="2613"/>
      <c r="S66" s="2613"/>
      <c r="T66" s="2613"/>
      <c r="U66" s="2613"/>
      <c r="V66" s="2613"/>
      <c r="W66" s="2613"/>
      <c r="X66" s="2613"/>
      <c r="Y66" s="2613"/>
      <c r="Z66" s="2613"/>
      <c r="AA66" s="2613"/>
      <c r="AB66" s="2613"/>
      <c r="AC66" s="2613"/>
      <c r="AD66" s="2613"/>
      <c r="AE66" s="2613"/>
    </row>
    <row r="67" spans="1:31" s="107" customFormat="1" ht="15.75" thickBot="1">
      <c r="A67" s="457" t="s">
        <v>2338</v>
      </c>
      <c r="B67" s="458"/>
      <c r="C67" s="459"/>
      <c r="D67" s="460"/>
      <c r="E67" s="460"/>
      <c r="F67" s="460"/>
      <c r="G67" s="460"/>
      <c r="H67" s="460"/>
      <c r="I67" s="460"/>
      <c r="J67" s="460"/>
      <c r="K67" s="460"/>
      <c r="L67" s="460"/>
      <c r="M67" s="461"/>
      <c r="N67" s="461"/>
      <c r="O67" s="462"/>
      <c r="P67" s="2684"/>
      <c r="Q67" s="2684"/>
      <c r="R67" s="2613"/>
      <c r="S67" s="2613"/>
      <c r="T67" s="2613"/>
      <c r="U67" s="2613"/>
      <c r="V67" s="2613"/>
      <c r="W67" s="2613"/>
      <c r="X67" s="2613"/>
      <c r="Y67" s="2613"/>
      <c r="Z67" s="2613"/>
      <c r="AA67" s="2613"/>
      <c r="AB67" s="2613"/>
      <c r="AC67" s="2613"/>
      <c r="AD67" s="2613"/>
      <c r="AE67" s="2613"/>
    </row>
    <row r="68" spans="1:31" s="107" customFormat="1" ht="15">
      <c r="A68" s="463" t="s">
        <v>2304</v>
      </c>
      <c r="B68" s="452"/>
      <c r="C68" s="464" t="s">
        <v>2405</v>
      </c>
      <c r="D68" s="34"/>
      <c r="E68" s="34"/>
      <c r="F68" s="34"/>
      <c r="G68" s="34"/>
      <c r="H68" s="34"/>
      <c r="I68" s="34"/>
      <c r="J68" s="34"/>
      <c r="K68" s="34"/>
      <c r="L68" s="465"/>
      <c r="M68" s="466"/>
      <c r="N68" s="2696"/>
      <c r="O68" s="2696"/>
      <c r="P68" s="2720"/>
      <c r="Q68" s="2684"/>
      <c r="R68" s="2613"/>
      <c r="S68" s="2613"/>
      <c r="T68" s="2613"/>
      <c r="U68" s="2613"/>
      <c r="V68" s="2613"/>
      <c r="W68" s="2613"/>
      <c r="X68" s="2613"/>
      <c r="Y68" s="2613"/>
      <c r="Z68" s="2613"/>
      <c r="AA68" s="2613"/>
      <c r="AB68" s="2613"/>
      <c r="AC68" s="2613"/>
      <c r="AD68" s="2613"/>
      <c r="AE68" s="2613"/>
    </row>
    <row r="69" spans="1:31" s="107" customFormat="1" ht="15.75" thickBot="1">
      <c r="A69" s="463"/>
      <c r="B69" s="452"/>
      <c r="C69" s="571">
        <v>100</v>
      </c>
      <c r="D69" s="454"/>
      <c r="E69" s="454"/>
      <c r="F69" s="454"/>
      <c r="G69" s="454"/>
      <c r="H69" s="454"/>
      <c r="I69" s="454"/>
      <c r="J69" s="454"/>
      <c r="K69" s="454"/>
      <c r="L69" s="454"/>
      <c r="M69" s="456"/>
      <c r="N69" s="2696"/>
      <c r="O69" s="2696"/>
      <c r="P69" s="2684"/>
      <c r="Q69" s="2684"/>
      <c r="R69" s="2613"/>
      <c r="S69" s="2613"/>
      <c r="T69" s="2613"/>
      <c r="U69" s="2613"/>
      <c r="V69" s="2613"/>
      <c r="W69" s="2613"/>
      <c r="X69" s="2613"/>
      <c r="Y69" s="2613"/>
      <c r="Z69" s="2613"/>
      <c r="AA69" s="2613"/>
      <c r="AB69" s="2613"/>
      <c r="AC69" s="2613"/>
      <c r="AD69" s="2613"/>
      <c r="AE69" s="2613"/>
    </row>
    <row r="70" spans="1:31">
      <c r="A70" s="387" t="s">
        <v>2341</v>
      </c>
      <c r="B70" s="468" t="s">
        <v>2308</v>
      </c>
      <c r="C70" s="470"/>
      <c r="D70" s="470"/>
      <c r="E70" s="470"/>
      <c r="F70" s="470"/>
      <c r="G70" s="470"/>
      <c r="H70" s="470"/>
      <c r="I70" s="470"/>
      <c r="J70" s="470"/>
      <c r="K70" s="471"/>
      <c r="L70" s="472"/>
      <c r="M70" s="473"/>
      <c r="N70" s="2697"/>
      <c r="O70" s="2697"/>
      <c r="P70" s="2696"/>
      <c r="Q70" s="2684"/>
      <c r="R70" s="2663"/>
      <c r="S70" s="2663"/>
      <c r="T70" s="2663"/>
      <c r="U70" s="2663"/>
      <c r="V70" s="2663"/>
      <c r="W70" s="2663"/>
      <c r="X70" s="2663"/>
      <c r="Y70" s="2663"/>
      <c r="Z70" s="2663"/>
      <c r="AA70" s="2663"/>
      <c r="AB70" s="2663"/>
      <c r="AC70" s="2663"/>
      <c r="AD70" s="2663"/>
      <c r="AE70" s="2663"/>
    </row>
    <row r="71" spans="1:31" ht="15.75" thickBot="1">
      <c r="A71" s="375"/>
      <c r="B71" s="474"/>
      <c r="C71" s="475"/>
      <c r="D71" s="475"/>
      <c r="E71" s="475"/>
      <c r="F71" s="475"/>
      <c r="G71" s="475"/>
      <c r="H71" s="475"/>
      <c r="I71" s="475"/>
      <c r="J71" s="475"/>
      <c r="K71" s="475"/>
      <c r="L71" s="475"/>
      <c r="M71" s="476"/>
      <c r="N71" s="2698"/>
      <c r="O71" s="2698"/>
      <c r="P71" s="2696"/>
      <c r="Q71" s="2684"/>
      <c r="R71" s="2663"/>
      <c r="S71" s="2663"/>
      <c r="T71" s="2663"/>
      <c r="U71" s="2663"/>
      <c r="V71" s="2663"/>
      <c r="W71" s="2663"/>
      <c r="X71" s="2663"/>
      <c r="Y71" s="2663"/>
      <c r="Z71" s="2663"/>
      <c r="AA71" s="2663"/>
      <c r="AB71" s="2663"/>
      <c r="AC71" s="2663"/>
      <c r="AD71" s="2663"/>
      <c r="AE71" s="2663"/>
    </row>
    <row r="72" spans="1:31" ht="27.75" thickTop="1">
      <c r="A72" s="375"/>
      <c r="B72" s="477" t="s">
        <v>2311</v>
      </c>
      <c r="C72" s="478"/>
      <c r="D72" s="478"/>
      <c r="E72" s="478"/>
      <c r="F72" s="478"/>
      <c r="G72" s="478"/>
      <c r="H72" s="478"/>
      <c r="I72" s="478"/>
      <c r="J72" s="478"/>
      <c r="K72" s="479"/>
      <c r="L72" s="480"/>
      <c r="M72" s="481"/>
      <c r="N72" s="2697"/>
      <c r="O72" s="2697"/>
      <c r="P72" s="2696"/>
      <c r="Q72" s="2684"/>
      <c r="R72" s="2663"/>
      <c r="S72" s="2663"/>
      <c r="T72" s="2663"/>
      <c r="U72" s="2663"/>
      <c r="V72" s="2663"/>
      <c r="W72" s="2663"/>
      <c r="X72" s="2663"/>
      <c r="Y72" s="2663"/>
      <c r="Z72" s="2663"/>
      <c r="AA72" s="2663"/>
      <c r="AB72" s="2663"/>
      <c r="AC72" s="2663"/>
      <c r="AD72" s="2663"/>
      <c r="AE72" s="2663"/>
    </row>
    <row r="73" spans="1:31" ht="15.75" thickBot="1">
      <c r="A73" s="375"/>
      <c r="B73" s="482"/>
      <c r="C73" s="483"/>
      <c r="D73" s="483"/>
      <c r="E73" s="483"/>
      <c r="F73" s="483"/>
      <c r="G73" s="483"/>
      <c r="H73" s="483"/>
      <c r="I73" s="483"/>
      <c r="J73" s="483"/>
      <c r="K73" s="483"/>
      <c r="L73" s="483"/>
      <c r="M73" s="484"/>
      <c r="N73" s="2698"/>
      <c r="O73" s="2698"/>
      <c r="P73" s="2696"/>
      <c r="Q73" s="2684"/>
      <c r="R73" s="2663"/>
      <c r="S73" s="2663"/>
      <c r="T73" s="2663"/>
      <c r="U73" s="2663"/>
      <c r="V73" s="2663"/>
      <c r="W73" s="2663"/>
      <c r="X73" s="2663"/>
      <c r="Y73" s="2663"/>
      <c r="Z73" s="2663"/>
      <c r="AA73" s="2663"/>
      <c r="AB73" s="2663"/>
      <c r="AC73" s="2663"/>
      <c r="AD73" s="2663"/>
      <c r="AE73" s="2663"/>
    </row>
    <row r="74" spans="1:31" ht="15.75" thickTop="1">
      <c r="A74" s="375"/>
      <c r="B74" s="485" t="s">
        <v>2312</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98"/>
      <c r="O74" s="2698"/>
      <c r="P74" s="2696"/>
      <c r="Q74" s="2684"/>
      <c r="R74" s="2663"/>
      <c r="S74" s="2663"/>
      <c r="T74" s="2663"/>
      <c r="U74" s="2663"/>
      <c r="V74" s="2663"/>
      <c r="W74" s="2663"/>
      <c r="X74" s="2663"/>
      <c r="Y74" s="2663"/>
      <c r="Z74" s="2663"/>
      <c r="AA74" s="2663"/>
      <c r="AB74" s="2663"/>
      <c r="AC74" s="2663"/>
      <c r="AD74" s="2663"/>
      <c r="AE74" s="2663"/>
    </row>
    <row r="75" spans="1:31" ht="15">
      <c r="A75" s="375"/>
      <c r="B75" s="487"/>
      <c r="C75" s="488"/>
      <c r="D75" s="488"/>
      <c r="E75" s="488"/>
      <c r="F75" s="488"/>
      <c r="G75" s="488"/>
      <c r="H75" s="488"/>
      <c r="I75" s="488"/>
      <c r="J75" s="488"/>
      <c r="K75" s="489"/>
      <c r="L75" s="490"/>
      <c r="M75" s="491"/>
      <c r="N75" s="2697"/>
      <c r="O75" s="2697"/>
      <c r="P75" s="2696"/>
      <c r="Q75" s="2684"/>
      <c r="R75" s="2663"/>
      <c r="S75" s="2663"/>
      <c r="T75" s="2663"/>
      <c r="U75" s="2663"/>
      <c r="V75" s="2663"/>
      <c r="W75" s="2663"/>
      <c r="X75" s="2663"/>
      <c r="Y75" s="2663"/>
      <c r="Z75" s="2663"/>
      <c r="AA75" s="2663"/>
      <c r="AB75" s="2663"/>
      <c r="AC75" s="2663"/>
      <c r="AD75" s="2663"/>
      <c r="AE75" s="2663"/>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98"/>
      <c r="O76" s="2698"/>
      <c r="P76" s="2696"/>
      <c r="Q76" s="2684"/>
      <c r="R76" s="2663"/>
      <c r="S76" s="2663"/>
      <c r="T76" s="2663"/>
      <c r="U76" s="2663"/>
      <c r="V76" s="2663"/>
      <c r="W76" s="2663"/>
      <c r="X76" s="2663"/>
      <c r="Y76" s="2663"/>
      <c r="Z76" s="2663"/>
      <c r="AA76" s="2663"/>
      <c r="AB76" s="2663"/>
      <c r="AC76" s="2663"/>
      <c r="AD76" s="2663"/>
      <c r="AE76" s="2663"/>
    </row>
    <row r="77" spans="1:31" s="416" customFormat="1" ht="15.75" thickTop="1">
      <c r="A77" s="492"/>
      <c r="B77" s="477">
        <f>B12</f>
        <v>111</v>
      </c>
      <c r="C77" s="493"/>
      <c r="D77" s="493"/>
      <c r="E77" s="493"/>
      <c r="F77" s="493"/>
      <c r="G77" s="493"/>
      <c r="H77" s="494"/>
      <c r="I77" s="494"/>
      <c r="J77" s="494"/>
      <c r="K77" s="494"/>
      <c r="L77" s="495"/>
      <c r="M77" s="496"/>
      <c r="N77" s="2699"/>
      <c r="O77" s="2699"/>
      <c r="P77" s="2699"/>
      <c r="Q77" s="2691"/>
      <c r="R77" s="2669"/>
      <c r="S77" s="2669"/>
      <c r="T77" s="2669"/>
      <c r="U77" s="2669"/>
      <c r="V77" s="2669"/>
      <c r="W77" s="2669"/>
      <c r="X77" s="2669"/>
      <c r="Y77" s="2669"/>
      <c r="Z77" s="2669"/>
      <c r="AA77" s="2669"/>
      <c r="AB77" s="2669"/>
      <c r="AC77" s="2669"/>
      <c r="AD77" s="2669"/>
      <c r="AE77" s="2669"/>
    </row>
    <row r="78" spans="1:31" s="416" customFormat="1" ht="15.75" thickBot="1">
      <c r="A78" s="492"/>
      <c r="B78" s="482"/>
      <c r="C78" s="499"/>
      <c r="D78" s="475"/>
      <c r="E78" s="475"/>
      <c r="F78" s="475"/>
      <c r="G78" s="475"/>
      <c r="H78" s="475"/>
      <c r="I78" s="475"/>
      <c r="J78" s="475"/>
      <c r="K78" s="475"/>
      <c r="L78" s="475"/>
      <c r="M78" s="476"/>
      <c r="N78" s="2698"/>
      <c r="O78" s="2698"/>
      <c r="P78" s="2699"/>
      <c r="Q78" s="2691"/>
      <c r="R78" s="2669"/>
      <c r="S78" s="2669"/>
      <c r="T78" s="2669"/>
      <c r="U78" s="2669"/>
      <c r="V78" s="2669"/>
      <c r="W78" s="2669"/>
      <c r="X78" s="2669"/>
      <c r="Y78" s="2669"/>
      <c r="Z78" s="2669"/>
      <c r="AA78" s="2669"/>
      <c r="AB78" s="2669"/>
      <c r="AC78" s="2669"/>
      <c r="AD78" s="2669"/>
      <c r="AE78" s="2669"/>
    </row>
    <row r="79" spans="1:31" s="416" customFormat="1" ht="15.75" thickTop="1">
      <c r="A79" s="492"/>
      <c r="B79" s="477">
        <f>B13</f>
        <v>111</v>
      </c>
      <c r="C79" s="493"/>
      <c r="D79" s="493"/>
      <c r="E79" s="493"/>
      <c r="F79" s="493"/>
      <c r="G79" s="493"/>
      <c r="H79" s="494"/>
      <c r="I79" s="494"/>
      <c r="J79" s="494"/>
      <c r="K79" s="494"/>
      <c r="L79" s="495"/>
      <c r="M79" s="496"/>
      <c r="N79" s="2699"/>
      <c r="O79" s="2699"/>
      <c r="P79" s="2669"/>
      <c r="Q79" s="2693"/>
      <c r="R79" s="2669"/>
      <c r="S79" s="2669"/>
      <c r="T79" s="2669"/>
      <c r="U79" s="2669"/>
      <c r="V79" s="2669"/>
      <c r="W79" s="2669"/>
      <c r="X79" s="2669"/>
      <c r="Y79" s="2669"/>
      <c r="Z79" s="2669"/>
      <c r="AA79" s="2669"/>
      <c r="AB79" s="2669"/>
      <c r="AC79" s="2669"/>
      <c r="AD79" s="2669"/>
      <c r="AE79" s="2669"/>
    </row>
    <row r="80" spans="1:31" s="416" customFormat="1" ht="15.75" thickBot="1">
      <c r="A80" s="492"/>
      <c r="B80" s="482"/>
      <c r="C80" s="499"/>
      <c r="D80" s="499"/>
      <c r="E80" s="499"/>
      <c r="F80" s="499"/>
      <c r="G80" s="499"/>
      <c r="H80" s="501"/>
      <c r="I80" s="501"/>
      <c r="J80" s="501"/>
      <c r="K80" s="501"/>
      <c r="L80" s="501"/>
      <c r="M80" s="502"/>
      <c r="N80" s="2699"/>
      <c r="O80" s="2699"/>
      <c r="P80" s="2699"/>
      <c r="Q80" s="2691"/>
      <c r="R80" s="2669"/>
      <c r="S80" s="2669"/>
      <c r="T80" s="2669"/>
      <c r="U80" s="2669"/>
      <c r="V80" s="2669"/>
      <c r="W80" s="2669"/>
      <c r="X80" s="2669"/>
      <c r="Y80" s="2669"/>
      <c r="Z80" s="2669"/>
      <c r="AA80" s="2669"/>
      <c r="AB80" s="2669"/>
      <c r="AC80" s="2669"/>
      <c r="AD80" s="2669"/>
      <c r="AE80" s="2669"/>
    </row>
    <row r="81" spans="1:31" s="416" customFormat="1" ht="15.75" thickTop="1">
      <c r="A81" s="492"/>
      <c r="B81" s="485">
        <f>B14</f>
        <v>111</v>
      </c>
      <c r="C81" s="34"/>
      <c r="D81" s="34"/>
      <c r="E81" s="34"/>
      <c r="F81" s="34"/>
      <c r="G81" s="34"/>
      <c r="H81" s="503"/>
      <c r="I81" s="503"/>
      <c r="J81" s="503"/>
      <c r="K81" s="503"/>
      <c r="L81" s="504"/>
      <c r="M81" s="505"/>
      <c r="N81" s="2699"/>
      <c r="O81" s="2699"/>
      <c r="P81" s="2724"/>
      <c r="Q81" s="2691"/>
      <c r="R81" s="2669"/>
      <c r="S81" s="2669"/>
      <c r="T81" s="2669"/>
      <c r="U81" s="2669"/>
      <c r="V81" s="2669"/>
      <c r="W81" s="2669"/>
      <c r="X81" s="2669"/>
      <c r="Y81" s="2669"/>
      <c r="Z81" s="2669"/>
      <c r="AA81" s="2669"/>
      <c r="AB81" s="2669"/>
      <c r="AC81" s="2669"/>
      <c r="AD81" s="2669"/>
      <c r="AE81" s="2669"/>
    </row>
    <row r="82" spans="1:31" s="416" customFormat="1" ht="15.75" thickBot="1">
      <c r="A82" s="507"/>
      <c r="B82" s="508"/>
      <c r="C82" s="509"/>
      <c r="D82" s="509"/>
      <c r="E82" s="509"/>
      <c r="F82" s="509"/>
      <c r="G82" s="509"/>
      <c r="H82" s="510"/>
      <c r="I82" s="510"/>
      <c r="J82" s="510"/>
      <c r="K82" s="510"/>
      <c r="L82" s="510"/>
      <c r="M82" s="511"/>
      <c r="N82" s="2699"/>
      <c r="O82" s="2699"/>
      <c r="P82" s="2699"/>
      <c r="Q82" s="2691"/>
      <c r="R82" s="2669"/>
      <c r="S82" s="2669"/>
      <c r="T82" s="2669"/>
      <c r="U82" s="2669"/>
      <c r="V82" s="2669"/>
      <c r="W82" s="2669"/>
      <c r="X82" s="2669"/>
      <c r="Y82" s="2669"/>
      <c r="Z82" s="2669"/>
      <c r="AA82" s="2669"/>
      <c r="AB82" s="2669"/>
      <c r="AC82" s="2669"/>
      <c r="AD82" s="2669"/>
      <c r="AE82" s="2669"/>
    </row>
    <row r="83" spans="1:31">
      <c r="A83" s="387" t="s">
        <v>2313</v>
      </c>
      <c r="B83" s="468" t="s">
        <v>2458</v>
      </c>
      <c r="C83" s="512" t="s">
        <v>2350</v>
      </c>
      <c r="D83" s="512" t="s">
        <v>2351</v>
      </c>
      <c r="E83" s="512" t="s">
        <v>2352</v>
      </c>
      <c r="F83" s="512" t="s">
        <v>2353</v>
      </c>
      <c r="G83" s="512" t="s">
        <v>2354</v>
      </c>
      <c r="H83" s="469"/>
      <c r="I83" s="469"/>
      <c r="J83" s="469"/>
      <c r="K83" s="513"/>
      <c r="L83" s="514"/>
      <c r="M83" s="515"/>
      <c r="N83" s="2697"/>
      <c r="O83" s="2697"/>
      <c r="P83" s="2721"/>
      <c r="Q83" s="2684"/>
      <c r="R83" s="2663"/>
      <c r="S83" s="2663"/>
      <c r="T83" s="2663"/>
      <c r="U83" s="2663"/>
      <c r="V83" s="2663"/>
      <c r="W83" s="2663"/>
      <c r="X83" s="2663"/>
      <c r="Y83" s="2663"/>
      <c r="Z83" s="2663"/>
      <c r="AA83" s="2663"/>
      <c r="AB83" s="2663"/>
      <c r="AC83" s="2663"/>
      <c r="AD83" s="2663"/>
      <c r="AE83" s="2663"/>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98"/>
      <c r="O84" s="2698"/>
      <c r="P84" s="2696"/>
      <c r="Q84" s="2684"/>
      <c r="R84" s="2663"/>
      <c r="S84" s="2663"/>
      <c r="T84" s="2663"/>
      <c r="U84" s="2663"/>
      <c r="V84" s="2663"/>
      <c r="W84" s="2663"/>
      <c r="X84" s="2663"/>
      <c r="Y84" s="2663"/>
      <c r="Z84" s="2663"/>
      <c r="AA84" s="2663"/>
      <c r="AB84" s="2663"/>
      <c r="AC84" s="2663"/>
      <c r="AD84" s="2663"/>
      <c r="AE84" s="2663"/>
    </row>
    <row r="85" spans="1:31" ht="15.75" thickTop="1">
      <c r="A85" s="375"/>
      <c r="B85" s="477" t="s">
        <v>2355</v>
      </c>
      <c r="C85" s="517" t="s">
        <v>2350</v>
      </c>
      <c r="D85" s="517" t="s">
        <v>2351</v>
      </c>
      <c r="E85" s="517" t="s">
        <v>2352</v>
      </c>
      <c r="F85" s="517" t="s">
        <v>2353</v>
      </c>
      <c r="G85" s="517" t="s">
        <v>2354</v>
      </c>
      <c r="H85" s="478"/>
      <c r="I85" s="478"/>
      <c r="J85" s="478"/>
      <c r="K85" s="479"/>
      <c r="L85" s="480"/>
      <c r="M85" s="481"/>
      <c r="N85" s="2697"/>
      <c r="O85" s="2697"/>
      <c r="P85" s="2696"/>
      <c r="Q85" s="2684"/>
      <c r="R85" s="2663"/>
      <c r="S85" s="2663"/>
      <c r="T85" s="2663"/>
      <c r="U85" s="2663"/>
      <c r="V85" s="2663"/>
      <c r="W85" s="2663"/>
      <c r="X85" s="2663"/>
      <c r="Y85" s="2663"/>
      <c r="Z85" s="2663"/>
      <c r="AA85" s="2663"/>
      <c r="AB85" s="2663"/>
      <c r="AC85" s="2663"/>
      <c r="AD85" s="2663"/>
      <c r="AE85" s="2663"/>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98"/>
      <c r="O86" s="2698"/>
      <c r="P86" s="2696"/>
      <c r="Q86" s="2684"/>
      <c r="R86" s="2663"/>
      <c r="S86" s="2663"/>
      <c r="T86" s="2663"/>
      <c r="U86" s="2663"/>
      <c r="V86" s="2663"/>
      <c r="W86" s="2663"/>
      <c r="X86" s="2663"/>
      <c r="Y86" s="2663"/>
      <c r="Z86" s="2663"/>
      <c r="AA86" s="2663"/>
      <c r="AB86" s="2663"/>
      <c r="AC86" s="2663"/>
      <c r="AD86" s="2663"/>
      <c r="AE86" s="2663"/>
    </row>
    <row r="87" spans="1:31" s="107" customFormat="1" ht="15.75" thickTop="1">
      <c r="A87" s="378"/>
      <c r="B87" s="477" t="s">
        <v>2538</v>
      </c>
      <c r="C87" s="512" t="s">
        <v>2350</v>
      </c>
      <c r="D87" s="512" t="s">
        <v>2351</v>
      </c>
      <c r="E87" s="512" t="s">
        <v>2352</v>
      </c>
      <c r="F87" s="512" t="s">
        <v>2353</v>
      </c>
      <c r="G87" s="512" t="s">
        <v>2354</v>
      </c>
      <c r="H87" s="517"/>
      <c r="I87" s="517"/>
      <c r="J87" s="517"/>
      <c r="K87" s="517"/>
      <c r="L87" s="626"/>
      <c r="M87" s="555"/>
      <c r="N87" s="2696"/>
      <c r="O87" s="2696"/>
      <c r="P87" s="2696"/>
      <c r="Q87" s="2684"/>
      <c r="R87" s="2613"/>
      <c r="S87" s="2613"/>
      <c r="T87" s="2613"/>
      <c r="U87" s="2613"/>
      <c r="V87" s="2613"/>
      <c r="W87" s="2613"/>
      <c r="X87" s="2613"/>
      <c r="Y87" s="2613"/>
      <c r="Z87" s="2613"/>
      <c r="AA87" s="2613"/>
      <c r="AB87" s="2613"/>
      <c r="AC87" s="2613"/>
      <c r="AD87" s="2613"/>
      <c r="AE87" s="2613"/>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98"/>
      <c r="O88" s="2698"/>
      <c r="P88" s="2696"/>
      <c r="Q88" s="2684"/>
      <c r="R88" s="2613"/>
      <c r="S88" s="2613"/>
      <c r="T88" s="2613"/>
      <c r="U88" s="2613"/>
      <c r="V88" s="2613"/>
      <c r="W88" s="2613"/>
      <c r="X88" s="2613"/>
      <c r="Y88" s="2613"/>
      <c r="Z88" s="2613"/>
      <c r="AA88" s="2613"/>
      <c r="AB88" s="2613"/>
      <c r="AC88" s="2613"/>
      <c r="AD88" s="2613"/>
      <c r="AE88" s="2613"/>
    </row>
    <row r="89" spans="1:31" s="107" customFormat="1" ht="27.75" thickTop="1">
      <c r="A89" s="378"/>
      <c r="B89" s="477" t="s">
        <v>2539</v>
      </c>
      <c r="C89" s="512" t="s">
        <v>2350</v>
      </c>
      <c r="D89" s="512" t="s">
        <v>2351</v>
      </c>
      <c r="E89" s="512" t="s">
        <v>2352</v>
      </c>
      <c r="F89" s="512" t="s">
        <v>2353</v>
      </c>
      <c r="G89" s="512" t="s">
        <v>2354</v>
      </c>
      <c r="H89" s="517"/>
      <c r="I89" s="517"/>
      <c r="J89" s="517"/>
      <c r="K89" s="517"/>
      <c r="L89" s="517"/>
      <c r="M89" s="555"/>
      <c r="N89" s="2696"/>
      <c r="O89" s="2696"/>
      <c r="P89" s="2696"/>
      <c r="Q89" s="2684"/>
      <c r="R89" s="2613"/>
      <c r="S89" s="2613"/>
      <c r="T89" s="2613"/>
      <c r="U89" s="2613"/>
      <c r="V89" s="2613"/>
      <c r="W89" s="2613"/>
      <c r="X89" s="2613"/>
      <c r="Y89" s="2613"/>
      <c r="Z89" s="2613"/>
      <c r="AA89" s="2613"/>
      <c r="AB89" s="2613"/>
      <c r="AC89" s="2613"/>
      <c r="AD89" s="2613"/>
      <c r="AE89" s="2613"/>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98"/>
      <c r="O90" s="2698"/>
      <c r="P90" s="2696"/>
      <c r="Q90" s="2684"/>
      <c r="R90" s="2613"/>
      <c r="S90" s="2613"/>
      <c r="T90" s="2613"/>
      <c r="U90" s="2613"/>
      <c r="V90" s="2613"/>
      <c r="W90" s="2613"/>
      <c r="X90" s="2613"/>
      <c r="Y90" s="2613"/>
      <c r="Z90" s="2613"/>
      <c r="AA90" s="2613"/>
      <c r="AB90" s="2613"/>
      <c r="AC90" s="2613"/>
      <c r="AD90" s="2613"/>
      <c r="AE90" s="2613"/>
    </row>
    <row r="91" spans="1:31" s="416" customFormat="1" ht="15.75" thickTop="1">
      <c r="A91" s="492"/>
      <c r="B91" s="477" t="s">
        <v>2407</v>
      </c>
      <c r="C91" s="512" t="s">
        <v>2350</v>
      </c>
      <c r="D91" s="512" t="s">
        <v>2351</v>
      </c>
      <c r="E91" s="512" t="s">
        <v>2352</v>
      </c>
      <c r="F91" s="512" t="s">
        <v>2353</v>
      </c>
      <c r="G91" s="512" t="s">
        <v>2354</v>
      </c>
      <c r="H91" s="535"/>
      <c r="I91" s="535"/>
      <c r="J91" s="535"/>
      <c r="K91" s="535"/>
      <c r="L91" s="536"/>
      <c r="M91" s="537"/>
      <c r="N91" s="2699"/>
      <c r="O91" s="2699"/>
      <c r="P91" s="2699"/>
      <c r="Q91" s="2691"/>
      <c r="R91" s="2669"/>
      <c r="S91" s="2669"/>
      <c r="T91" s="2669"/>
      <c r="U91" s="2669"/>
      <c r="V91" s="2669"/>
      <c r="W91" s="2669"/>
      <c r="X91" s="2669"/>
      <c r="Y91" s="2669"/>
      <c r="Z91" s="2669"/>
      <c r="AA91" s="2669"/>
      <c r="AB91" s="2669"/>
      <c r="AC91" s="2669"/>
      <c r="AD91" s="2669"/>
      <c r="AE91" s="2669"/>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99"/>
      <c r="O92" s="2699"/>
      <c r="P92" s="2699"/>
      <c r="Q92" s="2691"/>
      <c r="R92" s="2669"/>
      <c r="S92" s="2669"/>
      <c r="T92" s="2669"/>
      <c r="U92" s="2669"/>
      <c r="V92" s="2669"/>
      <c r="W92" s="2669"/>
      <c r="X92" s="2669"/>
      <c r="Y92" s="2669"/>
      <c r="Z92" s="2669"/>
      <c r="AA92" s="2669"/>
      <c r="AB92" s="2669"/>
      <c r="AC92" s="2669"/>
      <c r="AD92" s="2669"/>
      <c r="AE92" s="2669"/>
    </row>
    <row r="93" spans="1:31" s="416" customFormat="1" ht="15.75" thickTop="1">
      <c r="A93" s="492"/>
      <c r="B93" s="485" t="s">
        <v>2556</v>
      </c>
      <c r="C93" s="589" t="s">
        <v>2428</v>
      </c>
      <c r="D93" s="589" t="s">
        <v>2429</v>
      </c>
      <c r="E93" s="589" t="s">
        <v>2430</v>
      </c>
      <c r="F93" s="589" t="s">
        <v>2431</v>
      </c>
      <c r="G93" s="589" t="s">
        <v>2432</v>
      </c>
      <c r="H93" s="535"/>
      <c r="I93" s="535"/>
      <c r="J93" s="535"/>
      <c r="K93" s="535"/>
      <c r="L93" s="535"/>
      <c r="M93" s="537"/>
      <c r="N93" s="2699"/>
      <c r="O93" s="2699"/>
      <c r="P93" s="2699"/>
      <c r="Q93" s="2691"/>
      <c r="R93" s="2669"/>
      <c r="S93" s="2669"/>
      <c r="T93" s="2669"/>
      <c r="U93" s="2669"/>
      <c r="V93" s="2669"/>
      <c r="W93" s="2669"/>
      <c r="X93" s="2669"/>
      <c r="Y93" s="2669"/>
      <c r="Z93" s="2669"/>
      <c r="AA93" s="2669"/>
      <c r="AB93" s="2669"/>
      <c r="AC93" s="2669"/>
      <c r="AD93" s="2669"/>
      <c r="AE93" s="2669"/>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92"/>
      <c r="N94" s="2699"/>
      <c r="O94" s="2699"/>
      <c r="P94" s="2699"/>
      <c r="Q94" s="2691"/>
      <c r="R94" s="2669"/>
      <c r="S94" s="2669"/>
      <c r="T94" s="2669"/>
      <c r="U94" s="2669"/>
      <c r="V94" s="2669"/>
      <c r="W94" s="2669"/>
      <c r="X94" s="2669"/>
      <c r="Y94" s="2669"/>
      <c r="Z94" s="2669"/>
      <c r="AA94" s="2669"/>
      <c r="AB94" s="2669"/>
      <c r="AC94" s="2669"/>
      <c r="AD94" s="2669"/>
      <c r="AE94" s="2669"/>
    </row>
    <row r="95" spans="1:31" ht="15.75" thickTop="1">
      <c r="A95" s="375"/>
      <c r="B95" s="477" t="str">
        <f>B27</f>
        <v>临街状况</v>
      </c>
      <c r="C95" s="478" t="s">
        <v>2540</v>
      </c>
      <c r="D95" s="478" t="s">
        <v>2541</v>
      </c>
      <c r="E95" s="478" t="s">
        <v>2542</v>
      </c>
      <c r="F95" s="478" t="s">
        <v>2543</v>
      </c>
      <c r="G95" s="478"/>
      <c r="H95" s="478"/>
      <c r="I95" s="478"/>
      <c r="J95" s="478"/>
      <c r="K95" s="479"/>
      <c r="L95" s="480"/>
      <c r="M95" s="481"/>
      <c r="N95" s="2697"/>
      <c r="O95" s="2697"/>
      <c r="P95" s="2696"/>
      <c r="Q95" s="2684"/>
      <c r="R95" s="2663"/>
      <c r="S95" s="2663"/>
      <c r="T95" s="2663"/>
      <c r="U95" s="2663"/>
      <c r="V95" s="2663"/>
      <c r="W95" s="2663"/>
      <c r="X95" s="2663"/>
      <c r="Y95" s="2663"/>
      <c r="Z95" s="2663"/>
      <c r="AA95" s="2663"/>
      <c r="AB95" s="2663"/>
      <c r="AC95" s="2663"/>
      <c r="AD95" s="2663"/>
      <c r="AE95" s="2663"/>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98"/>
      <c r="O96" s="2698"/>
      <c r="P96" s="2696"/>
      <c r="Q96" s="2684"/>
      <c r="R96" s="2663"/>
      <c r="S96" s="2663"/>
      <c r="T96" s="2663"/>
      <c r="U96" s="2663"/>
      <c r="V96" s="2663"/>
      <c r="W96" s="2663"/>
      <c r="X96" s="2663"/>
      <c r="Y96" s="2663"/>
      <c r="Z96" s="2663"/>
      <c r="AA96" s="2663"/>
      <c r="AB96" s="2663"/>
      <c r="AC96" s="2663"/>
      <c r="AD96" s="2663"/>
      <c r="AE96" s="2663"/>
    </row>
    <row r="97" spans="1:31" ht="27.75" thickTop="1">
      <c r="A97" s="375"/>
      <c r="B97" s="477" t="s">
        <v>2444</v>
      </c>
      <c r="C97" s="493"/>
      <c r="D97" s="493"/>
      <c r="E97" s="493"/>
      <c r="F97" s="493"/>
      <c r="G97" s="493"/>
      <c r="H97" s="521"/>
      <c r="I97" s="521"/>
      <c r="J97" s="521"/>
      <c r="K97" s="522"/>
      <c r="L97" s="523"/>
      <c r="M97" s="524"/>
      <c r="N97" s="2697"/>
      <c r="O97" s="2697"/>
      <c r="P97" s="2696"/>
      <c r="Q97" s="2684"/>
      <c r="R97" s="2663"/>
      <c r="S97" s="2663"/>
      <c r="T97" s="2663"/>
      <c r="U97" s="2663"/>
      <c r="V97" s="2663"/>
      <c r="W97" s="2663"/>
      <c r="X97" s="2663"/>
      <c r="Y97" s="2663"/>
      <c r="Z97" s="2663"/>
      <c r="AA97" s="2663"/>
      <c r="AB97" s="2663"/>
      <c r="AC97" s="2663"/>
      <c r="AD97" s="2663"/>
      <c r="AE97" s="2663"/>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98"/>
      <c r="O98" s="2698"/>
      <c r="P98" s="2696"/>
      <c r="Q98" s="2684"/>
      <c r="R98" s="2663"/>
      <c r="S98" s="2663"/>
      <c r="T98" s="2663"/>
      <c r="U98" s="2663"/>
      <c r="V98" s="2663"/>
      <c r="W98" s="2663"/>
      <c r="X98" s="2663"/>
      <c r="Y98" s="2663"/>
      <c r="Z98" s="2663"/>
      <c r="AA98" s="2663"/>
      <c r="AB98" s="2663"/>
      <c r="AC98" s="2663"/>
      <c r="AD98" s="2663"/>
      <c r="AE98" s="2663"/>
    </row>
    <row r="99" spans="1:31" ht="15.75" thickTop="1">
      <c r="A99" s="375"/>
      <c r="B99" s="477" t="s">
        <v>2503</v>
      </c>
      <c r="C99" s="521"/>
      <c r="D99" s="521"/>
      <c r="E99" s="521"/>
      <c r="F99" s="521"/>
      <c r="G99" s="521"/>
      <c r="H99" s="521"/>
      <c r="I99" s="521"/>
      <c r="J99" s="521"/>
      <c r="K99" s="522"/>
      <c r="L99" s="523"/>
      <c r="M99" s="524"/>
      <c r="N99" s="2697"/>
      <c r="O99" s="2697"/>
      <c r="P99" s="2696"/>
      <c r="Q99" s="2684"/>
      <c r="R99" s="2663"/>
      <c r="S99" s="2663"/>
      <c r="T99" s="2663"/>
      <c r="U99" s="2663"/>
      <c r="V99" s="2663"/>
      <c r="W99" s="2663"/>
      <c r="X99" s="2663"/>
      <c r="Y99" s="2663"/>
      <c r="Z99" s="2663"/>
      <c r="AA99" s="2663"/>
      <c r="AB99" s="2663"/>
      <c r="AC99" s="2663"/>
      <c r="AD99" s="2663"/>
      <c r="AE99" s="2663"/>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98"/>
      <c r="O100" s="2698"/>
      <c r="P100" s="2696"/>
      <c r="Q100" s="2684"/>
      <c r="R100" s="2663"/>
      <c r="S100" s="2663"/>
      <c r="T100" s="2663"/>
      <c r="U100" s="2663"/>
      <c r="V100" s="2663"/>
      <c r="W100" s="2663"/>
      <c r="X100" s="2663"/>
      <c r="Y100" s="2663"/>
      <c r="Z100" s="2663"/>
      <c r="AA100" s="2663"/>
      <c r="AB100" s="2663"/>
      <c r="AC100" s="2663"/>
      <c r="AD100" s="2663"/>
      <c r="AE100" s="2663"/>
    </row>
    <row r="101" spans="1:31" ht="15.75" thickTop="1">
      <c r="A101" s="375"/>
      <c r="B101" s="485">
        <f>B31</f>
        <v>111</v>
      </c>
      <c r="C101" s="493"/>
      <c r="D101" s="493"/>
      <c r="E101" s="493"/>
      <c r="F101" s="493"/>
      <c r="G101" s="525"/>
      <c r="H101" s="525"/>
      <c r="I101" s="525"/>
      <c r="J101" s="525"/>
      <c r="K101" s="526"/>
      <c r="L101" s="527"/>
      <c r="M101" s="528"/>
      <c r="N101" s="2697"/>
      <c r="O101" s="2697"/>
      <c r="P101" s="2696"/>
      <c r="Q101" s="2684"/>
      <c r="R101" s="2663"/>
      <c r="S101" s="2663"/>
      <c r="T101" s="2663"/>
      <c r="U101" s="2663"/>
      <c r="V101" s="2663"/>
      <c r="W101" s="2663"/>
      <c r="X101" s="2663"/>
      <c r="Y101" s="2663"/>
      <c r="Z101" s="2663"/>
      <c r="AA101" s="2663"/>
      <c r="AB101" s="2663"/>
      <c r="AC101" s="2663"/>
      <c r="AD101" s="2663"/>
      <c r="AE101" s="2663"/>
    </row>
    <row r="102" spans="1:31" ht="15.75" thickBot="1">
      <c r="A102" s="375"/>
      <c r="B102" s="508"/>
      <c r="C102" s="499"/>
      <c r="D102" s="475"/>
      <c r="E102" s="475"/>
      <c r="F102" s="475"/>
      <c r="G102" s="529"/>
      <c r="H102" s="529"/>
      <c r="I102" s="529"/>
      <c r="J102" s="529"/>
      <c r="K102" s="529"/>
      <c r="L102" s="529"/>
      <c r="M102" s="530"/>
      <c r="N102" s="2698"/>
      <c r="O102" s="2698"/>
      <c r="P102" s="2696"/>
      <c r="Q102" s="2684"/>
      <c r="R102" s="2663"/>
      <c r="S102" s="2663"/>
      <c r="T102" s="2663"/>
      <c r="U102" s="2663"/>
      <c r="V102" s="2663"/>
      <c r="W102" s="2663"/>
      <c r="X102" s="2663"/>
      <c r="Y102" s="2663"/>
      <c r="Z102" s="2663"/>
      <c r="AA102" s="2663"/>
      <c r="AB102" s="2663"/>
      <c r="AC102" s="2663"/>
      <c r="AD102" s="2663"/>
      <c r="AE102" s="2663"/>
    </row>
    <row r="103" spans="1:31" ht="15" thickTop="1">
      <c r="A103" s="603"/>
      <c r="B103" s="477">
        <f>B32</f>
        <v>111</v>
      </c>
      <c r="C103" s="493"/>
      <c r="D103" s="493"/>
      <c r="E103" s="493"/>
      <c r="F103" s="493"/>
      <c r="G103" s="521"/>
      <c r="H103" s="521"/>
      <c r="I103" s="521"/>
      <c r="J103" s="521"/>
      <c r="K103" s="522"/>
      <c r="L103" s="523"/>
      <c r="M103" s="524"/>
      <c r="N103" s="2697"/>
      <c r="O103" s="2697"/>
      <c r="P103" s="2696"/>
      <c r="Q103" s="2684"/>
      <c r="R103" s="2663"/>
      <c r="S103" s="2663"/>
      <c r="T103" s="2663"/>
      <c r="U103" s="2663"/>
      <c r="V103" s="2663"/>
      <c r="W103" s="2663"/>
      <c r="X103" s="2663"/>
      <c r="Y103" s="2663"/>
      <c r="Z103" s="2663"/>
      <c r="AA103" s="2663"/>
      <c r="AB103" s="2663"/>
      <c r="AC103" s="2663"/>
      <c r="AD103" s="2663"/>
      <c r="AE103" s="2663"/>
    </row>
    <row r="104" spans="1:31" ht="15.75" thickBot="1">
      <c r="A104" s="375"/>
      <c r="B104" s="482"/>
      <c r="C104" s="499"/>
      <c r="D104" s="499"/>
      <c r="E104" s="499"/>
      <c r="F104" s="499"/>
      <c r="G104" s="475"/>
      <c r="H104" s="475"/>
      <c r="I104" s="475"/>
      <c r="J104" s="475"/>
      <c r="K104" s="475"/>
      <c r="L104" s="475"/>
      <c r="M104" s="476"/>
      <c r="N104" s="2698"/>
      <c r="O104" s="2698"/>
      <c r="P104" s="2696"/>
      <c r="Q104" s="2684"/>
      <c r="R104" s="2663"/>
      <c r="S104" s="2663"/>
      <c r="T104" s="2663"/>
      <c r="U104" s="2663"/>
      <c r="V104" s="2663"/>
      <c r="W104" s="2663"/>
      <c r="X104" s="2663"/>
      <c r="Y104" s="2663"/>
      <c r="Z104" s="2663"/>
      <c r="AA104" s="2663"/>
      <c r="AB104" s="2663"/>
      <c r="AC104" s="2663"/>
      <c r="AD104" s="2663"/>
      <c r="AE104" s="2663"/>
    </row>
    <row r="105" spans="1:31" s="416" customFormat="1" ht="15" thickTop="1">
      <c r="A105" s="414"/>
      <c r="B105" s="531">
        <f>B33</f>
        <v>111</v>
      </c>
      <c r="C105" s="34"/>
      <c r="D105" s="34"/>
      <c r="E105" s="34"/>
      <c r="F105" s="34"/>
      <c r="G105" s="9"/>
      <c r="H105" s="9"/>
      <c r="I105" s="9"/>
      <c r="J105" s="532"/>
      <c r="K105" s="532"/>
      <c r="L105" s="533"/>
      <c r="M105" s="534"/>
      <c r="N105" s="2699"/>
      <c r="O105" s="2699"/>
      <c r="P105" s="2699"/>
      <c r="Q105" s="2691"/>
      <c r="R105" s="2669"/>
      <c r="S105" s="2669"/>
      <c r="T105" s="2669"/>
      <c r="U105" s="2669"/>
      <c r="V105" s="2669"/>
      <c r="W105" s="2669"/>
      <c r="X105" s="2669"/>
      <c r="Y105" s="2669"/>
      <c r="Z105" s="2669"/>
      <c r="AA105" s="2669"/>
      <c r="AB105" s="2669"/>
      <c r="AC105" s="2669"/>
      <c r="AD105" s="2669"/>
      <c r="AE105" s="2669"/>
    </row>
    <row r="106" spans="1:31" s="416" customFormat="1" ht="15.75" thickBot="1">
      <c r="A106" s="492"/>
      <c r="B106" s="485"/>
      <c r="C106" s="509"/>
      <c r="D106" s="509"/>
      <c r="E106" s="509"/>
      <c r="F106" s="509"/>
      <c r="G106" s="605"/>
      <c r="H106" s="605"/>
      <c r="I106" s="605"/>
      <c r="J106" s="605"/>
      <c r="K106" s="605"/>
      <c r="L106" s="605"/>
      <c r="M106" s="627"/>
      <c r="N106" s="2698"/>
      <c r="O106" s="2698"/>
      <c r="P106" s="2699"/>
      <c r="Q106" s="2691"/>
      <c r="R106" s="2669"/>
      <c r="S106" s="2669"/>
      <c r="T106" s="2669"/>
      <c r="U106" s="2669"/>
      <c r="V106" s="2669"/>
      <c r="W106" s="2669"/>
      <c r="X106" s="2669"/>
      <c r="Y106" s="2669"/>
      <c r="Z106" s="2669"/>
      <c r="AA106" s="2669"/>
      <c r="AB106" s="2669"/>
      <c r="AC106" s="2669"/>
      <c r="AD106" s="2669"/>
      <c r="AE106" s="2669"/>
    </row>
    <row r="107" spans="1:31">
      <c r="A107" s="387" t="s">
        <v>2317</v>
      </c>
      <c r="B107" s="468" t="s">
        <v>2544</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77" t="str">
        <f t="shared" si="25"/>
        <v>(含)-</v>
      </c>
      <c r="L107" s="1377" t="str">
        <f t="shared" si="25"/>
        <v>(含)-</v>
      </c>
      <c r="M107" s="1378" t="str">
        <f>M108&amp;"(含)"&amp;"-"&amp;P108</f>
        <v>(含)-</v>
      </c>
      <c r="N107" s="2697"/>
      <c r="O107" s="2697"/>
      <c r="P107" s="2696"/>
      <c r="Q107" s="2684"/>
      <c r="R107" s="2663"/>
      <c r="S107" s="2663"/>
      <c r="T107" s="2663"/>
      <c r="U107" s="2663"/>
      <c r="V107" s="2663"/>
      <c r="W107" s="2663"/>
      <c r="X107" s="2663"/>
      <c r="Y107" s="2663"/>
      <c r="Z107" s="2663"/>
      <c r="AA107" s="2663"/>
      <c r="AB107" s="2663"/>
      <c r="AC107" s="2663"/>
      <c r="AD107" s="2663"/>
      <c r="AE107" s="2663"/>
    </row>
    <row r="108" spans="1:31" ht="15">
      <c r="A108" s="375"/>
      <c r="B108" s="485"/>
      <c r="C108" s="9"/>
      <c r="D108" s="9"/>
      <c r="E108" s="9"/>
      <c r="F108" s="9"/>
      <c r="G108" s="9"/>
      <c r="H108" s="9"/>
      <c r="I108" s="9"/>
      <c r="J108" s="532"/>
      <c r="K108" s="532"/>
      <c r="L108" s="533"/>
      <c r="M108" s="534"/>
      <c r="N108" s="2697"/>
      <c r="O108" s="2697"/>
      <c r="P108" s="2696"/>
      <c r="Q108" s="2684"/>
      <c r="R108" s="2663"/>
      <c r="S108" s="2663"/>
      <c r="T108" s="2663"/>
      <c r="U108" s="2663"/>
      <c r="V108" s="2663"/>
      <c r="W108" s="2663"/>
      <c r="X108" s="2663"/>
      <c r="Y108" s="2663"/>
      <c r="Z108" s="2663"/>
      <c r="AA108" s="2663"/>
      <c r="AB108" s="2663"/>
      <c r="AC108" s="2663"/>
      <c r="AD108" s="2663"/>
      <c r="AE108" s="2663"/>
    </row>
    <row r="109" spans="1:31" ht="15.75" thickBot="1">
      <c r="A109" s="375"/>
      <c r="B109" s="482"/>
      <c r="C109" s="509"/>
      <c r="D109" s="529"/>
      <c r="E109" s="529"/>
      <c r="F109" s="529"/>
      <c r="G109" s="529"/>
      <c r="H109" s="529"/>
      <c r="I109" s="529"/>
      <c r="J109" s="529"/>
      <c r="K109" s="529"/>
      <c r="L109" s="529"/>
      <c r="M109" s="530"/>
      <c r="N109" s="2698"/>
      <c r="O109" s="2698"/>
      <c r="P109" s="2696"/>
      <c r="Q109" s="2684"/>
      <c r="R109" s="2663"/>
      <c r="S109" s="2663"/>
      <c r="T109" s="2663"/>
      <c r="U109" s="2663"/>
      <c r="V109" s="2663"/>
      <c r="W109" s="2663"/>
      <c r="X109" s="2663"/>
      <c r="Y109" s="2663"/>
      <c r="Z109" s="2663"/>
      <c r="AA109" s="2663"/>
      <c r="AB109" s="2663"/>
      <c r="AC109" s="2663"/>
      <c r="AD109" s="2663"/>
      <c r="AE109" s="2663"/>
    </row>
    <row r="110" spans="1:31" ht="15" thickTop="1">
      <c r="A110" s="417"/>
      <c r="B110" s="477" t="s">
        <v>2545</v>
      </c>
      <c r="C110" s="521"/>
      <c r="D110" s="521"/>
      <c r="E110" s="521"/>
      <c r="F110" s="521"/>
      <c r="G110" s="521"/>
      <c r="H110" s="521"/>
      <c r="I110" s="521"/>
      <c r="J110" s="521"/>
      <c r="K110" s="522"/>
      <c r="L110" s="523"/>
      <c r="M110" s="524"/>
      <c r="N110" s="2697"/>
      <c r="O110" s="2697"/>
      <c r="P110" s="2696"/>
      <c r="Q110" s="2684"/>
      <c r="R110" s="2663"/>
      <c r="S110" s="2663"/>
      <c r="T110" s="2663"/>
      <c r="U110" s="2663"/>
      <c r="V110" s="2663"/>
      <c r="W110" s="2663"/>
      <c r="X110" s="2663"/>
      <c r="Y110" s="2663"/>
      <c r="Z110" s="2663"/>
      <c r="AA110" s="2663"/>
      <c r="AB110" s="2663"/>
      <c r="AC110" s="2663"/>
      <c r="AD110" s="2663"/>
      <c r="AE110" s="2663"/>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98"/>
      <c r="O111" s="2698"/>
      <c r="P111" s="2696"/>
      <c r="Q111" s="2684"/>
      <c r="R111" s="2663"/>
      <c r="S111" s="2663"/>
      <c r="T111" s="2663"/>
      <c r="U111" s="2663"/>
      <c r="V111" s="2663"/>
      <c r="W111" s="2663"/>
      <c r="X111" s="2663"/>
      <c r="Y111" s="2663"/>
      <c r="Z111" s="2663"/>
      <c r="AA111" s="2663"/>
      <c r="AB111" s="2663"/>
      <c r="AC111" s="2663"/>
      <c r="AD111" s="2663"/>
      <c r="AE111" s="2663"/>
    </row>
    <row r="112" spans="1:31" s="416" customFormat="1" ht="15" thickTop="1">
      <c r="A112" s="414"/>
      <c r="B112" s="477" t="s">
        <v>2547</v>
      </c>
      <c r="C112" s="493"/>
      <c r="D112" s="493"/>
      <c r="E112" s="493"/>
      <c r="F112" s="493"/>
      <c r="G112" s="493"/>
      <c r="H112" s="521"/>
      <c r="I112" s="521"/>
      <c r="J112" s="521"/>
      <c r="K112" s="522"/>
      <c r="L112" s="523"/>
      <c r="M112" s="524"/>
      <c r="N112" s="2699"/>
      <c r="O112" s="2699"/>
      <c r="P112" s="2699"/>
      <c r="Q112" s="2691"/>
      <c r="R112" s="2669"/>
      <c r="S112" s="2669"/>
      <c r="T112" s="2669"/>
      <c r="U112" s="2669"/>
      <c r="V112" s="2669"/>
      <c r="W112" s="2669"/>
      <c r="X112" s="2669"/>
      <c r="Y112" s="2669"/>
      <c r="Z112" s="2669"/>
      <c r="AA112" s="2669"/>
      <c r="AB112" s="2669"/>
      <c r="AC112" s="2669"/>
      <c r="AD112" s="2669"/>
      <c r="AE112" s="2669"/>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99"/>
      <c r="O113" s="2699"/>
      <c r="P113" s="2699"/>
      <c r="Q113" s="2691"/>
      <c r="R113" s="2669"/>
      <c r="S113" s="2669"/>
      <c r="T113" s="2669"/>
      <c r="U113" s="2669"/>
      <c r="V113" s="2669"/>
      <c r="W113" s="2669"/>
      <c r="X113" s="2669"/>
      <c r="Y113" s="2669"/>
      <c r="Z113" s="2669"/>
      <c r="AA113" s="2669"/>
      <c r="AB113" s="2669"/>
      <c r="AC113" s="2669"/>
      <c r="AD113" s="2669"/>
      <c r="AE113" s="2669"/>
    </row>
    <row r="114" spans="1:31" ht="15" thickTop="1">
      <c r="A114" s="417"/>
      <c r="B114" s="477" t="s">
        <v>2548</v>
      </c>
      <c r="C114" s="493"/>
      <c r="D114" s="493"/>
      <c r="E114" s="521"/>
      <c r="F114" s="521"/>
      <c r="G114" s="521"/>
      <c r="H114" s="521"/>
      <c r="I114" s="521"/>
      <c r="J114" s="521"/>
      <c r="K114" s="522"/>
      <c r="L114" s="523"/>
      <c r="M114" s="524"/>
      <c r="N114" s="2697"/>
      <c r="O114" s="2697"/>
      <c r="P114" s="2696"/>
      <c r="Q114" s="2684"/>
      <c r="R114" s="2663"/>
      <c r="S114" s="2663"/>
      <c r="T114" s="2663"/>
      <c r="U114" s="2663"/>
      <c r="V114" s="2663"/>
      <c r="W114" s="2663"/>
      <c r="X114" s="2663"/>
      <c r="Y114" s="2663"/>
      <c r="Z114" s="2663"/>
      <c r="AA114" s="2663"/>
      <c r="AB114" s="2663"/>
      <c r="AC114" s="2663"/>
      <c r="AD114" s="2663"/>
      <c r="AE114" s="2663"/>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98"/>
      <c r="O115" s="2698"/>
      <c r="P115" s="2696"/>
      <c r="Q115" s="2684"/>
      <c r="R115" s="2663"/>
      <c r="S115" s="2663"/>
      <c r="T115" s="2663"/>
      <c r="U115" s="2663"/>
      <c r="V115" s="2663"/>
      <c r="W115" s="2663"/>
      <c r="X115" s="2663"/>
      <c r="Y115" s="2663"/>
      <c r="Z115" s="2663"/>
      <c r="AA115" s="2663"/>
      <c r="AB115" s="2663"/>
      <c r="AC115" s="2663"/>
      <c r="AD115" s="2663"/>
      <c r="AE115" s="2663"/>
    </row>
    <row r="116" spans="1:31" ht="15" thickTop="1">
      <c r="A116" s="417"/>
      <c r="B116" s="477">
        <f>B38</f>
        <v>111</v>
      </c>
      <c r="C116" s="493"/>
      <c r="D116" s="493"/>
      <c r="E116" s="493"/>
      <c r="F116" s="493"/>
      <c r="G116" s="493"/>
      <c r="H116" s="521"/>
      <c r="I116" s="521"/>
      <c r="J116" s="521"/>
      <c r="K116" s="522"/>
      <c r="L116" s="523"/>
      <c r="M116" s="524"/>
      <c r="N116" s="2697"/>
      <c r="O116" s="2697"/>
      <c r="P116" s="2696"/>
      <c r="Q116" s="2684"/>
      <c r="R116" s="2663"/>
      <c r="S116" s="2663"/>
      <c r="T116" s="2663"/>
      <c r="U116" s="2663"/>
      <c r="V116" s="2663"/>
      <c r="W116" s="2663"/>
      <c r="X116" s="2663"/>
      <c r="Y116" s="2663"/>
      <c r="Z116" s="2663"/>
      <c r="AA116" s="2663"/>
      <c r="AB116" s="2663"/>
      <c r="AC116" s="2663"/>
      <c r="AD116" s="2663"/>
      <c r="AE116" s="2663"/>
    </row>
    <row r="117" spans="1:31" ht="15.75" thickBot="1">
      <c r="A117" s="375"/>
      <c r="B117" s="482"/>
      <c r="C117" s="499"/>
      <c r="D117" s="475"/>
      <c r="E117" s="475"/>
      <c r="F117" s="475"/>
      <c r="G117" s="475"/>
      <c r="H117" s="475"/>
      <c r="I117" s="475"/>
      <c r="J117" s="475"/>
      <c r="K117" s="475"/>
      <c r="L117" s="475"/>
      <c r="M117" s="476"/>
      <c r="N117" s="2698"/>
      <c r="O117" s="2698"/>
      <c r="P117" s="2696"/>
      <c r="Q117" s="2684"/>
      <c r="R117" s="2663"/>
      <c r="S117" s="2663"/>
      <c r="T117" s="2663"/>
      <c r="U117" s="2663"/>
      <c r="V117" s="2663"/>
      <c r="W117" s="2663"/>
      <c r="X117" s="2663"/>
      <c r="Y117" s="2663"/>
      <c r="Z117" s="2663"/>
      <c r="AA117" s="2663"/>
      <c r="AB117" s="2663"/>
      <c r="AC117" s="2663"/>
      <c r="AD117" s="2663"/>
      <c r="AE117" s="2663"/>
    </row>
    <row r="118" spans="1:31" ht="15" thickTop="1">
      <c r="A118" s="417"/>
      <c r="B118" s="477">
        <f>B39</f>
        <v>111</v>
      </c>
      <c r="C118" s="493"/>
      <c r="D118" s="493"/>
      <c r="E118" s="493"/>
      <c r="F118" s="493"/>
      <c r="G118" s="521"/>
      <c r="H118" s="521"/>
      <c r="I118" s="521"/>
      <c r="J118" s="521"/>
      <c r="K118" s="522"/>
      <c r="L118" s="523"/>
      <c r="M118" s="524"/>
      <c r="N118" s="2697"/>
      <c r="O118" s="2697"/>
      <c r="P118" s="2696"/>
      <c r="Q118" s="2684"/>
      <c r="R118" s="2663"/>
      <c r="S118" s="2663"/>
      <c r="T118" s="2663"/>
      <c r="U118" s="2663"/>
      <c r="V118" s="2663"/>
      <c r="W118" s="2663"/>
      <c r="X118" s="2663"/>
      <c r="Y118" s="2663"/>
      <c r="Z118" s="2663"/>
      <c r="AA118" s="2663"/>
      <c r="AB118" s="2663"/>
      <c r="AC118" s="2663"/>
      <c r="AD118" s="2663"/>
      <c r="AE118" s="2663"/>
    </row>
    <row r="119" spans="1:31" ht="15.75" thickBot="1">
      <c r="A119" s="375"/>
      <c r="B119" s="482"/>
      <c r="C119" s="499"/>
      <c r="D119" s="499"/>
      <c r="E119" s="499"/>
      <c r="F119" s="499"/>
      <c r="G119" s="475"/>
      <c r="H119" s="475"/>
      <c r="I119" s="475"/>
      <c r="J119" s="475"/>
      <c r="K119" s="475"/>
      <c r="L119" s="475"/>
      <c r="M119" s="476"/>
      <c r="N119" s="2698"/>
      <c r="O119" s="2698"/>
      <c r="P119" s="2696"/>
      <c r="Q119" s="2684"/>
      <c r="R119" s="2663"/>
      <c r="S119" s="2663"/>
      <c r="T119" s="2663"/>
      <c r="U119" s="2663"/>
      <c r="V119" s="2663"/>
      <c r="W119" s="2663"/>
      <c r="X119" s="2663"/>
      <c r="Y119" s="2663"/>
      <c r="Z119" s="2663"/>
      <c r="AA119" s="2663"/>
      <c r="AB119" s="2663"/>
      <c r="AC119" s="2663"/>
      <c r="AD119" s="2663"/>
      <c r="AE119" s="2663"/>
    </row>
    <row r="120" spans="1:31" s="416" customFormat="1" ht="15" thickTop="1">
      <c r="A120" s="414"/>
      <c r="B120" s="477">
        <f>B40</f>
        <v>111</v>
      </c>
      <c r="C120" s="34"/>
      <c r="D120" s="34"/>
      <c r="E120" s="34"/>
      <c r="F120" s="34"/>
      <c r="G120" s="494"/>
      <c r="H120" s="494"/>
      <c r="I120" s="494"/>
      <c r="J120" s="494"/>
      <c r="K120" s="494"/>
      <c r="L120" s="495"/>
      <c r="M120" s="496"/>
      <c r="N120" s="2699"/>
      <c r="O120" s="2699"/>
      <c r="P120" s="2699"/>
      <c r="Q120" s="2691"/>
      <c r="R120" s="2669"/>
      <c r="S120" s="2669"/>
      <c r="T120" s="2669"/>
      <c r="U120" s="2669"/>
      <c r="V120" s="2669"/>
      <c r="W120" s="2669"/>
      <c r="X120" s="2669"/>
      <c r="Y120" s="2669"/>
      <c r="Z120" s="2669"/>
      <c r="AA120" s="2669"/>
      <c r="AB120" s="2669"/>
      <c r="AC120" s="2669"/>
      <c r="AD120" s="2669"/>
      <c r="AE120" s="2669"/>
    </row>
    <row r="121" spans="1:31" s="416" customFormat="1" ht="15.75" thickBot="1">
      <c r="A121" s="507"/>
      <c r="B121" s="628"/>
      <c r="C121" s="509"/>
      <c r="D121" s="509"/>
      <c r="E121" s="509"/>
      <c r="F121" s="509"/>
      <c r="G121" s="529"/>
      <c r="H121" s="529"/>
      <c r="I121" s="529"/>
      <c r="J121" s="529"/>
      <c r="K121" s="529"/>
      <c r="L121" s="529"/>
      <c r="M121" s="530"/>
      <c r="N121" s="2699"/>
      <c r="O121" s="2699"/>
      <c r="P121" s="2699"/>
      <c r="Q121" s="2691"/>
      <c r="R121" s="2669"/>
      <c r="S121" s="2669"/>
      <c r="T121" s="2669"/>
      <c r="U121" s="2669"/>
      <c r="V121" s="2669"/>
      <c r="W121" s="2669"/>
      <c r="X121" s="2669"/>
      <c r="Y121" s="2669"/>
      <c r="Z121" s="2669"/>
      <c r="AA121" s="2669"/>
      <c r="AB121" s="2669"/>
      <c r="AC121" s="2669"/>
      <c r="AD121" s="2669"/>
      <c r="AE121" s="2669"/>
    </row>
    <row r="122" spans="1:31">
      <c r="N122" s="2663"/>
      <c r="O122" s="2663"/>
      <c r="P122" s="2663"/>
      <c r="Q122" s="2663"/>
      <c r="R122" s="2663"/>
      <c r="S122" s="2663"/>
      <c r="T122" s="2663"/>
      <c r="U122" s="2663"/>
      <c r="V122" s="2663"/>
      <c r="W122" s="2663"/>
      <c r="X122" s="2663"/>
      <c r="Y122" s="2663"/>
      <c r="Z122" s="2663"/>
      <c r="AA122" s="2663"/>
      <c r="AB122" s="2663"/>
      <c r="AC122" s="2663"/>
      <c r="AD122" s="2663"/>
      <c r="AE122" s="2663"/>
    </row>
    <row r="123" spans="1:31">
      <c r="P123" s="2663"/>
      <c r="Q123" s="2663"/>
      <c r="R123" s="2663"/>
      <c r="S123" s="2663"/>
      <c r="T123" s="2663"/>
      <c r="U123" s="2663"/>
      <c r="V123" s="2663"/>
      <c r="W123" s="2663"/>
      <c r="X123" s="2663"/>
      <c r="Y123" s="2663"/>
      <c r="Z123" s="2663"/>
      <c r="AA123" s="2663"/>
      <c r="AB123" s="2663"/>
      <c r="AC123" s="2663"/>
      <c r="AD123" s="2663"/>
      <c r="AE123" s="266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customWidth="1"/>
    <col min="2" max="9" width="8.25" style="772" customWidth="1"/>
    <col min="14" max="14" width="10" customWidth="1"/>
    <col min="17" max="17" width="34.125" customWidth="1"/>
    <col min="18" max="18" width="8.25" customWidth="1"/>
    <col min="20" max="20" width="11.625" customWidth="1"/>
  </cols>
  <sheetData>
    <row r="1" spans="1:13" ht="19.5" customHeight="1" thickBot="1">
      <c r="A1" s="750" t="s">
        <v>546</v>
      </c>
      <c r="B1" s="725" t="s">
        <v>157</v>
      </c>
      <c r="C1" s="725" t="s">
        <v>158</v>
      </c>
      <c r="D1" s="725" t="s">
        <v>159</v>
      </c>
      <c r="E1" s="725" t="s">
        <v>160</v>
      </c>
      <c r="F1" s="725" t="s">
        <v>161</v>
      </c>
      <c r="G1" s="725" t="s">
        <v>162</v>
      </c>
      <c r="H1" s="725" t="s">
        <v>163</v>
      </c>
      <c r="I1" s="725" t="s">
        <v>164</v>
      </c>
      <c r="J1" s="725" t="s">
        <v>165</v>
      </c>
      <c r="K1" s="725" t="s">
        <v>166</v>
      </c>
      <c r="L1" s="725" t="s">
        <v>167</v>
      </c>
      <c r="M1" s="726" t="s">
        <v>168</v>
      </c>
    </row>
    <row r="2" spans="1:13" ht="19.5" customHeight="1">
      <c r="A2" s="751" t="s">
        <v>183</v>
      </c>
      <c r="B2" s="752">
        <v>3.5</v>
      </c>
      <c r="C2" s="752">
        <v>3.5</v>
      </c>
      <c r="D2" s="753">
        <v>2.5</v>
      </c>
      <c r="E2" s="753">
        <v>2.5</v>
      </c>
      <c r="F2" s="753">
        <v>2.5</v>
      </c>
      <c r="G2" s="753">
        <v>2.5</v>
      </c>
      <c r="H2" s="753">
        <v>2.5</v>
      </c>
      <c r="I2" s="752">
        <v>2</v>
      </c>
      <c r="J2" s="752">
        <v>2</v>
      </c>
      <c r="K2" s="752">
        <v>2</v>
      </c>
      <c r="L2" s="752">
        <v>2</v>
      </c>
      <c r="M2" s="754">
        <v>2</v>
      </c>
    </row>
    <row r="3" spans="1:13" ht="19.5" customHeight="1">
      <c r="A3" s="755" t="s">
        <v>184</v>
      </c>
      <c r="B3" s="756">
        <v>3.5</v>
      </c>
      <c r="C3" s="756">
        <v>3.5</v>
      </c>
      <c r="D3" s="757">
        <v>2.5</v>
      </c>
      <c r="E3" s="757">
        <v>2.5</v>
      </c>
      <c r="F3" s="757">
        <v>2.5</v>
      </c>
      <c r="G3" s="757">
        <v>2.5</v>
      </c>
      <c r="H3" s="757">
        <v>2.5</v>
      </c>
      <c r="I3" s="756">
        <v>2</v>
      </c>
      <c r="J3" s="756">
        <v>2</v>
      </c>
      <c r="K3" s="756">
        <v>2</v>
      </c>
      <c r="L3" s="756">
        <v>2</v>
      </c>
      <c r="M3" s="758">
        <v>2</v>
      </c>
    </row>
    <row r="4" spans="1:13" ht="19.5" customHeight="1">
      <c r="A4" s="755" t="s">
        <v>752</v>
      </c>
      <c r="B4" s="757">
        <v>2.5</v>
      </c>
      <c r="C4" s="757">
        <v>2.5</v>
      </c>
      <c r="D4" s="757">
        <v>2.5</v>
      </c>
      <c r="E4" s="757">
        <v>2.5</v>
      </c>
      <c r="F4" s="757">
        <v>2.5</v>
      </c>
      <c r="G4" s="757">
        <v>2.5</v>
      </c>
      <c r="H4" s="757">
        <v>2.5</v>
      </c>
      <c r="I4" s="756">
        <v>1.5</v>
      </c>
      <c r="J4" s="756">
        <v>1.5</v>
      </c>
      <c r="K4" s="756">
        <v>1.5</v>
      </c>
      <c r="L4" s="756">
        <v>1.5</v>
      </c>
      <c r="M4" s="758">
        <v>1.5</v>
      </c>
    </row>
    <row r="5" spans="1:13" ht="19.5" customHeight="1" thickBot="1">
      <c r="A5" s="759" t="s">
        <v>186</v>
      </c>
      <c r="B5" s="760">
        <v>1.5</v>
      </c>
      <c r="C5" s="760">
        <v>1.5</v>
      </c>
      <c r="D5" s="760">
        <v>1.5</v>
      </c>
      <c r="E5" s="760">
        <v>1.5</v>
      </c>
      <c r="F5" s="760">
        <v>1.5</v>
      </c>
      <c r="G5" s="761">
        <v>1.2</v>
      </c>
      <c r="H5" s="761">
        <v>1.2</v>
      </c>
      <c r="I5" s="761">
        <v>1</v>
      </c>
      <c r="J5" s="761">
        <v>1</v>
      </c>
      <c r="K5" s="761">
        <v>1</v>
      </c>
      <c r="L5" s="761">
        <v>1</v>
      </c>
      <c r="M5" s="762">
        <v>1</v>
      </c>
    </row>
    <row r="6" spans="1:13" ht="19.5" customHeight="1">
      <c r="A6" s="763" t="s">
        <v>547</v>
      </c>
      <c r="B6" s="764">
        <v>80</v>
      </c>
      <c r="C6" s="764">
        <v>80</v>
      </c>
      <c r="D6" s="764">
        <v>65</v>
      </c>
      <c r="E6" s="764">
        <v>65</v>
      </c>
      <c r="F6" s="764">
        <v>65</v>
      </c>
      <c r="G6" s="764">
        <v>65</v>
      </c>
      <c r="H6" s="764">
        <v>65</v>
      </c>
      <c r="I6" s="764">
        <v>50</v>
      </c>
      <c r="J6" s="764">
        <v>50</v>
      </c>
      <c r="K6" s="764">
        <v>50</v>
      </c>
      <c r="L6" s="764">
        <v>50</v>
      </c>
      <c r="M6" s="765">
        <v>50</v>
      </c>
    </row>
    <row r="7" spans="1:13" ht="19.5" customHeight="1">
      <c r="A7" s="711" t="s">
        <v>548</v>
      </c>
      <c r="B7" s="712">
        <v>70</v>
      </c>
      <c r="C7" s="712">
        <v>70</v>
      </c>
      <c r="D7" s="712">
        <v>55</v>
      </c>
      <c r="E7" s="712">
        <v>55</v>
      </c>
      <c r="F7" s="712">
        <v>55</v>
      </c>
      <c r="G7" s="712">
        <v>55</v>
      </c>
      <c r="H7" s="712">
        <v>55</v>
      </c>
      <c r="I7" s="712">
        <v>40</v>
      </c>
      <c r="J7" s="712">
        <v>40</v>
      </c>
      <c r="K7" s="712">
        <v>40</v>
      </c>
      <c r="L7" s="712">
        <v>40</v>
      </c>
      <c r="M7" s="766">
        <v>40</v>
      </c>
    </row>
    <row r="8" spans="1:13" ht="19.5" customHeight="1">
      <c r="A8" s="711" t="s">
        <v>549</v>
      </c>
      <c r="B8" s="712">
        <v>20</v>
      </c>
      <c r="C8" s="712">
        <v>20</v>
      </c>
      <c r="D8" s="712">
        <v>15</v>
      </c>
      <c r="E8" s="712">
        <v>15</v>
      </c>
      <c r="F8" s="712">
        <v>15</v>
      </c>
      <c r="G8" s="712">
        <v>15</v>
      </c>
      <c r="H8" s="712">
        <v>15</v>
      </c>
      <c r="I8" s="712">
        <v>10</v>
      </c>
      <c r="J8" s="712">
        <v>10</v>
      </c>
      <c r="K8" s="712">
        <v>10</v>
      </c>
      <c r="L8" s="712">
        <v>10</v>
      </c>
      <c r="M8" s="766">
        <v>10</v>
      </c>
    </row>
    <row r="9" spans="1:13" ht="19.5" customHeight="1">
      <c r="A9" s="711" t="s">
        <v>550</v>
      </c>
      <c r="B9" s="712">
        <v>30</v>
      </c>
      <c r="C9" s="712">
        <v>30</v>
      </c>
      <c r="D9" s="712">
        <v>25</v>
      </c>
      <c r="E9" s="712">
        <v>25</v>
      </c>
      <c r="F9" s="712">
        <v>25</v>
      </c>
      <c r="G9" s="712">
        <v>25</v>
      </c>
      <c r="H9" s="712">
        <v>25</v>
      </c>
      <c r="I9" s="712">
        <v>20</v>
      </c>
      <c r="J9" s="712">
        <v>20</v>
      </c>
      <c r="K9" s="712">
        <v>20</v>
      </c>
      <c r="L9" s="712">
        <v>20</v>
      </c>
      <c r="M9" s="766">
        <v>20</v>
      </c>
    </row>
    <row r="10" spans="1:13" ht="19.5" customHeight="1">
      <c r="A10" s="711" t="s">
        <v>551</v>
      </c>
      <c r="B10" s="712">
        <v>45</v>
      </c>
      <c r="C10" s="712">
        <v>45</v>
      </c>
      <c r="D10" s="712">
        <v>35</v>
      </c>
      <c r="E10" s="712">
        <v>35</v>
      </c>
      <c r="F10" s="712">
        <v>35</v>
      </c>
      <c r="G10" s="712">
        <v>35</v>
      </c>
      <c r="H10" s="712">
        <v>35</v>
      </c>
      <c r="I10" s="712">
        <v>25</v>
      </c>
      <c r="J10" s="712">
        <v>25</v>
      </c>
      <c r="K10" s="712">
        <v>25</v>
      </c>
      <c r="L10" s="712">
        <v>25</v>
      </c>
      <c r="M10" s="766">
        <v>25</v>
      </c>
    </row>
    <row r="11" spans="1:13" ht="19.5" customHeight="1">
      <c r="A11" s="711" t="s">
        <v>552</v>
      </c>
      <c r="B11" s="712">
        <v>60</v>
      </c>
      <c r="C11" s="712">
        <v>60</v>
      </c>
      <c r="D11" s="712">
        <v>50</v>
      </c>
      <c r="E11" s="712">
        <v>50</v>
      </c>
      <c r="F11" s="712">
        <v>50</v>
      </c>
      <c r="G11" s="712">
        <v>50</v>
      </c>
      <c r="H11" s="712">
        <v>50</v>
      </c>
      <c r="I11" s="712">
        <v>40</v>
      </c>
      <c r="J11" s="712">
        <v>40</v>
      </c>
      <c r="K11" s="712">
        <v>40</v>
      </c>
      <c r="L11" s="712">
        <v>40</v>
      </c>
      <c r="M11" s="766">
        <v>40</v>
      </c>
    </row>
    <row r="12" spans="1:13" ht="19.5" customHeight="1">
      <c r="A12" s="711" t="s">
        <v>553</v>
      </c>
      <c r="B12" s="712">
        <v>50</v>
      </c>
      <c r="C12" s="712">
        <v>50</v>
      </c>
      <c r="D12" s="712">
        <v>40</v>
      </c>
      <c r="E12" s="712">
        <v>40</v>
      </c>
      <c r="F12" s="712">
        <v>40</v>
      </c>
      <c r="G12" s="712">
        <v>40</v>
      </c>
      <c r="H12" s="712">
        <v>40</v>
      </c>
      <c r="I12" s="712">
        <v>30</v>
      </c>
      <c r="J12" s="712">
        <v>30</v>
      </c>
      <c r="K12" s="712">
        <v>30</v>
      </c>
      <c r="L12" s="712">
        <v>30</v>
      </c>
      <c r="M12" s="766">
        <v>30</v>
      </c>
    </row>
    <row r="13" spans="1:13" ht="19.5" customHeight="1">
      <c r="A13" s="767" t="s">
        <v>554</v>
      </c>
      <c r="B13" s="717">
        <v>20</v>
      </c>
      <c r="C13" s="717">
        <v>20</v>
      </c>
      <c r="D13" s="717">
        <v>15</v>
      </c>
      <c r="E13" s="717">
        <v>15</v>
      </c>
      <c r="F13" s="717">
        <v>15</v>
      </c>
      <c r="G13" s="717">
        <v>15</v>
      </c>
      <c r="H13" s="717">
        <v>15</v>
      </c>
      <c r="I13" s="717">
        <v>10</v>
      </c>
      <c r="J13" s="717">
        <v>10</v>
      </c>
      <c r="K13" s="717">
        <v>10</v>
      </c>
      <c r="L13" s="717">
        <v>10</v>
      </c>
      <c r="M13" s="768">
        <v>10</v>
      </c>
    </row>
    <row r="14" spans="1:13" ht="19.5" customHeight="1">
      <c r="A14" s="712" t="s">
        <v>555</v>
      </c>
      <c r="B14" s="769">
        <v>0</v>
      </c>
      <c r="C14" s="769">
        <v>0</v>
      </c>
      <c r="D14" s="769">
        <v>0</v>
      </c>
      <c r="E14" s="769">
        <v>0</v>
      </c>
      <c r="F14" s="769">
        <v>0</v>
      </c>
      <c r="G14" s="769">
        <v>0</v>
      </c>
      <c r="H14" s="769">
        <v>0</v>
      </c>
      <c r="I14" s="769">
        <v>0</v>
      </c>
      <c r="J14" s="769">
        <v>0</v>
      </c>
      <c r="K14" s="769">
        <v>0</v>
      </c>
      <c r="L14" s="769">
        <v>0</v>
      </c>
      <c r="M14" s="769">
        <v>0</v>
      </c>
    </row>
    <row r="15" spans="1:13" ht="19.5" customHeight="1">
      <c r="A15" s="712" t="s">
        <v>2792</v>
      </c>
      <c r="B15" s="769">
        <f>SUM(B6:B13)</f>
        <v>375</v>
      </c>
      <c r="C15" s="769">
        <f t="shared" ref="C15:H15" si="0">SUM(C6:C13)</f>
        <v>375</v>
      </c>
      <c r="D15" s="769">
        <f t="shared" si="0"/>
        <v>300</v>
      </c>
      <c r="E15" s="769">
        <f t="shared" si="0"/>
        <v>300</v>
      </c>
      <c r="F15" s="769">
        <f t="shared" si="0"/>
        <v>300</v>
      </c>
      <c r="G15" s="769">
        <f t="shared" si="0"/>
        <v>300</v>
      </c>
      <c r="H15" s="769">
        <f t="shared" si="0"/>
        <v>300</v>
      </c>
      <c r="I15" s="769">
        <f>SUM(I6:I10,I13)</f>
        <v>155</v>
      </c>
      <c r="J15" s="769">
        <f t="shared" ref="J15:M15" si="1">SUM(J6:J10,J13)</f>
        <v>155</v>
      </c>
      <c r="K15" s="769">
        <f t="shared" si="1"/>
        <v>155</v>
      </c>
      <c r="L15" s="769">
        <f t="shared" si="1"/>
        <v>155</v>
      </c>
      <c r="M15" s="769">
        <f t="shared" si="1"/>
        <v>155</v>
      </c>
    </row>
    <row r="16" spans="1:13" ht="19.5" customHeight="1">
      <c r="A16" s="770" t="s">
        <v>556</v>
      </c>
      <c r="B16" s="770"/>
      <c r="C16" s="771"/>
      <c r="D16" s="771"/>
      <c r="E16" s="770"/>
      <c r="F16" s="771"/>
      <c r="G16" s="771"/>
    </row>
    <row r="17" spans="1:7" ht="19.5" customHeight="1">
      <c r="A17" s="712" t="s">
        <v>557</v>
      </c>
      <c r="B17" s="773" t="s">
        <v>558</v>
      </c>
      <c r="C17" s="773" t="s">
        <v>758</v>
      </c>
      <c r="D17" s="774"/>
      <c r="E17" s="712" t="s">
        <v>559</v>
      </c>
      <c r="F17" s="775"/>
      <c r="G17" s="775"/>
    </row>
    <row r="18" spans="1:7" ht="19.5" customHeight="1">
      <c r="A18" s="3466" t="s">
        <v>183</v>
      </c>
      <c r="B18" s="776" t="s">
        <v>560</v>
      </c>
      <c r="C18" s="777" t="s">
        <v>561</v>
      </c>
      <c r="D18" s="778"/>
      <c r="E18" s="776">
        <v>1</v>
      </c>
      <c r="F18" s="779" t="s">
        <v>562</v>
      </c>
      <c r="G18" s="780"/>
    </row>
    <row r="19" spans="1:7" ht="19.5" customHeight="1">
      <c r="A19" s="3466"/>
      <c r="B19" s="3466" t="s">
        <v>563</v>
      </c>
      <c r="C19" s="777" t="s">
        <v>564</v>
      </c>
      <c r="D19" s="778"/>
      <c r="E19" s="776">
        <v>0.9</v>
      </c>
      <c r="F19" s="779" t="s">
        <v>565</v>
      </c>
      <c r="G19" s="780"/>
    </row>
    <row r="20" spans="1:7" ht="19.5" customHeight="1">
      <c r="A20" s="3466"/>
      <c r="B20" s="3466"/>
      <c r="C20" s="777" t="s">
        <v>566</v>
      </c>
      <c r="D20" s="778"/>
      <c r="E20" s="776">
        <v>1.1000000000000001</v>
      </c>
      <c r="F20" s="779" t="s">
        <v>567</v>
      </c>
      <c r="G20" s="780"/>
    </row>
    <row r="21" spans="1:7" ht="19.5" customHeight="1">
      <c r="A21" s="3466"/>
      <c r="B21" s="3466"/>
      <c r="C21" s="777" t="s">
        <v>568</v>
      </c>
      <c r="D21" s="778"/>
      <c r="E21" s="776">
        <v>0.8</v>
      </c>
      <c r="F21" s="779" t="s">
        <v>569</v>
      </c>
      <c r="G21" s="780"/>
    </row>
    <row r="22" spans="1:7" ht="19.5" customHeight="1">
      <c r="A22" s="3466"/>
      <c r="B22" s="3466"/>
      <c r="C22" s="777" t="s">
        <v>570</v>
      </c>
      <c r="D22" s="778"/>
      <c r="E22" s="776">
        <v>0.5</v>
      </c>
      <c r="F22" s="779"/>
      <c r="G22" s="780"/>
    </row>
    <row r="23" spans="1:7" ht="19.5" customHeight="1">
      <c r="A23" s="3466" t="s">
        <v>184</v>
      </c>
      <c r="B23" s="776" t="s">
        <v>560</v>
      </c>
      <c r="C23" s="777" t="s">
        <v>571</v>
      </c>
      <c r="D23" s="778"/>
      <c r="E23" s="776">
        <v>1</v>
      </c>
      <c r="F23" s="779" t="s">
        <v>572</v>
      </c>
      <c r="G23" s="780"/>
    </row>
    <row r="24" spans="1:7" ht="19.5" customHeight="1">
      <c r="A24" s="3466"/>
      <c r="B24" s="3466" t="s">
        <v>563</v>
      </c>
      <c r="C24" s="777" t="s">
        <v>573</v>
      </c>
      <c r="D24" s="778"/>
      <c r="E24" s="776">
        <v>0.5</v>
      </c>
      <c r="F24" s="779"/>
      <c r="G24" s="780"/>
    </row>
    <row r="25" spans="1:7" ht="19.5" customHeight="1">
      <c r="A25" s="3466"/>
      <c r="B25" s="3466"/>
      <c r="C25" s="777" t="s">
        <v>574</v>
      </c>
      <c r="D25" s="778"/>
      <c r="E25" s="776">
        <v>1.1000000000000001</v>
      </c>
      <c r="F25" s="779"/>
      <c r="G25" s="780"/>
    </row>
    <row r="26" spans="1:7" ht="19.5" customHeight="1">
      <c r="A26" s="3466"/>
      <c r="B26" s="3466"/>
      <c r="C26" s="777" t="s">
        <v>575</v>
      </c>
      <c r="D26" s="778"/>
      <c r="E26" s="776">
        <v>1.1000000000000001</v>
      </c>
      <c r="F26" s="779"/>
      <c r="G26" s="780"/>
    </row>
    <row r="27" spans="1:7" ht="19.5" customHeight="1">
      <c r="A27" s="3466"/>
      <c r="B27" s="3466"/>
      <c r="C27" s="777" t="s">
        <v>576</v>
      </c>
      <c r="D27" s="778"/>
      <c r="E27" s="776">
        <v>0.9</v>
      </c>
      <c r="F27" s="779" t="s">
        <v>577</v>
      </c>
      <c r="G27" s="780"/>
    </row>
    <row r="28" spans="1:7" ht="19.5" customHeight="1">
      <c r="A28" s="3466"/>
      <c r="B28" s="3466"/>
      <c r="C28" s="777" t="s">
        <v>578</v>
      </c>
      <c r="D28" s="778"/>
      <c r="E28" s="776">
        <v>0.9</v>
      </c>
      <c r="F28" s="779" t="s">
        <v>579</v>
      </c>
      <c r="G28" s="780"/>
    </row>
    <row r="29" spans="1:7" ht="19.5" customHeight="1">
      <c r="A29" s="3466"/>
      <c r="B29" s="3466"/>
      <c r="C29" s="777" t="s">
        <v>580</v>
      </c>
      <c r="D29" s="778"/>
      <c r="E29" s="776">
        <v>0.9</v>
      </c>
      <c r="F29" s="779" t="s">
        <v>581</v>
      </c>
      <c r="G29" s="780"/>
    </row>
    <row r="30" spans="1:7" ht="19.5" customHeight="1">
      <c r="A30" s="3466"/>
      <c r="B30" s="3466"/>
      <c r="C30" s="777" t="s">
        <v>582</v>
      </c>
      <c r="D30" s="778"/>
      <c r="E30" s="776">
        <v>0.9</v>
      </c>
      <c r="F30" s="779" t="s">
        <v>583</v>
      </c>
      <c r="G30" s="780"/>
    </row>
    <row r="31" spans="1:7" ht="19.5" customHeight="1">
      <c r="A31" s="3466"/>
      <c r="B31" s="3466"/>
      <c r="C31" s="777" t="s">
        <v>584</v>
      </c>
      <c r="D31" s="778"/>
      <c r="E31" s="776">
        <v>0.8</v>
      </c>
      <c r="F31" s="779" t="s">
        <v>585</v>
      </c>
      <c r="G31" s="780"/>
    </row>
    <row r="32" spans="1:7" ht="19.5" customHeight="1">
      <c r="A32" s="3466"/>
      <c r="B32" s="3466"/>
      <c r="C32" s="777" t="s">
        <v>586</v>
      </c>
      <c r="D32" s="778"/>
      <c r="E32" s="776">
        <v>0.8</v>
      </c>
      <c r="F32" s="779" t="s">
        <v>587</v>
      </c>
      <c r="G32" s="780"/>
    </row>
    <row r="33" spans="1:8" ht="19.5" customHeight="1">
      <c r="A33" s="3466" t="s">
        <v>185</v>
      </c>
      <c r="B33" s="776" t="s">
        <v>560</v>
      </c>
      <c r="C33" s="777" t="s">
        <v>588</v>
      </c>
      <c r="D33" s="778"/>
      <c r="E33" s="776">
        <v>1</v>
      </c>
      <c r="F33" s="779" t="s">
        <v>589</v>
      </c>
      <c r="G33" s="780"/>
    </row>
    <row r="34" spans="1:8" ht="19.5" customHeight="1">
      <c r="A34" s="3466"/>
      <c r="B34" s="776" t="s">
        <v>563</v>
      </c>
      <c r="C34" s="777" t="s">
        <v>590</v>
      </c>
      <c r="D34" s="778"/>
      <c r="E34" s="776">
        <v>1.5</v>
      </c>
      <c r="F34" s="779" t="s">
        <v>591</v>
      </c>
      <c r="G34" s="780"/>
    </row>
    <row r="35" spans="1:8" ht="19.5" customHeight="1">
      <c r="A35" s="3466" t="s">
        <v>186</v>
      </c>
      <c r="B35" s="776" t="s">
        <v>560</v>
      </c>
      <c r="C35" s="777" t="s">
        <v>592</v>
      </c>
      <c r="D35" s="778"/>
      <c r="E35" s="776">
        <v>1</v>
      </c>
      <c r="F35" s="779" t="s">
        <v>593</v>
      </c>
      <c r="G35" s="780"/>
    </row>
    <row r="36" spans="1:8" ht="19.5" customHeight="1">
      <c r="A36" s="3466"/>
      <c r="B36" s="3466" t="s">
        <v>563</v>
      </c>
      <c r="C36" s="777" t="s">
        <v>594</v>
      </c>
      <c r="D36" s="778"/>
      <c r="E36" s="776">
        <v>1</v>
      </c>
      <c r="F36" s="779" t="s">
        <v>595</v>
      </c>
      <c r="G36" s="780"/>
    </row>
    <row r="37" spans="1:8" ht="19.5" customHeight="1">
      <c r="A37" s="3466"/>
      <c r="B37" s="3466"/>
      <c r="C37" s="777" t="s">
        <v>596</v>
      </c>
      <c r="D37" s="778"/>
      <c r="E37" s="776">
        <v>1.5</v>
      </c>
      <c r="F37" s="779" t="s">
        <v>597</v>
      </c>
      <c r="G37" s="780"/>
    </row>
    <row r="38" spans="1:8" ht="19.5" customHeight="1">
      <c r="A38" s="3466"/>
      <c r="B38" s="3466"/>
      <c r="C38" s="777" t="s">
        <v>598</v>
      </c>
      <c r="D38" s="778"/>
      <c r="E38" s="776">
        <v>1</v>
      </c>
      <c r="F38" s="779" t="s">
        <v>599</v>
      </c>
      <c r="G38" s="780"/>
    </row>
    <row r="39" spans="1:8" ht="19.5" customHeight="1">
      <c r="A39" s="3466"/>
      <c r="B39" s="3466"/>
      <c r="C39" s="777" t="s">
        <v>600</v>
      </c>
      <c r="D39" s="778"/>
      <c r="E39" s="776">
        <v>1</v>
      </c>
      <c r="F39" s="779" t="s">
        <v>601</v>
      </c>
      <c r="G39" s="780"/>
    </row>
    <row r="40" spans="1:8" ht="19.5" customHeight="1">
      <c r="A40" s="781" t="s">
        <v>602</v>
      </c>
      <c r="B40" s="781"/>
      <c r="C40" s="781"/>
      <c r="D40" s="781"/>
      <c r="E40" s="781"/>
      <c r="F40" s="782"/>
      <c r="G40" s="782"/>
    </row>
    <row r="42" spans="1:8" ht="19.5" customHeight="1">
      <c r="A42" s="783"/>
      <c r="B42" s="712" t="s">
        <v>603</v>
      </c>
      <c r="C42" s="712" t="s">
        <v>603</v>
      </c>
      <c r="D42" s="712" t="s">
        <v>603</v>
      </c>
      <c r="E42" s="717" t="s">
        <v>603</v>
      </c>
      <c r="F42" s="717" t="s">
        <v>603</v>
      </c>
      <c r="G42" s="717" t="s">
        <v>604</v>
      </c>
      <c r="H42" s="717" t="s">
        <v>603</v>
      </c>
    </row>
    <row r="43" spans="1:8" ht="19.5" customHeight="1">
      <c r="A43" s="784"/>
      <c r="B43" s="717" t="s">
        <v>183</v>
      </c>
      <c r="C43" s="717" t="s">
        <v>183</v>
      </c>
      <c r="D43" s="717" t="s">
        <v>183</v>
      </c>
      <c r="E43" s="717" t="s">
        <v>183</v>
      </c>
      <c r="F43" s="712" t="s">
        <v>184</v>
      </c>
      <c r="G43" s="712" t="s">
        <v>186</v>
      </c>
      <c r="H43" s="712" t="s">
        <v>605</v>
      </c>
    </row>
    <row r="44" spans="1:8" ht="19.5" customHeight="1">
      <c r="A44" s="785"/>
      <c r="B44" s="712">
        <v>1</v>
      </c>
      <c r="C44" s="712">
        <v>2</v>
      </c>
      <c r="D44" s="712">
        <v>3</v>
      </c>
      <c r="E44" s="717">
        <v>4</v>
      </c>
      <c r="F44" s="774" t="s">
        <v>606</v>
      </c>
      <c r="G44" s="774" t="s">
        <v>606</v>
      </c>
      <c r="H44" s="774" t="s">
        <v>606</v>
      </c>
    </row>
    <row r="45" spans="1:8" ht="19.5" customHeight="1">
      <c r="A45" s="786" t="s">
        <v>157</v>
      </c>
      <c r="B45" s="712">
        <v>0.8</v>
      </c>
      <c r="C45" s="712">
        <v>0.5</v>
      </c>
      <c r="D45" s="712">
        <v>0.36</v>
      </c>
      <c r="E45" s="712">
        <v>0.3</v>
      </c>
      <c r="F45" s="774">
        <v>0.3</v>
      </c>
      <c r="G45" s="712">
        <v>0.3</v>
      </c>
      <c r="H45" s="712">
        <v>0.25</v>
      </c>
    </row>
    <row r="46" spans="1:8" ht="19.5" customHeight="1">
      <c r="A46" s="786" t="s">
        <v>158</v>
      </c>
      <c r="B46" s="712">
        <v>0.8</v>
      </c>
      <c r="C46" s="712">
        <v>0.5</v>
      </c>
      <c r="D46" s="712">
        <v>0.36</v>
      </c>
      <c r="E46" s="712">
        <v>0.3</v>
      </c>
      <c r="F46" s="712">
        <v>0.3</v>
      </c>
      <c r="G46" s="712">
        <v>0.3</v>
      </c>
      <c r="H46" s="712">
        <v>0.25</v>
      </c>
    </row>
    <row r="47" spans="1:8" ht="19.5" customHeight="1">
      <c r="A47" s="786" t="s">
        <v>159</v>
      </c>
      <c r="B47" s="712">
        <v>0.7</v>
      </c>
      <c r="C47" s="712">
        <v>0.4</v>
      </c>
      <c r="D47" s="712">
        <v>0.28000000000000003</v>
      </c>
      <c r="E47" s="712">
        <v>0.25</v>
      </c>
      <c r="F47" s="712">
        <v>0.25</v>
      </c>
      <c r="G47" s="712">
        <v>0.25</v>
      </c>
      <c r="H47" s="712">
        <v>0.2</v>
      </c>
    </row>
    <row r="48" spans="1:8" ht="19.5" customHeight="1">
      <c r="A48" s="786" t="s">
        <v>160</v>
      </c>
      <c r="B48" s="712">
        <v>0.7</v>
      </c>
      <c r="C48" s="712">
        <v>0.4</v>
      </c>
      <c r="D48" s="712">
        <v>0.28000000000000003</v>
      </c>
      <c r="E48" s="712">
        <v>0.25</v>
      </c>
      <c r="F48" s="712">
        <v>0.25</v>
      </c>
      <c r="G48" s="712">
        <v>0.25</v>
      </c>
      <c r="H48" s="712">
        <v>0.2</v>
      </c>
    </row>
    <row r="49" spans="1:8" s="772" customFormat="1" ht="19.5" customHeight="1">
      <c r="A49" s="786" t="s">
        <v>161</v>
      </c>
      <c r="B49" s="712">
        <v>0.7</v>
      </c>
      <c r="C49" s="712">
        <v>0.4</v>
      </c>
      <c r="D49" s="712">
        <v>0.28000000000000003</v>
      </c>
      <c r="E49" s="712">
        <v>0.25</v>
      </c>
      <c r="F49" s="712">
        <v>0.25</v>
      </c>
      <c r="G49" s="712">
        <v>0.25</v>
      </c>
      <c r="H49" s="712">
        <v>0.2</v>
      </c>
    </row>
    <row r="50" spans="1:8" s="772" customFormat="1" ht="19.5" customHeight="1">
      <c r="A50" s="786" t="s">
        <v>162</v>
      </c>
      <c r="B50" s="712">
        <v>0.7</v>
      </c>
      <c r="C50" s="712">
        <v>0.4</v>
      </c>
      <c r="D50" s="712">
        <v>0.28000000000000003</v>
      </c>
      <c r="E50" s="712">
        <v>0.25</v>
      </c>
      <c r="F50" s="712">
        <v>0.25</v>
      </c>
      <c r="G50" s="712">
        <v>0.25</v>
      </c>
      <c r="H50" s="712">
        <v>0.2</v>
      </c>
    </row>
    <row r="51" spans="1:8" s="772" customFormat="1" ht="19.5" customHeight="1">
      <c r="A51" s="786" t="s">
        <v>163</v>
      </c>
      <c r="B51" s="712">
        <v>0.7</v>
      </c>
      <c r="C51" s="712">
        <v>0.4</v>
      </c>
      <c r="D51" s="712">
        <v>0.28000000000000003</v>
      </c>
      <c r="E51" s="712">
        <v>0.25</v>
      </c>
      <c r="F51" s="712">
        <v>0.25</v>
      </c>
      <c r="G51" s="712">
        <v>0.25</v>
      </c>
      <c r="H51" s="712">
        <v>0.2</v>
      </c>
    </row>
    <row r="52" spans="1:8" s="772" customFormat="1" ht="19.5" customHeight="1">
      <c r="A52" s="786" t="s">
        <v>164</v>
      </c>
      <c r="B52" s="712">
        <v>0.6</v>
      </c>
      <c r="C52" s="712">
        <v>0.3</v>
      </c>
      <c r="D52" s="712">
        <v>0.2</v>
      </c>
      <c r="E52" s="712">
        <v>0.2</v>
      </c>
      <c r="F52" s="712">
        <v>0.2</v>
      </c>
      <c r="G52" s="712">
        <v>0.2</v>
      </c>
      <c r="H52" s="712">
        <v>0.15</v>
      </c>
    </row>
    <row r="53" spans="1:8" s="772" customFormat="1" ht="19.5" customHeight="1">
      <c r="A53" s="786" t="s">
        <v>165</v>
      </c>
      <c r="B53" s="712">
        <v>0.6</v>
      </c>
      <c r="C53" s="712">
        <v>0.3</v>
      </c>
      <c r="D53" s="712">
        <v>0.2</v>
      </c>
      <c r="E53" s="712">
        <v>0.2</v>
      </c>
      <c r="F53" s="712">
        <v>0.2</v>
      </c>
      <c r="G53" s="712">
        <v>0.2</v>
      </c>
      <c r="H53" s="712">
        <v>0.15</v>
      </c>
    </row>
    <row r="54" spans="1:8" s="772" customFormat="1" ht="19.5" customHeight="1">
      <c r="A54" s="786" t="s">
        <v>166</v>
      </c>
      <c r="B54" s="712">
        <v>0.6</v>
      </c>
      <c r="C54" s="712">
        <v>0.3</v>
      </c>
      <c r="D54" s="712">
        <v>0.2</v>
      </c>
      <c r="E54" s="712">
        <v>0.2</v>
      </c>
      <c r="F54" s="712">
        <v>0.2</v>
      </c>
      <c r="G54" s="712">
        <v>0.2</v>
      </c>
      <c r="H54" s="712">
        <v>0.15</v>
      </c>
    </row>
    <row r="55" spans="1:8" s="772" customFormat="1" ht="19.5" customHeight="1">
      <c r="A55" s="786" t="s">
        <v>167</v>
      </c>
      <c r="B55" s="712">
        <v>0.6</v>
      </c>
      <c r="C55" s="712">
        <v>0.3</v>
      </c>
      <c r="D55" s="712">
        <v>0.2</v>
      </c>
      <c r="E55" s="712">
        <v>0.2</v>
      </c>
      <c r="F55" s="712">
        <v>0.2</v>
      </c>
      <c r="G55" s="712">
        <v>0.2</v>
      </c>
      <c r="H55" s="712">
        <v>0.15</v>
      </c>
    </row>
    <row r="56" spans="1:8" s="772" customFormat="1" ht="19.5" customHeight="1">
      <c r="A56" s="786" t="s">
        <v>168</v>
      </c>
      <c r="B56" s="712">
        <v>0.6</v>
      </c>
      <c r="C56" s="712">
        <v>0.3</v>
      </c>
      <c r="D56" s="712">
        <v>0.2</v>
      </c>
      <c r="E56" s="712">
        <v>0.2</v>
      </c>
      <c r="F56" s="712">
        <v>0.2</v>
      </c>
      <c r="G56" s="712">
        <v>0.2</v>
      </c>
      <c r="H56" s="712">
        <v>0.15</v>
      </c>
    </row>
    <row r="58" spans="1:8" s="772" customFormat="1" ht="19.5" customHeight="1">
      <c r="A58" s="780"/>
      <c r="B58" s="770"/>
      <c r="C58" s="770"/>
      <c r="D58" s="770" t="s">
        <v>607</v>
      </c>
      <c r="E58" s="770"/>
      <c r="F58" s="770"/>
    </row>
    <row r="59" spans="1:8" s="772" customFormat="1" ht="19.5" customHeight="1">
      <c r="A59" s="776" t="s">
        <v>608</v>
      </c>
      <c r="B59" s="776" t="s">
        <v>609</v>
      </c>
      <c r="C59" s="776" t="s">
        <v>610</v>
      </c>
      <c r="D59" s="776" t="s">
        <v>611</v>
      </c>
      <c r="E59" s="776" t="s">
        <v>612</v>
      </c>
      <c r="F59" s="776" t="s">
        <v>613</v>
      </c>
    </row>
    <row r="60" spans="1:8" ht="13.5">
      <c r="A60" s="776"/>
      <c r="B60" s="776"/>
      <c r="C60" s="776" t="s">
        <v>745</v>
      </c>
      <c r="D60" s="776"/>
      <c r="E60" s="787" t="s">
        <v>1</v>
      </c>
      <c r="F60" s="776" t="s">
        <v>1</v>
      </c>
    </row>
    <row r="61" spans="1:8" s="772" customFormat="1" ht="24">
      <c r="A61" s="776">
        <v>1</v>
      </c>
      <c r="B61" s="3466" t="s">
        <v>614</v>
      </c>
      <c r="C61" s="712" t="s">
        <v>615</v>
      </c>
      <c r="D61" s="712" t="s">
        <v>616</v>
      </c>
      <c r="E61" s="787">
        <v>0.5</v>
      </c>
      <c r="F61" s="776">
        <v>80</v>
      </c>
    </row>
    <row r="62" spans="1:8" s="772" customFormat="1" ht="24">
      <c r="A62" s="776">
        <v>2</v>
      </c>
      <c r="B62" s="3466"/>
      <c r="C62" s="712" t="s">
        <v>617</v>
      </c>
      <c r="D62" s="712" t="s">
        <v>618</v>
      </c>
      <c r="E62" s="787">
        <v>0.5</v>
      </c>
      <c r="F62" s="776">
        <v>80</v>
      </c>
    </row>
    <row r="63" spans="1:8" s="772" customFormat="1" ht="36">
      <c r="A63" s="776">
        <v>3</v>
      </c>
      <c r="B63" s="3466"/>
      <c r="C63" s="712" t="s">
        <v>619</v>
      </c>
      <c r="D63" s="712" t="s">
        <v>620</v>
      </c>
      <c r="E63" s="787">
        <v>0.5</v>
      </c>
      <c r="F63" s="776">
        <v>80</v>
      </c>
    </row>
    <row r="64" spans="1:8" s="772" customFormat="1" ht="36">
      <c r="A64" s="776">
        <v>4</v>
      </c>
      <c r="B64" s="3466"/>
      <c r="C64" s="712" t="s">
        <v>621</v>
      </c>
      <c r="D64" s="712" t="s">
        <v>622</v>
      </c>
      <c r="E64" s="787">
        <v>0.4</v>
      </c>
      <c r="F64" s="776">
        <v>60</v>
      </c>
    </row>
    <row r="65" spans="1:6" s="772" customFormat="1" ht="36">
      <c r="A65" s="776">
        <v>5</v>
      </c>
      <c r="B65" s="3466"/>
      <c r="C65" s="712" t="s">
        <v>623</v>
      </c>
      <c r="D65" s="712" t="s">
        <v>624</v>
      </c>
      <c r="E65" s="787">
        <v>0.2</v>
      </c>
      <c r="F65" s="776">
        <v>30</v>
      </c>
    </row>
    <row r="66" spans="1:6" s="772" customFormat="1" ht="36">
      <c r="A66" s="776">
        <v>6</v>
      </c>
      <c r="B66" s="3466"/>
      <c r="C66" s="712" t="s">
        <v>625</v>
      </c>
      <c r="D66" s="712" t="s">
        <v>626</v>
      </c>
      <c r="E66" s="787">
        <v>0.3</v>
      </c>
      <c r="F66" s="776">
        <v>50</v>
      </c>
    </row>
    <row r="67" spans="1:6" s="772" customFormat="1" ht="36">
      <c r="A67" s="776">
        <v>7</v>
      </c>
      <c r="B67" s="3466"/>
      <c r="C67" s="712" t="s">
        <v>627</v>
      </c>
      <c r="D67" s="712" t="s">
        <v>628</v>
      </c>
      <c r="E67" s="787">
        <v>0.2</v>
      </c>
      <c r="F67" s="776">
        <v>30</v>
      </c>
    </row>
    <row r="68" spans="1:6" s="772" customFormat="1" ht="36">
      <c r="A68" s="776">
        <v>8</v>
      </c>
      <c r="B68" s="3466"/>
      <c r="C68" s="712" t="s">
        <v>629</v>
      </c>
      <c r="D68" s="712" t="s">
        <v>630</v>
      </c>
      <c r="E68" s="787">
        <v>0.2</v>
      </c>
      <c r="F68" s="776">
        <v>30</v>
      </c>
    </row>
    <row r="69" spans="1:6" s="772" customFormat="1" ht="36">
      <c r="A69" s="776">
        <v>9</v>
      </c>
      <c r="B69" s="3466"/>
      <c r="C69" s="712" t="s">
        <v>631</v>
      </c>
      <c r="D69" s="712" t="s">
        <v>632</v>
      </c>
      <c r="E69" s="787">
        <v>0.2</v>
      </c>
      <c r="F69" s="776">
        <v>30</v>
      </c>
    </row>
    <row r="70" spans="1:6" s="772" customFormat="1" ht="48">
      <c r="A70" s="776">
        <v>10</v>
      </c>
      <c r="B70" s="3466"/>
      <c r="C70" s="712" t="s">
        <v>633</v>
      </c>
      <c r="D70" s="712" t="s">
        <v>634</v>
      </c>
      <c r="E70" s="787">
        <v>0.2</v>
      </c>
      <c r="F70" s="776">
        <v>30</v>
      </c>
    </row>
    <row r="71" spans="1:6" s="772" customFormat="1" ht="48">
      <c r="A71" s="776">
        <v>11</v>
      </c>
      <c r="B71" s="3466"/>
      <c r="C71" s="712" t="s">
        <v>635</v>
      </c>
      <c r="D71" s="712" t="s">
        <v>636</v>
      </c>
      <c r="E71" s="787">
        <v>0.2</v>
      </c>
      <c r="F71" s="776">
        <v>30</v>
      </c>
    </row>
    <row r="72" spans="1:6" s="772" customFormat="1" ht="36">
      <c r="A72" s="776">
        <v>12</v>
      </c>
      <c r="B72" s="3466"/>
      <c r="C72" s="712" t="s">
        <v>637</v>
      </c>
      <c r="D72" s="712" t="s">
        <v>638</v>
      </c>
      <c r="E72" s="787">
        <v>0.5</v>
      </c>
      <c r="F72" s="776">
        <v>80</v>
      </c>
    </row>
    <row r="73" spans="1:6" s="772" customFormat="1" ht="24">
      <c r="A73" s="776">
        <v>13</v>
      </c>
      <c r="B73" s="3466"/>
      <c r="C73" s="712" t="s">
        <v>639</v>
      </c>
      <c r="D73" s="712" t="s">
        <v>640</v>
      </c>
      <c r="E73" s="787">
        <v>0.4</v>
      </c>
      <c r="F73" s="776">
        <v>60</v>
      </c>
    </row>
    <row r="74" spans="1:6" s="772" customFormat="1" ht="24">
      <c r="A74" s="776">
        <v>14</v>
      </c>
      <c r="B74" s="3466"/>
      <c r="C74" s="712" t="s">
        <v>641</v>
      </c>
      <c r="D74" s="712" t="s">
        <v>642</v>
      </c>
      <c r="E74" s="787">
        <v>0.2</v>
      </c>
      <c r="F74" s="776">
        <v>30</v>
      </c>
    </row>
    <row r="75" spans="1:6" s="772" customFormat="1" ht="24">
      <c r="A75" s="776">
        <v>15</v>
      </c>
      <c r="B75" s="3466"/>
      <c r="C75" s="712" t="s">
        <v>643</v>
      </c>
      <c r="D75" s="712" t="s">
        <v>644</v>
      </c>
      <c r="E75" s="787">
        <v>0.2</v>
      </c>
      <c r="F75" s="776">
        <v>30</v>
      </c>
    </row>
    <row r="76" spans="1:6" s="772" customFormat="1" ht="24">
      <c r="A76" s="776">
        <v>16</v>
      </c>
      <c r="B76" s="3466" t="s">
        <v>645</v>
      </c>
      <c r="C76" s="712" t="s">
        <v>646</v>
      </c>
      <c r="D76" s="712" t="s">
        <v>647</v>
      </c>
      <c r="E76" s="787">
        <v>0.5</v>
      </c>
      <c r="F76" s="776">
        <v>80</v>
      </c>
    </row>
    <row r="77" spans="1:6" s="772" customFormat="1" ht="24">
      <c r="A77" s="776">
        <v>17</v>
      </c>
      <c r="B77" s="3466"/>
      <c r="C77" s="712" t="s">
        <v>648</v>
      </c>
      <c r="D77" s="712" t="s">
        <v>649</v>
      </c>
      <c r="E77" s="787">
        <v>0.5</v>
      </c>
      <c r="F77" s="776">
        <v>80</v>
      </c>
    </row>
    <row r="78" spans="1:6" s="772" customFormat="1" ht="24">
      <c r="A78" s="776">
        <v>18</v>
      </c>
      <c r="B78" s="3466"/>
      <c r="C78" s="712" t="s">
        <v>650</v>
      </c>
      <c r="D78" s="712" t="s">
        <v>651</v>
      </c>
      <c r="E78" s="787">
        <v>0.2</v>
      </c>
      <c r="F78" s="776">
        <v>30</v>
      </c>
    </row>
    <row r="79" spans="1:6" s="772" customFormat="1" ht="24">
      <c r="A79" s="776">
        <v>19</v>
      </c>
      <c r="B79" s="3466"/>
      <c r="C79" s="712" t="s">
        <v>652</v>
      </c>
      <c r="D79" s="712" t="s">
        <v>653</v>
      </c>
      <c r="E79" s="787">
        <v>0.5</v>
      </c>
      <c r="F79" s="776">
        <v>80</v>
      </c>
    </row>
    <row r="80" spans="1:6" s="772" customFormat="1" ht="36">
      <c r="A80" s="776">
        <v>20</v>
      </c>
      <c r="B80" s="3466"/>
      <c r="C80" s="712" t="s">
        <v>654</v>
      </c>
      <c r="D80" s="712" t="s">
        <v>655</v>
      </c>
      <c r="E80" s="787">
        <v>0.2</v>
      </c>
      <c r="F80" s="776">
        <v>30</v>
      </c>
    </row>
    <row r="81" spans="1:6" s="772" customFormat="1" ht="36">
      <c r="A81" s="776">
        <v>21</v>
      </c>
      <c r="B81" s="3466"/>
      <c r="C81" s="712" t="s">
        <v>656</v>
      </c>
      <c r="D81" s="712" t="s">
        <v>657</v>
      </c>
      <c r="E81" s="787">
        <v>0.2</v>
      </c>
      <c r="F81" s="776">
        <v>30</v>
      </c>
    </row>
    <row r="82" spans="1:6" s="772" customFormat="1" ht="48">
      <c r="A82" s="776">
        <v>22</v>
      </c>
      <c r="B82" s="3466"/>
      <c r="C82" s="712" t="s">
        <v>658</v>
      </c>
      <c r="D82" s="712" t="s">
        <v>659</v>
      </c>
      <c r="E82" s="787">
        <v>0.2</v>
      </c>
      <c r="F82" s="776">
        <v>30</v>
      </c>
    </row>
    <row r="83" spans="1:6" s="772" customFormat="1" ht="48">
      <c r="A83" s="776">
        <v>23</v>
      </c>
      <c r="B83" s="3466"/>
      <c r="C83" s="712" t="s">
        <v>660</v>
      </c>
      <c r="D83" s="712" t="s">
        <v>661</v>
      </c>
      <c r="E83" s="787">
        <v>0.2</v>
      </c>
      <c r="F83" s="776">
        <v>30</v>
      </c>
    </row>
    <row r="84" spans="1:6" s="772" customFormat="1" ht="36">
      <c r="A84" s="776">
        <v>24</v>
      </c>
      <c r="B84" s="3466"/>
      <c r="C84" s="712" t="s">
        <v>662</v>
      </c>
      <c r="D84" s="712" t="s">
        <v>663</v>
      </c>
      <c r="E84" s="787">
        <v>0.2</v>
      </c>
      <c r="F84" s="776">
        <v>30</v>
      </c>
    </row>
    <row r="85" spans="1:6" s="772" customFormat="1" ht="36">
      <c r="A85" s="776">
        <v>25</v>
      </c>
      <c r="B85" s="3466"/>
      <c r="C85" s="712" t="s">
        <v>664</v>
      </c>
      <c r="D85" s="712" t="s">
        <v>665</v>
      </c>
      <c r="E85" s="787">
        <v>0.5</v>
      </c>
      <c r="F85" s="776">
        <v>80</v>
      </c>
    </row>
    <row r="86" spans="1:6" s="772" customFormat="1" ht="36">
      <c r="A86" s="776">
        <v>26</v>
      </c>
      <c r="B86" s="3466"/>
      <c r="C86" s="712" t="s">
        <v>666</v>
      </c>
      <c r="D86" s="712" t="s">
        <v>667</v>
      </c>
      <c r="E86" s="787">
        <v>0.2</v>
      </c>
      <c r="F86" s="776">
        <v>30</v>
      </c>
    </row>
    <row r="87" spans="1:6" s="772" customFormat="1" ht="36">
      <c r="A87" s="776">
        <v>27</v>
      </c>
      <c r="B87" s="3466"/>
      <c r="C87" s="712" t="s">
        <v>668</v>
      </c>
      <c r="D87" s="712" t="s">
        <v>669</v>
      </c>
      <c r="E87" s="787">
        <v>0.2</v>
      </c>
      <c r="F87" s="776">
        <v>30</v>
      </c>
    </row>
    <row r="88" spans="1:6" s="772" customFormat="1" ht="36">
      <c r="A88" s="776">
        <v>28</v>
      </c>
      <c r="B88" s="3466"/>
      <c r="C88" s="712" t="s">
        <v>670</v>
      </c>
      <c r="D88" s="712" t="s">
        <v>671</v>
      </c>
      <c r="E88" s="787">
        <v>0.2</v>
      </c>
      <c r="F88" s="776">
        <v>30</v>
      </c>
    </row>
    <row r="89" spans="1:6" s="772" customFormat="1" ht="24">
      <c r="A89" s="776">
        <v>29</v>
      </c>
      <c r="B89" s="3466"/>
      <c r="C89" s="712" t="s">
        <v>672</v>
      </c>
      <c r="D89" s="712" t="s">
        <v>673</v>
      </c>
      <c r="E89" s="787">
        <v>0.2</v>
      </c>
      <c r="F89" s="776">
        <v>30</v>
      </c>
    </row>
    <row r="90" spans="1:6" s="772" customFormat="1" ht="24">
      <c r="A90" s="776">
        <v>30</v>
      </c>
      <c r="B90" s="3466"/>
      <c r="C90" s="712" t="s">
        <v>674</v>
      </c>
      <c r="D90" s="712" t="s">
        <v>675</v>
      </c>
      <c r="E90" s="787">
        <v>0.2</v>
      </c>
      <c r="F90" s="776">
        <v>30</v>
      </c>
    </row>
    <row r="91" spans="1:6" s="772" customFormat="1" ht="36">
      <c r="A91" s="776">
        <v>31</v>
      </c>
      <c r="B91" s="3466"/>
      <c r="C91" s="712" t="s">
        <v>676</v>
      </c>
      <c r="D91" s="712" t="s">
        <v>677</v>
      </c>
      <c r="E91" s="787">
        <v>0.2</v>
      </c>
      <c r="F91" s="776">
        <v>30</v>
      </c>
    </row>
    <row r="92" spans="1:6" s="772" customFormat="1" ht="24">
      <c r="A92" s="776">
        <v>32</v>
      </c>
      <c r="B92" s="3466" t="s">
        <v>678</v>
      </c>
      <c r="C92" s="776" t="s">
        <v>679</v>
      </c>
      <c r="D92" s="712" t="s">
        <v>680</v>
      </c>
      <c r="E92" s="787">
        <v>0.2</v>
      </c>
      <c r="F92" s="776">
        <v>30</v>
      </c>
    </row>
    <row r="93" spans="1:6" s="772" customFormat="1" ht="36">
      <c r="A93" s="776">
        <v>33</v>
      </c>
      <c r="B93" s="3466"/>
      <c r="C93" s="776" t="s">
        <v>681</v>
      </c>
      <c r="D93" s="712" t="s">
        <v>682</v>
      </c>
      <c r="E93" s="787">
        <v>0.2</v>
      </c>
      <c r="F93" s="776">
        <v>30</v>
      </c>
    </row>
    <row r="94" spans="1:6" s="772" customFormat="1" ht="48">
      <c r="A94" s="776">
        <v>34</v>
      </c>
      <c r="B94" s="3466"/>
      <c r="C94" s="776" t="s">
        <v>683</v>
      </c>
      <c r="D94" s="712" t="s">
        <v>684</v>
      </c>
      <c r="E94" s="787">
        <v>0.2</v>
      </c>
      <c r="F94" s="776">
        <v>30</v>
      </c>
    </row>
    <row r="95" spans="1:6" s="772" customFormat="1" ht="36">
      <c r="A95" s="776">
        <v>35</v>
      </c>
      <c r="B95" s="3466"/>
      <c r="C95" s="776" t="s">
        <v>685</v>
      </c>
      <c r="D95" s="712" t="s">
        <v>686</v>
      </c>
      <c r="E95" s="787">
        <v>0.2</v>
      </c>
      <c r="F95" s="776">
        <v>30</v>
      </c>
    </row>
    <row r="96" spans="1:6" s="772" customFormat="1" ht="48">
      <c r="A96" s="776">
        <v>36</v>
      </c>
      <c r="B96" s="3466"/>
      <c r="C96" s="712" t="s">
        <v>687</v>
      </c>
      <c r="D96" s="712" t="s">
        <v>688</v>
      </c>
      <c r="E96" s="787">
        <v>0.2</v>
      </c>
      <c r="F96" s="776">
        <v>30</v>
      </c>
    </row>
    <row r="97" spans="1:6" s="772" customFormat="1" ht="36">
      <c r="A97" s="776">
        <v>37</v>
      </c>
      <c r="B97" s="3466"/>
      <c r="C97" s="776" t="s">
        <v>689</v>
      </c>
      <c r="D97" s="712" t="s">
        <v>690</v>
      </c>
      <c r="E97" s="787">
        <v>0.2</v>
      </c>
      <c r="F97" s="776">
        <v>30</v>
      </c>
    </row>
    <row r="98" spans="1:6" s="772" customFormat="1" ht="36">
      <c r="A98" s="776">
        <v>38</v>
      </c>
      <c r="B98" s="3466"/>
      <c r="C98" s="776" t="s">
        <v>691</v>
      </c>
      <c r="D98" s="712" t="s">
        <v>692</v>
      </c>
      <c r="E98" s="787">
        <v>0.2</v>
      </c>
      <c r="F98" s="776">
        <v>30</v>
      </c>
    </row>
    <row r="99" spans="1:6" s="772" customFormat="1" ht="36">
      <c r="A99" s="776">
        <v>39</v>
      </c>
      <c r="B99" s="3466" t="s">
        <v>693</v>
      </c>
      <c r="C99" s="776" t="s">
        <v>694</v>
      </c>
      <c r="D99" s="712" t="s">
        <v>695</v>
      </c>
      <c r="E99" s="787">
        <v>0.3</v>
      </c>
      <c r="F99" s="776">
        <v>50</v>
      </c>
    </row>
    <row r="100" spans="1:6" s="772" customFormat="1" ht="24">
      <c r="A100" s="776">
        <v>40</v>
      </c>
      <c r="B100" s="3466"/>
      <c r="C100" s="776" t="s">
        <v>696</v>
      </c>
      <c r="D100" s="712" t="s">
        <v>697</v>
      </c>
      <c r="E100" s="787">
        <v>0.2</v>
      </c>
      <c r="F100" s="776">
        <v>30</v>
      </c>
    </row>
    <row r="101" spans="1:6" s="772" customFormat="1" ht="36">
      <c r="A101" s="776">
        <v>41</v>
      </c>
      <c r="B101" s="3466"/>
      <c r="C101" s="776" t="s">
        <v>698</v>
      </c>
      <c r="D101" s="712" t="s">
        <v>695</v>
      </c>
      <c r="E101" s="787">
        <v>0.2</v>
      </c>
      <c r="F101" s="776">
        <v>30</v>
      </c>
    </row>
    <row r="102" spans="1:6" s="772" customFormat="1" ht="48">
      <c r="A102" s="776">
        <v>42</v>
      </c>
      <c r="B102" s="776" t="s">
        <v>699</v>
      </c>
      <c r="C102" s="712" t="s">
        <v>700</v>
      </c>
      <c r="D102" s="712" t="s">
        <v>701</v>
      </c>
      <c r="E102" s="787">
        <v>0.2</v>
      </c>
      <c r="F102" s="776">
        <v>30</v>
      </c>
    </row>
    <row r="103" spans="1:6" s="772" customFormat="1" ht="24">
      <c r="A103" s="776">
        <v>43</v>
      </c>
      <c r="B103" s="776" t="s">
        <v>702</v>
      </c>
      <c r="C103" s="776" t="s">
        <v>703</v>
      </c>
      <c r="D103" s="712" t="s">
        <v>704</v>
      </c>
      <c r="E103" s="787">
        <v>0.2</v>
      </c>
      <c r="F103" s="776">
        <v>30</v>
      </c>
    </row>
    <row r="104" spans="1:6" s="772" customFormat="1" ht="36">
      <c r="A104" s="776">
        <v>44</v>
      </c>
      <c r="B104" s="776" t="s">
        <v>705</v>
      </c>
      <c r="C104" s="776" t="s">
        <v>706</v>
      </c>
      <c r="D104" s="712" t="s">
        <v>707</v>
      </c>
      <c r="E104" s="787">
        <v>0.2</v>
      </c>
      <c r="F104" s="776">
        <v>30</v>
      </c>
    </row>
    <row r="105" spans="1:6" s="772" customFormat="1" ht="36">
      <c r="A105" s="776">
        <v>45</v>
      </c>
      <c r="B105" s="3466" t="s">
        <v>708</v>
      </c>
      <c r="C105" s="776" t="s">
        <v>709</v>
      </c>
      <c r="D105" s="712" t="s">
        <v>710</v>
      </c>
      <c r="E105" s="787">
        <v>0.2</v>
      </c>
      <c r="F105" s="776">
        <v>30</v>
      </c>
    </row>
    <row r="106" spans="1:6" s="772" customFormat="1" ht="36">
      <c r="A106" s="776">
        <v>46</v>
      </c>
      <c r="B106" s="3466"/>
      <c r="C106" s="776" t="s">
        <v>711</v>
      </c>
      <c r="D106" s="712" t="s">
        <v>712</v>
      </c>
      <c r="E106" s="787">
        <v>0.2</v>
      </c>
      <c r="F106" s="776">
        <v>30</v>
      </c>
    </row>
    <row r="107" spans="1:6" s="772" customFormat="1" ht="36">
      <c r="A107" s="776">
        <v>47</v>
      </c>
      <c r="B107" s="3466" t="s">
        <v>713</v>
      </c>
      <c r="C107" s="776" t="s">
        <v>714</v>
      </c>
      <c r="D107" s="712" t="s">
        <v>715</v>
      </c>
      <c r="E107" s="787">
        <v>0.3</v>
      </c>
      <c r="F107" s="776">
        <v>50</v>
      </c>
    </row>
    <row r="108" spans="1:6" s="772" customFormat="1" ht="36">
      <c r="A108" s="776">
        <v>48</v>
      </c>
      <c r="B108" s="3466"/>
      <c r="C108" s="776" t="s">
        <v>716</v>
      </c>
      <c r="D108" s="712" t="s">
        <v>717</v>
      </c>
      <c r="E108" s="787">
        <v>0.2</v>
      </c>
      <c r="F108" s="776">
        <v>30</v>
      </c>
    </row>
    <row r="109" spans="1:6" s="772" customFormat="1" ht="36">
      <c r="A109" s="776">
        <v>49</v>
      </c>
      <c r="B109" s="776" t="s">
        <v>718</v>
      </c>
      <c r="C109" s="776" t="s">
        <v>719</v>
      </c>
      <c r="D109" s="712" t="s">
        <v>720</v>
      </c>
      <c r="E109" s="787">
        <v>0.2</v>
      </c>
      <c r="F109" s="776">
        <v>30</v>
      </c>
    </row>
    <row r="110" spans="1:6" s="772" customFormat="1" ht="36">
      <c r="A110" s="776">
        <v>50</v>
      </c>
      <c r="B110" s="776" t="s">
        <v>721</v>
      </c>
      <c r="C110" s="776" t="s">
        <v>722</v>
      </c>
      <c r="D110" s="712" t="s">
        <v>723</v>
      </c>
      <c r="E110" s="787">
        <v>0.2</v>
      </c>
      <c r="F110" s="776">
        <v>30</v>
      </c>
    </row>
    <row r="111" spans="1:6" s="772" customFormat="1" ht="36">
      <c r="A111" s="776">
        <v>51</v>
      </c>
      <c r="B111" s="3466" t="s">
        <v>724</v>
      </c>
      <c r="C111" s="776" t="s">
        <v>725</v>
      </c>
      <c r="D111" s="712" t="s">
        <v>726</v>
      </c>
      <c r="E111" s="787">
        <v>0.2</v>
      </c>
      <c r="F111" s="776">
        <v>30</v>
      </c>
    </row>
    <row r="112" spans="1:6" s="772" customFormat="1" ht="24">
      <c r="A112" s="776">
        <v>52</v>
      </c>
      <c r="B112" s="3466"/>
      <c r="C112" s="776" t="s">
        <v>727</v>
      </c>
      <c r="D112" s="712" t="s">
        <v>728</v>
      </c>
      <c r="E112" s="787">
        <v>0.2</v>
      </c>
      <c r="F112" s="776">
        <v>30</v>
      </c>
    </row>
    <row r="113" spans="1:6" s="772" customFormat="1" ht="24">
      <c r="A113" s="776">
        <v>53</v>
      </c>
      <c r="B113" s="3466"/>
      <c r="C113" s="776" t="s">
        <v>729</v>
      </c>
      <c r="D113" s="712" t="s">
        <v>730</v>
      </c>
      <c r="E113" s="787">
        <v>0.2</v>
      </c>
      <c r="F113" s="776">
        <v>30</v>
      </c>
    </row>
    <row r="114" spans="1:6" ht="36">
      <c r="A114" s="776">
        <v>54</v>
      </c>
      <c r="B114" s="776" t="s">
        <v>731</v>
      </c>
      <c r="C114" s="776" t="s">
        <v>732</v>
      </c>
      <c r="D114" s="712" t="s">
        <v>733</v>
      </c>
      <c r="E114" s="787">
        <v>0.2</v>
      </c>
      <c r="F114" s="776">
        <v>30</v>
      </c>
    </row>
    <row r="115" spans="1:6" ht="24">
      <c r="A115" s="776">
        <v>55</v>
      </c>
      <c r="B115" s="776" t="s">
        <v>734</v>
      </c>
      <c r="C115" s="776" t="s">
        <v>735</v>
      </c>
      <c r="D115" s="712" t="s">
        <v>736</v>
      </c>
      <c r="E115" s="787">
        <v>0.2</v>
      </c>
      <c r="F115" s="776">
        <v>30</v>
      </c>
    </row>
    <row r="116" spans="1:6" ht="24">
      <c r="A116" s="776">
        <v>56</v>
      </c>
      <c r="B116" s="3466" t="s">
        <v>737</v>
      </c>
      <c r="C116" s="776" t="s">
        <v>738</v>
      </c>
      <c r="D116" s="712" t="s">
        <v>739</v>
      </c>
      <c r="E116" s="787">
        <v>0.2</v>
      </c>
      <c r="F116" s="776">
        <v>30</v>
      </c>
    </row>
    <row r="117" spans="1:6" ht="36">
      <c r="A117" s="776">
        <v>57</v>
      </c>
      <c r="B117" s="3466"/>
      <c r="C117" s="776" t="s">
        <v>740</v>
      </c>
      <c r="D117" s="712" t="s">
        <v>741</v>
      </c>
      <c r="E117" s="787">
        <v>0.2</v>
      </c>
      <c r="F117" s="776">
        <v>30</v>
      </c>
    </row>
    <row r="118" spans="1:6" ht="36">
      <c r="A118" s="776">
        <v>58</v>
      </c>
      <c r="B118" s="776" t="s">
        <v>742</v>
      </c>
      <c r="C118" s="776" t="s">
        <v>743</v>
      </c>
      <c r="D118" s="712" t="s">
        <v>744</v>
      </c>
      <c r="E118" s="787">
        <v>0.2</v>
      </c>
      <c r="F118" s="776">
        <v>30</v>
      </c>
    </row>
    <row r="119" spans="1:6" ht="13.5">
      <c r="A119" s="776"/>
      <c r="B119" s="776"/>
      <c r="C119" s="776" t="s">
        <v>745</v>
      </c>
      <c r="D119" s="776"/>
      <c r="E119" s="787" t="s">
        <v>555</v>
      </c>
      <c r="F119" s="7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05"/>
  </cols>
  <sheetData>
    <row r="1" spans="1:14" ht="14.25">
      <c r="A1" s="788" t="s">
        <v>747</v>
      </c>
      <c r="B1" s="789"/>
      <c r="C1" s="789"/>
      <c r="D1" s="789"/>
      <c r="E1" s="789"/>
      <c r="F1" s="789"/>
      <c r="G1" s="789"/>
      <c r="H1" s="789"/>
      <c r="I1" s="789"/>
      <c r="J1" s="789"/>
      <c r="K1" s="789"/>
      <c r="L1" s="789"/>
      <c r="M1" s="789"/>
      <c r="N1" s="789"/>
    </row>
    <row r="2" spans="1:14">
      <c r="A2" s="790" t="s">
        <v>746</v>
      </c>
      <c r="B2" s="791" t="s">
        <v>157</v>
      </c>
      <c r="C2" s="791" t="s">
        <v>158</v>
      </c>
      <c r="D2" s="791" t="s">
        <v>159</v>
      </c>
      <c r="E2" s="791" t="s">
        <v>160</v>
      </c>
      <c r="F2" s="791" t="s">
        <v>161</v>
      </c>
      <c r="G2" s="791" t="s">
        <v>162</v>
      </c>
      <c r="H2" s="792" t="s">
        <v>163</v>
      </c>
      <c r="I2" s="792" t="s">
        <v>164</v>
      </c>
      <c r="J2" s="793" t="s">
        <v>165</v>
      </c>
      <c r="K2" s="793" t="s">
        <v>166</v>
      </c>
      <c r="L2" s="793" t="s">
        <v>167</v>
      </c>
      <c r="M2" s="793" t="s">
        <v>168</v>
      </c>
    </row>
    <row r="3" spans="1:14">
      <c r="A3" s="790">
        <v>0.1</v>
      </c>
      <c r="B3" s="797">
        <v>15.052</v>
      </c>
      <c r="C3" s="797">
        <v>15.052</v>
      </c>
      <c r="D3" s="797">
        <v>14.263</v>
      </c>
      <c r="E3" s="797">
        <v>14.263</v>
      </c>
      <c r="F3" s="797">
        <v>14.263</v>
      </c>
      <c r="G3" s="797">
        <v>14.263</v>
      </c>
      <c r="H3" s="797">
        <v>14.263</v>
      </c>
      <c r="I3" s="797">
        <v>14.097</v>
      </c>
      <c r="J3" s="797">
        <v>14.097</v>
      </c>
      <c r="K3" s="797">
        <v>14.097</v>
      </c>
      <c r="L3" s="797">
        <v>14.097</v>
      </c>
      <c r="M3" s="797">
        <v>14.097</v>
      </c>
    </row>
    <row r="4" spans="1:14">
      <c r="A4" s="790">
        <v>0.2</v>
      </c>
      <c r="B4" s="797">
        <v>7.5259999999999998</v>
      </c>
      <c r="C4" s="797">
        <v>7.5259999999999998</v>
      </c>
      <c r="D4" s="797">
        <v>7.1315</v>
      </c>
      <c r="E4" s="797">
        <v>7.1315</v>
      </c>
      <c r="F4" s="797">
        <v>7.1315</v>
      </c>
      <c r="G4" s="797">
        <v>7.1315</v>
      </c>
      <c r="H4" s="797">
        <v>7.1315</v>
      </c>
      <c r="I4" s="797">
        <v>7.0484999999999998</v>
      </c>
      <c r="J4" s="797">
        <v>7.0484999999999998</v>
      </c>
      <c r="K4" s="797">
        <v>7.0484999999999998</v>
      </c>
      <c r="L4" s="797">
        <v>7.0484999999999998</v>
      </c>
      <c r="M4" s="797">
        <v>7.0484999999999998</v>
      </c>
    </row>
    <row r="5" spans="1:14">
      <c r="A5" s="790">
        <v>0.3</v>
      </c>
      <c r="B5" s="797">
        <v>5.0172999999999996</v>
      </c>
      <c r="C5" s="797">
        <v>5.0172999999999996</v>
      </c>
      <c r="D5" s="797">
        <v>4.7542999999999997</v>
      </c>
      <c r="E5" s="797">
        <v>4.7542999999999997</v>
      </c>
      <c r="F5" s="797">
        <v>4.7542999999999997</v>
      </c>
      <c r="G5" s="797">
        <v>4.7542999999999997</v>
      </c>
      <c r="H5" s="797">
        <v>4.7542999999999997</v>
      </c>
      <c r="I5" s="797">
        <v>4.6989999999999998</v>
      </c>
      <c r="J5" s="797">
        <v>4.6989999999999998</v>
      </c>
      <c r="K5" s="797">
        <v>4.6989999999999998</v>
      </c>
      <c r="L5" s="797">
        <v>4.6989999999999998</v>
      </c>
      <c r="M5" s="797">
        <v>4.6989999999999998</v>
      </c>
    </row>
    <row r="6" spans="1:14">
      <c r="A6" s="790">
        <v>0.4</v>
      </c>
      <c r="B6" s="797">
        <v>3.7629999999999999</v>
      </c>
      <c r="C6" s="797">
        <v>3.7629999999999999</v>
      </c>
      <c r="D6" s="797">
        <v>3.5657999999999999</v>
      </c>
      <c r="E6" s="797">
        <v>3.5657999999999999</v>
      </c>
      <c r="F6" s="797">
        <v>3.5657999999999999</v>
      </c>
      <c r="G6" s="797">
        <v>3.5657999999999999</v>
      </c>
      <c r="H6" s="797">
        <v>3.5657999999999999</v>
      </c>
      <c r="I6" s="797">
        <v>3.5243000000000002</v>
      </c>
      <c r="J6" s="797">
        <v>3.5243000000000002</v>
      </c>
      <c r="K6" s="797">
        <v>3.5243000000000002</v>
      </c>
      <c r="L6" s="797">
        <v>3.5243000000000002</v>
      </c>
      <c r="M6" s="797">
        <v>3.5243000000000002</v>
      </c>
    </row>
    <row r="7" spans="1:14">
      <c r="A7" s="790">
        <v>0.5</v>
      </c>
      <c r="B7" s="797">
        <v>3.0104000000000002</v>
      </c>
      <c r="C7" s="797">
        <v>3.0104000000000002</v>
      </c>
      <c r="D7" s="797">
        <v>2.8525999999999998</v>
      </c>
      <c r="E7" s="797">
        <v>2.8525999999999998</v>
      </c>
      <c r="F7" s="797">
        <v>2.8525999999999998</v>
      </c>
      <c r="G7" s="797">
        <v>2.8525999999999998</v>
      </c>
      <c r="H7" s="797">
        <v>2.8525999999999998</v>
      </c>
      <c r="I7" s="797">
        <v>2.8193999999999999</v>
      </c>
      <c r="J7" s="797">
        <v>2.8193999999999999</v>
      </c>
      <c r="K7" s="797">
        <v>2.8193999999999999</v>
      </c>
      <c r="L7" s="797">
        <v>2.8193999999999999</v>
      </c>
      <c r="M7" s="797">
        <v>2.8193999999999999</v>
      </c>
    </row>
    <row r="8" spans="1:14">
      <c r="A8" s="790">
        <v>0.6</v>
      </c>
      <c r="B8" s="797">
        <v>2.5087000000000002</v>
      </c>
      <c r="C8" s="797">
        <v>2.5087000000000002</v>
      </c>
      <c r="D8" s="797">
        <v>2.3772000000000002</v>
      </c>
      <c r="E8" s="797">
        <v>2.3772000000000002</v>
      </c>
      <c r="F8" s="797">
        <v>2.3772000000000002</v>
      </c>
      <c r="G8" s="797">
        <v>2.3772000000000002</v>
      </c>
      <c r="H8" s="797">
        <v>2.3772000000000002</v>
      </c>
      <c r="I8" s="797">
        <v>2.3494999999999999</v>
      </c>
      <c r="J8" s="797">
        <v>2.3494999999999999</v>
      </c>
      <c r="K8" s="797">
        <v>2.3494999999999999</v>
      </c>
      <c r="L8" s="797">
        <v>2.3494999999999999</v>
      </c>
      <c r="M8" s="797">
        <v>2.3494999999999999</v>
      </c>
    </row>
    <row r="9" spans="1:14">
      <c r="A9" s="790">
        <v>0.7</v>
      </c>
      <c r="B9" s="797">
        <v>2.1503000000000001</v>
      </c>
      <c r="C9" s="797">
        <v>2.1503000000000001</v>
      </c>
      <c r="D9" s="797">
        <v>2.0375999999999999</v>
      </c>
      <c r="E9" s="797">
        <v>2.0375999999999999</v>
      </c>
      <c r="F9" s="797">
        <v>2.0375999999999999</v>
      </c>
      <c r="G9" s="797">
        <v>2.0375999999999999</v>
      </c>
      <c r="H9" s="797">
        <v>2.0375999999999999</v>
      </c>
      <c r="I9" s="797">
        <v>2.0139</v>
      </c>
      <c r="J9" s="797">
        <v>2.0139</v>
      </c>
      <c r="K9" s="797">
        <v>2.0139</v>
      </c>
      <c r="L9" s="797">
        <v>2.0139</v>
      </c>
      <c r="M9" s="797">
        <v>2.0139</v>
      </c>
    </row>
    <row r="10" spans="1:14">
      <c r="A10" s="790">
        <v>0.8</v>
      </c>
      <c r="B10" s="797">
        <v>1.8815</v>
      </c>
      <c r="C10" s="797">
        <v>1.8815</v>
      </c>
      <c r="D10" s="797">
        <v>1.7828999999999999</v>
      </c>
      <c r="E10" s="797">
        <v>1.7828999999999999</v>
      </c>
      <c r="F10" s="797">
        <v>1.7828999999999999</v>
      </c>
      <c r="G10" s="797">
        <v>1.7828999999999999</v>
      </c>
      <c r="H10" s="797">
        <v>1.7828999999999999</v>
      </c>
      <c r="I10" s="797">
        <v>1.7621</v>
      </c>
      <c r="J10" s="797">
        <v>1.7621</v>
      </c>
      <c r="K10" s="797">
        <v>1.7621</v>
      </c>
      <c r="L10" s="797">
        <v>1.7621</v>
      </c>
      <c r="M10" s="797">
        <v>1.7621</v>
      </c>
    </row>
    <row r="11" spans="1:14">
      <c r="A11" s="790">
        <v>0.9</v>
      </c>
      <c r="B11" s="797">
        <v>1.6724000000000001</v>
      </c>
      <c r="C11" s="797">
        <v>1.6724000000000001</v>
      </c>
      <c r="D11" s="797">
        <v>1.5848</v>
      </c>
      <c r="E11" s="797">
        <v>1.5848</v>
      </c>
      <c r="F11" s="797">
        <v>1.5848</v>
      </c>
      <c r="G11" s="797">
        <v>1.5848</v>
      </c>
      <c r="H11" s="797">
        <v>1.5848</v>
      </c>
      <c r="I11" s="797">
        <v>1.5663</v>
      </c>
      <c r="J11" s="797">
        <v>1.5663</v>
      </c>
      <c r="K11" s="797">
        <v>1.5663</v>
      </c>
      <c r="L11" s="797">
        <v>1.5663</v>
      </c>
      <c r="M11" s="797">
        <v>1.5663</v>
      </c>
    </row>
    <row r="12" spans="1:14">
      <c r="A12" s="790">
        <v>1</v>
      </c>
      <c r="B12" s="797">
        <v>1.5052000000000001</v>
      </c>
      <c r="C12" s="797">
        <v>1.5052000000000001</v>
      </c>
      <c r="D12" s="797">
        <v>1.4262999999999999</v>
      </c>
      <c r="E12" s="797">
        <v>1.4262999999999999</v>
      </c>
      <c r="F12" s="797">
        <v>1.4262999999999999</v>
      </c>
      <c r="G12" s="797">
        <v>1.4262999999999999</v>
      </c>
      <c r="H12" s="797">
        <v>1.4262999999999999</v>
      </c>
      <c r="I12" s="797">
        <v>1.4097</v>
      </c>
      <c r="J12" s="797">
        <v>1.4097</v>
      </c>
      <c r="K12" s="797">
        <v>1.4097</v>
      </c>
      <c r="L12" s="797">
        <v>1.4097</v>
      </c>
      <c r="M12" s="797">
        <v>1.4097</v>
      </c>
    </row>
    <row r="13" spans="1:14">
      <c r="A13" s="790">
        <v>1.1000000000000001</v>
      </c>
      <c r="B13" s="797">
        <v>1.4509000000000001</v>
      </c>
      <c r="C13" s="797">
        <v>1.4509000000000001</v>
      </c>
      <c r="D13" s="797">
        <v>1.3697999999999999</v>
      </c>
      <c r="E13" s="797">
        <v>1.3697999999999999</v>
      </c>
      <c r="F13" s="797">
        <v>1.3697999999999999</v>
      </c>
      <c r="G13" s="797">
        <v>1.3697999999999999</v>
      </c>
      <c r="H13" s="797">
        <v>1.3697999999999999</v>
      </c>
      <c r="I13" s="797">
        <v>1.343</v>
      </c>
      <c r="J13" s="797">
        <v>1.343</v>
      </c>
      <c r="K13" s="797">
        <v>1.343</v>
      </c>
      <c r="L13" s="797">
        <v>1.343</v>
      </c>
      <c r="M13" s="797">
        <v>1.343</v>
      </c>
    </row>
    <row r="14" spans="1:14">
      <c r="A14" s="790">
        <v>1.2</v>
      </c>
      <c r="B14" s="797">
        <v>1.4035</v>
      </c>
      <c r="C14" s="797">
        <v>1.4035</v>
      </c>
      <c r="D14" s="797">
        <v>1.3205</v>
      </c>
      <c r="E14" s="797">
        <v>1.3205</v>
      </c>
      <c r="F14" s="797">
        <v>1.3205</v>
      </c>
      <c r="G14" s="797">
        <v>1.3205</v>
      </c>
      <c r="H14" s="797">
        <v>1.3205</v>
      </c>
      <c r="I14" s="797">
        <v>1.2845</v>
      </c>
      <c r="J14" s="797">
        <v>1.2845</v>
      </c>
      <c r="K14" s="797">
        <v>1.2845</v>
      </c>
      <c r="L14" s="797">
        <v>1.2845</v>
      </c>
      <c r="M14" s="797">
        <v>1.2845</v>
      </c>
    </row>
    <row r="15" spans="1:14">
      <c r="A15" s="790">
        <v>1.3</v>
      </c>
      <c r="B15" s="797">
        <v>1.3622000000000001</v>
      </c>
      <c r="C15" s="797">
        <v>1.3622000000000001</v>
      </c>
      <c r="D15" s="797">
        <v>1.2775000000000001</v>
      </c>
      <c r="E15" s="797">
        <v>1.2775000000000001</v>
      </c>
      <c r="F15" s="797">
        <v>1.2775000000000001</v>
      </c>
      <c r="G15" s="797">
        <v>1.2775000000000001</v>
      </c>
      <c r="H15" s="797">
        <v>1.2775000000000001</v>
      </c>
      <c r="I15" s="797">
        <v>1.2332000000000001</v>
      </c>
      <c r="J15" s="797">
        <v>1.2332000000000001</v>
      </c>
      <c r="K15" s="797">
        <v>1.2332000000000001</v>
      </c>
      <c r="L15" s="797">
        <v>1.2332000000000001</v>
      </c>
      <c r="M15" s="797">
        <v>1.2332000000000001</v>
      </c>
    </row>
    <row r="16" spans="1:14">
      <c r="A16" s="790">
        <v>1.4</v>
      </c>
      <c r="B16" s="797">
        <v>1.3262</v>
      </c>
      <c r="C16" s="797">
        <v>1.3262</v>
      </c>
      <c r="D16" s="797">
        <v>1.2402</v>
      </c>
      <c r="E16" s="797">
        <v>1.2402</v>
      </c>
      <c r="F16" s="797">
        <v>1.2402</v>
      </c>
      <c r="G16" s="797">
        <v>1.2402</v>
      </c>
      <c r="H16" s="797">
        <v>1.2402</v>
      </c>
      <c r="I16" s="797">
        <v>1.1881999999999999</v>
      </c>
      <c r="J16" s="797">
        <v>1.1881999999999999</v>
      </c>
      <c r="K16" s="797">
        <v>1.1881999999999999</v>
      </c>
      <c r="L16" s="797">
        <v>1.1881999999999999</v>
      </c>
      <c r="M16" s="797">
        <v>1.1881999999999999</v>
      </c>
    </row>
    <row r="17" spans="1:13">
      <c r="A17" s="790">
        <v>1.5</v>
      </c>
      <c r="B17" s="797">
        <v>1.2948</v>
      </c>
      <c r="C17" s="797">
        <v>1.2948</v>
      </c>
      <c r="D17" s="797">
        <v>1.2075</v>
      </c>
      <c r="E17" s="797">
        <v>1.2075</v>
      </c>
      <c r="F17" s="797">
        <v>1.2075</v>
      </c>
      <c r="G17" s="797">
        <v>1.2075</v>
      </c>
      <c r="H17" s="797">
        <v>1.2075</v>
      </c>
      <c r="I17" s="797">
        <v>1.1486000000000001</v>
      </c>
      <c r="J17" s="797">
        <v>1.1486000000000001</v>
      </c>
      <c r="K17" s="797">
        <v>1.1486000000000001</v>
      </c>
      <c r="L17" s="797">
        <v>1.1486000000000001</v>
      </c>
      <c r="M17" s="797">
        <v>1.1486000000000001</v>
      </c>
    </row>
    <row r="18" spans="1:13">
      <c r="A18" s="790">
        <v>1.6</v>
      </c>
      <c r="B18" s="797">
        <v>1.2673000000000001</v>
      </c>
      <c r="C18" s="797">
        <v>1.2673000000000001</v>
      </c>
      <c r="D18" s="797">
        <v>1.1789000000000001</v>
      </c>
      <c r="E18" s="797">
        <v>1.1789000000000001</v>
      </c>
      <c r="F18" s="797">
        <v>1.1789000000000001</v>
      </c>
      <c r="G18" s="797">
        <v>1.1789000000000001</v>
      </c>
      <c r="H18" s="797">
        <v>1.1789000000000001</v>
      </c>
      <c r="I18" s="797">
        <v>1.1134999999999999</v>
      </c>
      <c r="J18" s="797">
        <v>1.1134999999999999</v>
      </c>
      <c r="K18" s="797">
        <v>1.1134999999999999</v>
      </c>
      <c r="L18" s="797">
        <v>1.1134999999999999</v>
      </c>
      <c r="M18" s="797">
        <v>1.1134999999999999</v>
      </c>
    </row>
    <row r="19" spans="1:13">
      <c r="A19" s="790">
        <v>1.7</v>
      </c>
      <c r="B19" s="797">
        <v>1.2428999999999999</v>
      </c>
      <c r="C19" s="797">
        <v>1.2428999999999999</v>
      </c>
      <c r="D19" s="797">
        <v>1.1534</v>
      </c>
      <c r="E19" s="797">
        <v>1.1534</v>
      </c>
      <c r="F19" s="797">
        <v>1.1534</v>
      </c>
      <c r="G19" s="797">
        <v>1.1534</v>
      </c>
      <c r="H19" s="797">
        <v>1.1534</v>
      </c>
      <c r="I19" s="797">
        <v>1.0820000000000001</v>
      </c>
      <c r="J19" s="797">
        <v>1.0820000000000001</v>
      </c>
      <c r="K19" s="797">
        <v>1.0820000000000001</v>
      </c>
      <c r="L19" s="797">
        <v>1.0820000000000001</v>
      </c>
      <c r="M19" s="797">
        <v>1.0820000000000001</v>
      </c>
    </row>
    <row r="20" spans="1:13">
      <c r="A20" s="790">
        <v>1.8</v>
      </c>
      <c r="B20" s="797">
        <v>1.2206999999999999</v>
      </c>
      <c r="C20" s="797">
        <v>1.2206999999999999</v>
      </c>
      <c r="D20" s="797">
        <v>1.1304000000000001</v>
      </c>
      <c r="E20" s="797">
        <v>1.1304000000000001</v>
      </c>
      <c r="F20" s="797">
        <v>1.1304000000000001</v>
      </c>
      <c r="G20" s="797">
        <v>1.1304000000000001</v>
      </c>
      <c r="H20" s="797">
        <v>1.1304000000000001</v>
      </c>
      <c r="I20" s="797">
        <v>1.0531999999999999</v>
      </c>
      <c r="J20" s="797">
        <v>1.0531999999999999</v>
      </c>
      <c r="K20" s="797">
        <v>1.0531999999999999</v>
      </c>
      <c r="L20" s="797">
        <v>1.0531999999999999</v>
      </c>
      <c r="M20" s="797">
        <v>1.0531999999999999</v>
      </c>
    </row>
    <row r="21" spans="1:13">
      <c r="A21" s="790">
        <v>1.9</v>
      </c>
      <c r="B21" s="797">
        <v>1.2</v>
      </c>
      <c r="C21" s="797">
        <v>1.2</v>
      </c>
      <c r="D21" s="797">
        <v>1.1089</v>
      </c>
      <c r="E21" s="797">
        <v>1.1089</v>
      </c>
      <c r="F21" s="797">
        <v>1.1089</v>
      </c>
      <c r="G21" s="797">
        <v>1.1089</v>
      </c>
      <c r="H21" s="797">
        <v>1.1089</v>
      </c>
      <c r="I21" s="797">
        <v>1.0261</v>
      </c>
      <c r="J21" s="797">
        <v>1.0261</v>
      </c>
      <c r="K21" s="797">
        <v>1.0261</v>
      </c>
      <c r="L21" s="797">
        <v>1.0261</v>
      </c>
      <c r="M21" s="797">
        <v>1.0261</v>
      </c>
    </row>
    <row r="22" spans="1:13">
      <c r="A22" s="790">
        <v>2</v>
      </c>
      <c r="B22" s="797">
        <v>1.1800999999999999</v>
      </c>
      <c r="C22" s="797">
        <v>1.1800999999999999</v>
      </c>
      <c r="D22" s="797">
        <v>1.0883</v>
      </c>
      <c r="E22" s="797">
        <v>1.0883</v>
      </c>
      <c r="F22" s="797">
        <v>1.0883</v>
      </c>
      <c r="G22" s="797">
        <v>1.0883</v>
      </c>
      <c r="H22" s="797">
        <v>1.0883</v>
      </c>
      <c r="I22" s="797">
        <v>1</v>
      </c>
      <c r="J22" s="797">
        <v>1</v>
      </c>
      <c r="K22" s="797">
        <v>1</v>
      </c>
      <c r="L22" s="797">
        <v>1</v>
      </c>
      <c r="M22" s="797">
        <v>1</v>
      </c>
    </row>
    <row r="23" spans="1:13">
      <c r="A23" s="804">
        <v>2.1</v>
      </c>
      <c r="B23" s="797">
        <v>1.1616</v>
      </c>
      <c r="C23" s="797">
        <v>1.1616</v>
      </c>
      <c r="D23" s="797">
        <v>1.0685</v>
      </c>
      <c r="E23" s="797">
        <v>1.0685</v>
      </c>
      <c r="F23" s="797">
        <v>1.0685</v>
      </c>
      <c r="G23" s="797">
        <v>1.0685</v>
      </c>
      <c r="H23" s="797">
        <v>1.0685</v>
      </c>
      <c r="I23" s="797">
        <v>0.97550000000000003</v>
      </c>
      <c r="J23" s="797">
        <v>0.97550000000000003</v>
      </c>
      <c r="K23" s="797">
        <v>0.97550000000000003</v>
      </c>
      <c r="L23" s="797">
        <v>0.97550000000000003</v>
      </c>
      <c r="M23" s="797">
        <v>0.97550000000000003</v>
      </c>
    </row>
    <row r="24" spans="1:13">
      <c r="A24" s="804">
        <v>2.2000000000000002</v>
      </c>
      <c r="B24" s="797">
        <v>1.1440999999999999</v>
      </c>
      <c r="C24" s="797">
        <v>1.1440999999999999</v>
      </c>
      <c r="D24" s="797">
        <v>1.0497000000000001</v>
      </c>
      <c r="E24" s="797">
        <v>1.0497000000000001</v>
      </c>
      <c r="F24" s="797">
        <v>1.0497000000000001</v>
      </c>
      <c r="G24" s="797">
        <v>1.0497000000000001</v>
      </c>
      <c r="H24" s="797">
        <v>1.0497000000000001</v>
      </c>
      <c r="I24" s="797">
        <v>0.95230000000000004</v>
      </c>
      <c r="J24" s="797">
        <v>0.95230000000000004</v>
      </c>
      <c r="K24" s="797">
        <v>0.95230000000000004</v>
      </c>
      <c r="L24" s="797">
        <v>0.95230000000000004</v>
      </c>
      <c r="M24" s="797">
        <v>0.95230000000000004</v>
      </c>
    </row>
    <row r="25" spans="1:13">
      <c r="A25" s="804">
        <v>2.2999999999999998</v>
      </c>
      <c r="B25" s="797">
        <v>1.1275999999999999</v>
      </c>
      <c r="C25" s="797">
        <v>1.1275999999999999</v>
      </c>
      <c r="D25" s="797">
        <v>1.032</v>
      </c>
      <c r="E25" s="797">
        <v>1.032</v>
      </c>
      <c r="F25" s="797">
        <v>1.032</v>
      </c>
      <c r="G25" s="797">
        <v>1.032</v>
      </c>
      <c r="H25" s="797">
        <v>1.032</v>
      </c>
      <c r="I25" s="797">
        <v>0.9304</v>
      </c>
      <c r="J25" s="797">
        <v>0.9304</v>
      </c>
      <c r="K25" s="797">
        <v>0.9304</v>
      </c>
      <c r="L25" s="797">
        <v>0.9304</v>
      </c>
      <c r="M25" s="797">
        <v>0.9304</v>
      </c>
    </row>
    <row r="26" spans="1:13">
      <c r="A26" s="804">
        <v>2.4</v>
      </c>
      <c r="B26" s="797">
        <v>1.1121000000000001</v>
      </c>
      <c r="C26" s="797">
        <v>1.1121000000000001</v>
      </c>
      <c r="D26" s="797">
        <v>1.0155000000000001</v>
      </c>
      <c r="E26" s="797">
        <v>1.0155000000000001</v>
      </c>
      <c r="F26" s="797">
        <v>1.0155000000000001</v>
      </c>
      <c r="G26" s="797">
        <v>1.0155000000000001</v>
      </c>
      <c r="H26" s="797">
        <v>1.0155000000000001</v>
      </c>
      <c r="I26" s="797">
        <v>0.91</v>
      </c>
      <c r="J26" s="797">
        <v>0.91</v>
      </c>
      <c r="K26" s="797">
        <v>0.91</v>
      </c>
      <c r="L26" s="797">
        <v>0.91</v>
      </c>
      <c r="M26" s="797">
        <v>0.91</v>
      </c>
    </row>
    <row r="27" spans="1:13">
      <c r="A27" s="804">
        <v>2.5</v>
      </c>
      <c r="B27" s="797">
        <v>1.0975999999999999</v>
      </c>
      <c r="C27" s="797">
        <v>1.0975999999999999</v>
      </c>
      <c r="D27" s="797">
        <v>1</v>
      </c>
      <c r="E27" s="797">
        <v>1</v>
      </c>
      <c r="F27" s="797">
        <v>1</v>
      </c>
      <c r="G27" s="797">
        <v>1</v>
      </c>
      <c r="H27" s="797">
        <v>1</v>
      </c>
      <c r="I27" s="797">
        <v>0.89080000000000004</v>
      </c>
      <c r="J27" s="797">
        <v>0.89080000000000004</v>
      </c>
      <c r="K27" s="797">
        <v>0.89080000000000004</v>
      </c>
      <c r="L27" s="797">
        <v>0.89080000000000004</v>
      </c>
      <c r="M27" s="797">
        <v>0.89080000000000004</v>
      </c>
    </row>
    <row r="28" spans="1:13">
      <c r="A28" s="804">
        <v>2.6</v>
      </c>
      <c r="B28" s="797">
        <v>1.0841000000000001</v>
      </c>
      <c r="C28" s="797">
        <v>1.0841000000000001</v>
      </c>
      <c r="D28" s="797">
        <v>0.98619999999999997</v>
      </c>
      <c r="E28" s="797">
        <v>0.98619999999999997</v>
      </c>
      <c r="F28" s="797">
        <v>0.98619999999999997</v>
      </c>
      <c r="G28" s="797">
        <v>0.98619999999999997</v>
      </c>
      <c r="H28" s="797">
        <v>0.98619999999999997</v>
      </c>
      <c r="I28" s="797">
        <v>0.873</v>
      </c>
      <c r="J28" s="797">
        <v>0.873</v>
      </c>
      <c r="K28" s="797">
        <v>0.873</v>
      </c>
      <c r="L28" s="797">
        <v>0.873</v>
      </c>
      <c r="M28" s="797">
        <v>0.873</v>
      </c>
    </row>
    <row r="29" spans="1:13">
      <c r="A29" s="804">
        <v>2.7</v>
      </c>
      <c r="B29" s="797">
        <v>1.0716000000000001</v>
      </c>
      <c r="C29" s="797">
        <v>1.0716000000000001</v>
      </c>
      <c r="D29" s="797">
        <v>0.97330000000000005</v>
      </c>
      <c r="E29" s="797">
        <v>0.97330000000000005</v>
      </c>
      <c r="F29" s="797">
        <v>0.97330000000000005</v>
      </c>
      <c r="G29" s="797">
        <v>0.97330000000000005</v>
      </c>
      <c r="H29" s="797">
        <v>0.97330000000000005</v>
      </c>
      <c r="I29" s="797">
        <v>0.85670000000000002</v>
      </c>
      <c r="J29" s="797">
        <v>0.85670000000000002</v>
      </c>
      <c r="K29" s="797">
        <v>0.85670000000000002</v>
      </c>
      <c r="L29" s="797">
        <v>0.85670000000000002</v>
      </c>
      <c r="M29" s="797">
        <v>0.85670000000000002</v>
      </c>
    </row>
    <row r="30" spans="1:13">
      <c r="A30" s="804">
        <v>2.8</v>
      </c>
      <c r="B30" s="797">
        <v>1.0602</v>
      </c>
      <c r="C30" s="797">
        <v>1.0602</v>
      </c>
      <c r="D30" s="797">
        <v>0.96160000000000001</v>
      </c>
      <c r="E30" s="797">
        <v>0.96160000000000001</v>
      </c>
      <c r="F30" s="797">
        <v>0.96160000000000001</v>
      </c>
      <c r="G30" s="797">
        <v>0.96160000000000001</v>
      </c>
      <c r="H30" s="797">
        <v>0.96160000000000001</v>
      </c>
      <c r="I30" s="797">
        <v>0.8417</v>
      </c>
      <c r="J30" s="797">
        <v>0.8417</v>
      </c>
      <c r="K30" s="797">
        <v>0.8417</v>
      </c>
      <c r="L30" s="797">
        <v>0.8417</v>
      </c>
      <c r="M30" s="797">
        <v>0.8417</v>
      </c>
    </row>
    <row r="31" spans="1:13">
      <c r="A31" s="804">
        <v>2.9</v>
      </c>
      <c r="B31" s="797">
        <v>1.0497000000000001</v>
      </c>
      <c r="C31" s="797">
        <v>1.0497000000000001</v>
      </c>
      <c r="D31" s="797">
        <v>0.95089999999999997</v>
      </c>
      <c r="E31" s="797">
        <v>0.95089999999999997</v>
      </c>
      <c r="F31" s="797">
        <v>0.95089999999999997</v>
      </c>
      <c r="G31" s="797">
        <v>0.95089999999999997</v>
      </c>
      <c r="H31" s="797">
        <v>0.95089999999999997</v>
      </c>
      <c r="I31" s="797">
        <v>0.82809999999999995</v>
      </c>
      <c r="J31" s="797">
        <v>0.82809999999999995</v>
      </c>
      <c r="K31" s="797">
        <v>0.82809999999999995</v>
      </c>
      <c r="L31" s="797">
        <v>0.82809999999999995</v>
      </c>
      <c r="M31" s="797">
        <v>0.82809999999999995</v>
      </c>
    </row>
    <row r="32" spans="1:13">
      <c r="A32" s="804">
        <v>3</v>
      </c>
      <c r="B32" s="797">
        <v>1.0401</v>
      </c>
      <c r="C32" s="797">
        <v>1.0401</v>
      </c>
      <c r="D32" s="797">
        <v>0.94089999999999996</v>
      </c>
      <c r="E32" s="797">
        <v>0.94089999999999996</v>
      </c>
      <c r="F32" s="797">
        <v>0.94089999999999996</v>
      </c>
      <c r="G32" s="797">
        <v>0.94089999999999996</v>
      </c>
      <c r="H32" s="797">
        <v>0.94089999999999996</v>
      </c>
      <c r="I32" s="797">
        <v>0.81579999999999997</v>
      </c>
      <c r="J32" s="797">
        <v>0.81579999999999997</v>
      </c>
      <c r="K32" s="797">
        <v>0.81579999999999997</v>
      </c>
      <c r="L32" s="797">
        <v>0.81579999999999997</v>
      </c>
      <c r="M32" s="797">
        <v>0.81579999999999997</v>
      </c>
    </row>
    <row r="33" spans="1:13">
      <c r="A33" s="804">
        <v>3.1</v>
      </c>
      <c r="B33" s="797">
        <v>1.0314000000000001</v>
      </c>
      <c r="C33" s="797">
        <v>1.0314000000000001</v>
      </c>
      <c r="D33" s="797">
        <v>0.93169999999999997</v>
      </c>
      <c r="E33" s="797">
        <v>0.93169999999999997</v>
      </c>
      <c r="F33" s="797">
        <v>0.93169999999999997</v>
      </c>
      <c r="G33" s="797">
        <v>0.93169999999999997</v>
      </c>
      <c r="H33" s="797">
        <v>0.93169999999999997</v>
      </c>
      <c r="I33" s="797">
        <v>0.80410000000000004</v>
      </c>
      <c r="J33" s="797">
        <v>0.80410000000000004</v>
      </c>
      <c r="K33" s="797">
        <v>0.80410000000000004</v>
      </c>
      <c r="L33" s="797">
        <v>0.80410000000000004</v>
      </c>
      <c r="M33" s="797">
        <v>0.80410000000000004</v>
      </c>
    </row>
    <row r="34" spans="1:13">
      <c r="A34" s="804">
        <v>3.2</v>
      </c>
      <c r="B34" s="797">
        <v>1.0229999999999999</v>
      </c>
      <c r="C34" s="797">
        <v>1.0229999999999999</v>
      </c>
      <c r="D34" s="797">
        <v>0.92279999999999995</v>
      </c>
      <c r="E34" s="797">
        <v>0.92279999999999995</v>
      </c>
      <c r="F34" s="797">
        <v>0.92279999999999995</v>
      </c>
      <c r="G34" s="797">
        <v>0.92279999999999995</v>
      </c>
      <c r="H34" s="797">
        <v>0.92279999999999995</v>
      </c>
      <c r="I34" s="797">
        <v>0.79300000000000004</v>
      </c>
      <c r="J34" s="797">
        <v>0.79300000000000004</v>
      </c>
      <c r="K34" s="797">
        <v>0.79300000000000004</v>
      </c>
      <c r="L34" s="797">
        <v>0.79300000000000004</v>
      </c>
      <c r="M34" s="797">
        <v>0.79300000000000004</v>
      </c>
    </row>
    <row r="35" spans="1:13">
      <c r="A35" s="804">
        <v>3.3</v>
      </c>
      <c r="B35" s="797">
        <v>1.0149999999999999</v>
      </c>
      <c r="C35" s="797">
        <v>1.0149999999999999</v>
      </c>
      <c r="D35" s="797">
        <v>0.91439999999999999</v>
      </c>
      <c r="E35" s="797">
        <v>0.91439999999999999</v>
      </c>
      <c r="F35" s="797">
        <v>0.91439999999999999</v>
      </c>
      <c r="G35" s="797">
        <v>0.91439999999999999</v>
      </c>
      <c r="H35" s="797">
        <v>0.91439999999999999</v>
      </c>
      <c r="I35" s="797">
        <v>0.78220000000000001</v>
      </c>
      <c r="J35" s="797">
        <v>0.78220000000000001</v>
      </c>
      <c r="K35" s="797">
        <v>0.78220000000000001</v>
      </c>
      <c r="L35" s="797">
        <v>0.78220000000000001</v>
      </c>
      <c r="M35" s="797">
        <v>0.78220000000000001</v>
      </c>
    </row>
    <row r="36" spans="1:13">
      <c r="A36" s="804">
        <v>3.4</v>
      </c>
      <c r="B36" s="797">
        <v>1.0073000000000001</v>
      </c>
      <c r="C36" s="797">
        <v>1.0073000000000001</v>
      </c>
      <c r="D36" s="797">
        <v>0.90629999999999999</v>
      </c>
      <c r="E36" s="797">
        <v>0.90629999999999999</v>
      </c>
      <c r="F36" s="797">
        <v>0.90629999999999999</v>
      </c>
      <c r="G36" s="797">
        <v>0.90629999999999999</v>
      </c>
      <c r="H36" s="797">
        <v>0.90629999999999999</v>
      </c>
      <c r="I36" s="797">
        <v>0.77210000000000001</v>
      </c>
      <c r="J36" s="797">
        <v>0.77210000000000001</v>
      </c>
      <c r="K36" s="797">
        <v>0.77210000000000001</v>
      </c>
      <c r="L36" s="797">
        <v>0.77210000000000001</v>
      </c>
      <c r="M36" s="797">
        <v>0.77210000000000001</v>
      </c>
    </row>
    <row r="37" spans="1:13">
      <c r="A37" s="804">
        <v>3.5</v>
      </c>
      <c r="B37" s="797">
        <v>1</v>
      </c>
      <c r="C37" s="797">
        <v>1</v>
      </c>
      <c r="D37" s="797">
        <v>0.89870000000000005</v>
      </c>
      <c r="E37" s="797">
        <v>0.89870000000000005</v>
      </c>
      <c r="F37" s="797">
        <v>0.89870000000000005</v>
      </c>
      <c r="G37" s="797">
        <v>0.89870000000000005</v>
      </c>
      <c r="H37" s="797">
        <v>0.89870000000000005</v>
      </c>
      <c r="I37" s="797">
        <v>0.76239999999999997</v>
      </c>
      <c r="J37" s="797">
        <v>0.76239999999999997</v>
      </c>
      <c r="K37" s="797">
        <v>0.76239999999999997</v>
      </c>
      <c r="L37" s="797">
        <v>0.76239999999999997</v>
      </c>
      <c r="M37" s="797">
        <v>0.76239999999999997</v>
      </c>
    </row>
    <row r="38" spans="1:13">
      <c r="A38" s="804">
        <v>3.6</v>
      </c>
      <c r="B38" s="797">
        <v>0.99329999999999996</v>
      </c>
      <c r="C38" s="797">
        <v>0.99329999999999996</v>
      </c>
      <c r="D38" s="797">
        <v>0.89139999999999997</v>
      </c>
      <c r="E38" s="797">
        <v>0.89139999999999997</v>
      </c>
      <c r="F38" s="797">
        <v>0.89139999999999997</v>
      </c>
      <c r="G38" s="797">
        <v>0.89139999999999997</v>
      </c>
      <c r="H38" s="797">
        <v>0.89139999999999997</v>
      </c>
      <c r="I38" s="797">
        <v>0.75319999999999998</v>
      </c>
      <c r="J38" s="797">
        <v>0.75319999999999998</v>
      </c>
      <c r="K38" s="797">
        <v>0.75319999999999998</v>
      </c>
      <c r="L38" s="797">
        <v>0.75319999999999998</v>
      </c>
      <c r="M38" s="797">
        <v>0.75319999999999998</v>
      </c>
    </row>
    <row r="39" spans="1:13">
      <c r="A39" s="804">
        <v>3.7</v>
      </c>
      <c r="B39" s="797">
        <v>0.9869</v>
      </c>
      <c r="C39" s="797">
        <v>0.9869</v>
      </c>
      <c r="D39" s="797">
        <v>0.88449999999999995</v>
      </c>
      <c r="E39" s="797">
        <v>0.88449999999999995</v>
      </c>
      <c r="F39" s="797">
        <v>0.88449999999999995</v>
      </c>
      <c r="G39" s="797">
        <v>0.88449999999999995</v>
      </c>
      <c r="H39" s="797">
        <v>0.88449999999999995</v>
      </c>
      <c r="I39" s="797">
        <v>0.74460000000000004</v>
      </c>
      <c r="J39" s="797">
        <v>0.74460000000000004</v>
      </c>
      <c r="K39" s="797">
        <v>0.74460000000000004</v>
      </c>
      <c r="L39" s="797">
        <v>0.74460000000000004</v>
      </c>
      <c r="M39" s="797">
        <v>0.74460000000000004</v>
      </c>
    </row>
    <row r="40" spans="1:13">
      <c r="A40" s="804">
        <v>3.8</v>
      </c>
      <c r="B40" s="797">
        <v>0.98080000000000001</v>
      </c>
      <c r="C40" s="797">
        <v>0.98080000000000001</v>
      </c>
      <c r="D40" s="797">
        <v>0.87809999999999999</v>
      </c>
      <c r="E40" s="797">
        <v>0.87809999999999999</v>
      </c>
      <c r="F40" s="797">
        <v>0.87809999999999999</v>
      </c>
      <c r="G40" s="797">
        <v>0.87809999999999999</v>
      </c>
      <c r="H40" s="797">
        <v>0.87809999999999999</v>
      </c>
      <c r="I40" s="797">
        <v>0.73640000000000005</v>
      </c>
      <c r="J40" s="797">
        <v>0.73640000000000005</v>
      </c>
      <c r="K40" s="797">
        <v>0.73640000000000005</v>
      </c>
      <c r="L40" s="797">
        <v>0.73640000000000005</v>
      </c>
      <c r="M40" s="797">
        <v>0.73640000000000005</v>
      </c>
    </row>
    <row r="41" spans="1:13">
      <c r="A41" s="804">
        <v>3.9</v>
      </c>
      <c r="B41" s="797">
        <v>0.97509999999999997</v>
      </c>
      <c r="C41" s="797">
        <v>0.97509999999999997</v>
      </c>
      <c r="D41" s="797">
        <v>0.87209999999999999</v>
      </c>
      <c r="E41" s="797">
        <v>0.87209999999999999</v>
      </c>
      <c r="F41" s="797">
        <v>0.87209999999999999</v>
      </c>
      <c r="G41" s="797">
        <v>0.87209999999999999</v>
      </c>
      <c r="H41" s="797">
        <v>0.87209999999999999</v>
      </c>
      <c r="I41" s="797">
        <v>0.7288</v>
      </c>
      <c r="J41" s="797">
        <v>0.7288</v>
      </c>
      <c r="K41" s="797">
        <v>0.7288</v>
      </c>
      <c r="L41" s="797">
        <v>0.7288</v>
      </c>
      <c r="M41" s="797">
        <v>0.7288</v>
      </c>
    </row>
    <row r="42" spans="1:13">
      <c r="A42" s="804">
        <v>4</v>
      </c>
      <c r="B42" s="797">
        <v>0.96989999999999998</v>
      </c>
      <c r="C42" s="797">
        <v>0.96989999999999998</v>
      </c>
      <c r="D42" s="797">
        <v>0.86650000000000005</v>
      </c>
      <c r="E42" s="797">
        <v>0.86650000000000005</v>
      </c>
      <c r="F42" s="797">
        <v>0.86650000000000005</v>
      </c>
      <c r="G42" s="797">
        <v>0.86650000000000005</v>
      </c>
      <c r="H42" s="797">
        <v>0.86650000000000005</v>
      </c>
      <c r="I42" s="797">
        <v>0.7218</v>
      </c>
      <c r="J42" s="797">
        <v>0.7218</v>
      </c>
      <c r="K42" s="797">
        <v>0.7218</v>
      </c>
      <c r="L42" s="797">
        <v>0.7218</v>
      </c>
      <c r="M42" s="797">
        <v>0.7218</v>
      </c>
    </row>
    <row r="43" spans="1:13">
      <c r="A43" s="804">
        <v>4.0999999999999996</v>
      </c>
      <c r="B43" s="797">
        <v>0.96479999999999999</v>
      </c>
      <c r="C43" s="797">
        <v>0.96479999999999999</v>
      </c>
      <c r="D43" s="797">
        <v>0.86109999999999998</v>
      </c>
      <c r="E43" s="797">
        <v>0.86109999999999998</v>
      </c>
      <c r="F43" s="797">
        <v>0.86109999999999998</v>
      </c>
      <c r="G43" s="797">
        <v>0.86109999999999998</v>
      </c>
      <c r="H43" s="797">
        <v>0.86109999999999998</v>
      </c>
      <c r="I43" s="797">
        <v>0.71499999999999997</v>
      </c>
      <c r="J43" s="797">
        <v>0.71499999999999997</v>
      </c>
      <c r="K43" s="797">
        <v>0.71499999999999997</v>
      </c>
      <c r="L43" s="797">
        <v>0.71499999999999997</v>
      </c>
      <c r="M43" s="797">
        <v>0.71499999999999997</v>
      </c>
    </row>
    <row r="44" spans="1:13">
      <c r="A44" s="804">
        <v>4.2</v>
      </c>
      <c r="B44" s="797">
        <v>0.96</v>
      </c>
      <c r="C44" s="797">
        <v>0.96</v>
      </c>
      <c r="D44" s="797">
        <v>0.85599999999999998</v>
      </c>
      <c r="E44" s="797">
        <v>0.85599999999999998</v>
      </c>
      <c r="F44" s="797">
        <v>0.85599999999999998</v>
      </c>
      <c r="G44" s="797">
        <v>0.85599999999999998</v>
      </c>
      <c r="H44" s="797">
        <v>0.85599999999999998</v>
      </c>
      <c r="I44" s="797">
        <v>0.70840000000000003</v>
      </c>
      <c r="J44" s="797">
        <v>0.70840000000000003</v>
      </c>
      <c r="K44" s="797">
        <v>0.70840000000000003</v>
      </c>
      <c r="L44" s="797">
        <v>0.70840000000000003</v>
      </c>
      <c r="M44" s="797">
        <v>0.70840000000000003</v>
      </c>
    </row>
    <row r="45" spans="1:13">
      <c r="A45" s="804">
        <v>4.3</v>
      </c>
      <c r="B45" s="797">
        <v>0.95530000000000004</v>
      </c>
      <c r="C45" s="797">
        <v>0.95530000000000004</v>
      </c>
      <c r="D45" s="797">
        <v>0.85099999999999998</v>
      </c>
      <c r="E45" s="797">
        <v>0.85099999999999998</v>
      </c>
      <c r="F45" s="797">
        <v>0.85099999999999998</v>
      </c>
      <c r="G45" s="797">
        <v>0.85099999999999998</v>
      </c>
      <c r="H45" s="797">
        <v>0.85099999999999998</v>
      </c>
      <c r="I45" s="797">
        <v>0.70199999999999996</v>
      </c>
      <c r="J45" s="797">
        <v>0.70199999999999996</v>
      </c>
      <c r="K45" s="797">
        <v>0.70199999999999996</v>
      </c>
      <c r="L45" s="797">
        <v>0.70199999999999996</v>
      </c>
      <c r="M45" s="797">
        <v>0.70199999999999996</v>
      </c>
    </row>
    <row r="46" spans="1:13">
      <c r="A46" s="804">
        <v>4.4000000000000004</v>
      </c>
      <c r="B46" s="797">
        <v>0.95079999999999998</v>
      </c>
      <c r="C46" s="797">
        <v>0.95079999999999998</v>
      </c>
      <c r="D46" s="797">
        <v>0.84619999999999995</v>
      </c>
      <c r="E46" s="797">
        <v>0.84619999999999995</v>
      </c>
      <c r="F46" s="797">
        <v>0.84619999999999995</v>
      </c>
      <c r="G46" s="797">
        <v>0.84619999999999995</v>
      </c>
      <c r="H46" s="797">
        <v>0.84619999999999995</v>
      </c>
      <c r="I46" s="797">
        <v>0.69579999999999997</v>
      </c>
      <c r="J46" s="797">
        <v>0.69579999999999997</v>
      </c>
      <c r="K46" s="797">
        <v>0.69579999999999997</v>
      </c>
      <c r="L46" s="797">
        <v>0.69579999999999997</v>
      </c>
      <c r="M46" s="797">
        <v>0.69579999999999997</v>
      </c>
    </row>
    <row r="47" spans="1:13">
      <c r="A47" s="804">
        <v>4.5</v>
      </c>
      <c r="B47" s="797">
        <v>0.94640000000000002</v>
      </c>
      <c r="C47" s="797">
        <v>0.94640000000000002</v>
      </c>
      <c r="D47" s="797">
        <v>0.84150000000000003</v>
      </c>
      <c r="E47" s="797">
        <v>0.84150000000000003</v>
      </c>
      <c r="F47" s="797">
        <v>0.84150000000000003</v>
      </c>
      <c r="G47" s="797">
        <v>0.84150000000000003</v>
      </c>
      <c r="H47" s="797">
        <v>0.84150000000000003</v>
      </c>
      <c r="I47" s="797">
        <v>0.68989999999999996</v>
      </c>
      <c r="J47" s="797">
        <v>0.68989999999999996</v>
      </c>
      <c r="K47" s="797">
        <v>0.68989999999999996</v>
      </c>
      <c r="L47" s="797">
        <v>0.68989999999999996</v>
      </c>
      <c r="M47" s="797">
        <v>0.68989999999999996</v>
      </c>
    </row>
    <row r="48" spans="1:13">
      <c r="A48" s="804">
        <v>4.5999999999999996</v>
      </c>
      <c r="B48" s="797">
        <v>0.94230000000000003</v>
      </c>
      <c r="C48" s="797">
        <v>0.94230000000000003</v>
      </c>
      <c r="D48" s="797">
        <v>0.83709999999999996</v>
      </c>
      <c r="E48" s="797">
        <v>0.83709999999999996</v>
      </c>
      <c r="F48" s="797">
        <v>0.83709999999999996</v>
      </c>
      <c r="G48" s="797">
        <v>0.83709999999999996</v>
      </c>
      <c r="H48" s="797">
        <v>0.83709999999999996</v>
      </c>
      <c r="I48" s="797">
        <v>0.68430000000000002</v>
      </c>
      <c r="J48" s="797">
        <v>0.68430000000000002</v>
      </c>
      <c r="K48" s="797">
        <v>0.68430000000000002</v>
      </c>
      <c r="L48" s="797">
        <v>0.68430000000000002</v>
      </c>
      <c r="M48" s="797">
        <v>0.68430000000000002</v>
      </c>
    </row>
    <row r="49" spans="1:13">
      <c r="A49" s="804">
        <v>4.7</v>
      </c>
      <c r="B49" s="797">
        <v>0.93830000000000002</v>
      </c>
      <c r="C49" s="797">
        <v>0.93830000000000002</v>
      </c>
      <c r="D49" s="797">
        <v>0.83279999999999998</v>
      </c>
      <c r="E49" s="797">
        <v>0.83279999999999998</v>
      </c>
      <c r="F49" s="797">
        <v>0.83279999999999998</v>
      </c>
      <c r="G49" s="797">
        <v>0.83279999999999998</v>
      </c>
      <c r="H49" s="797">
        <v>0.83279999999999998</v>
      </c>
      <c r="I49" s="797">
        <v>0.67879999999999996</v>
      </c>
      <c r="J49" s="797">
        <v>0.67879999999999996</v>
      </c>
      <c r="K49" s="797">
        <v>0.67879999999999996</v>
      </c>
      <c r="L49" s="797">
        <v>0.67879999999999996</v>
      </c>
      <c r="M49" s="797">
        <v>0.67879999999999996</v>
      </c>
    </row>
    <row r="50" spans="1:13">
      <c r="A50" s="804">
        <v>4.8</v>
      </c>
      <c r="B50" s="797">
        <v>0.9345</v>
      </c>
      <c r="C50" s="797">
        <v>0.9345</v>
      </c>
      <c r="D50" s="797">
        <v>0.82869999999999999</v>
      </c>
      <c r="E50" s="797">
        <v>0.82869999999999999</v>
      </c>
      <c r="F50" s="797">
        <v>0.82869999999999999</v>
      </c>
      <c r="G50" s="797">
        <v>0.82869999999999999</v>
      </c>
      <c r="H50" s="797">
        <v>0.82869999999999999</v>
      </c>
      <c r="I50" s="797">
        <v>0.67359999999999998</v>
      </c>
      <c r="J50" s="797">
        <v>0.67359999999999998</v>
      </c>
      <c r="K50" s="797">
        <v>0.67359999999999998</v>
      </c>
      <c r="L50" s="797">
        <v>0.67359999999999998</v>
      </c>
      <c r="M50" s="797">
        <v>0.67359999999999998</v>
      </c>
    </row>
    <row r="51" spans="1:13">
      <c r="A51" s="804">
        <v>4.9000000000000004</v>
      </c>
      <c r="B51" s="797">
        <v>0.93079999999999996</v>
      </c>
      <c r="C51" s="797">
        <v>0.93079999999999996</v>
      </c>
      <c r="D51" s="797">
        <v>0.82479999999999998</v>
      </c>
      <c r="E51" s="797">
        <v>0.82479999999999998</v>
      </c>
      <c r="F51" s="797">
        <v>0.82479999999999998</v>
      </c>
      <c r="G51" s="797">
        <v>0.82479999999999998</v>
      </c>
      <c r="H51" s="797">
        <v>0.82479999999999998</v>
      </c>
      <c r="I51" s="797">
        <v>0.66849999999999998</v>
      </c>
      <c r="J51" s="797">
        <v>0.66849999999999998</v>
      </c>
      <c r="K51" s="797">
        <v>0.66849999999999998</v>
      </c>
      <c r="L51" s="797">
        <v>0.66849999999999998</v>
      </c>
      <c r="M51" s="797">
        <v>0.66849999999999998</v>
      </c>
    </row>
    <row r="52" spans="1:13">
      <c r="A52" s="804">
        <v>5</v>
      </c>
      <c r="B52" s="797">
        <v>0.9274</v>
      </c>
      <c r="C52" s="797">
        <v>0.9274</v>
      </c>
      <c r="D52" s="797">
        <v>0.82110000000000005</v>
      </c>
      <c r="E52" s="797">
        <v>0.82110000000000005</v>
      </c>
      <c r="F52" s="797">
        <v>0.82110000000000005</v>
      </c>
      <c r="G52" s="797">
        <v>0.82110000000000005</v>
      </c>
      <c r="H52" s="797">
        <v>0.82110000000000005</v>
      </c>
      <c r="I52" s="797">
        <v>0.66369999999999996</v>
      </c>
      <c r="J52" s="797">
        <v>0.66369999999999996</v>
      </c>
      <c r="K52" s="797">
        <v>0.66369999999999996</v>
      </c>
      <c r="L52" s="797">
        <v>0.66369999999999996</v>
      </c>
      <c r="M52" s="797">
        <v>0.66369999999999996</v>
      </c>
    </row>
    <row r="53" spans="1:13">
      <c r="A53" s="790">
        <v>5.0999999999999996</v>
      </c>
      <c r="B53" s="797">
        <v>0.92410000000000003</v>
      </c>
      <c r="C53" s="797">
        <v>0.92410000000000003</v>
      </c>
      <c r="D53" s="797">
        <v>0.8175</v>
      </c>
      <c r="E53" s="797">
        <v>0.8175</v>
      </c>
      <c r="F53" s="797">
        <v>0.8175</v>
      </c>
      <c r="G53" s="797">
        <v>0.8175</v>
      </c>
      <c r="H53" s="797">
        <v>0.8175</v>
      </c>
      <c r="I53" s="797">
        <v>0.65900000000000003</v>
      </c>
      <c r="J53" s="797">
        <v>0.65900000000000003</v>
      </c>
      <c r="K53" s="797">
        <v>0.65900000000000003</v>
      </c>
      <c r="L53" s="797">
        <v>0.65900000000000003</v>
      </c>
      <c r="M53" s="797">
        <v>0.65900000000000003</v>
      </c>
    </row>
    <row r="54" spans="1:13">
      <c r="A54" s="790">
        <v>5.2</v>
      </c>
      <c r="B54" s="797">
        <v>0.92090000000000005</v>
      </c>
      <c r="C54" s="797">
        <v>0.92090000000000005</v>
      </c>
      <c r="D54" s="797">
        <v>0.81399999999999995</v>
      </c>
      <c r="E54" s="797">
        <v>0.81399999999999995</v>
      </c>
      <c r="F54" s="797">
        <v>0.81399999999999995</v>
      </c>
      <c r="G54" s="797">
        <v>0.81399999999999995</v>
      </c>
      <c r="H54" s="797">
        <v>0.81399999999999995</v>
      </c>
      <c r="I54" s="797">
        <v>0.65449999999999997</v>
      </c>
      <c r="J54" s="797">
        <v>0.65449999999999997</v>
      </c>
      <c r="K54" s="797">
        <v>0.65449999999999997</v>
      </c>
      <c r="L54" s="797">
        <v>0.65449999999999997</v>
      </c>
      <c r="M54" s="797">
        <v>0.65449999999999997</v>
      </c>
    </row>
    <row r="55" spans="1:13">
      <c r="A55" s="790">
        <v>5.3</v>
      </c>
      <c r="B55" s="797">
        <v>0.91790000000000005</v>
      </c>
      <c r="C55" s="797">
        <v>0.91790000000000005</v>
      </c>
      <c r="D55" s="797">
        <v>0.81059999999999999</v>
      </c>
      <c r="E55" s="797">
        <v>0.81059999999999999</v>
      </c>
      <c r="F55" s="797">
        <v>0.81059999999999999</v>
      </c>
      <c r="G55" s="797">
        <v>0.81059999999999999</v>
      </c>
      <c r="H55" s="797">
        <v>0.81059999999999999</v>
      </c>
      <c r="I55" s="797">
        <v>0.6502</v>
      </c>
      <c r="J55" s="797">
        <v>0.6502</v>
      </c>
      <c r="K55" s="797">
        <v>0.6502</v>
      </c>
      <c r="L55" s="797">
        <v>0.6502</v>
      </c>
      <c r="M55" s="797">
        <v>0.6502</v>
      </c>
    </row>
    <row r="56" spans="1:13">
      <c r="A56" s="790">
        <v>5.4</v>
      </c>
      <c r="B56" s="797">
        <v>0.91490000000000005</v>
      </c>
      <c r="C56" s="797">
        <v>0.91490000000000005</v>
      </c>
      <c r="D56" s="797">
        <v>0.80740000000000001</v>
      </c>
      <c r="E56" s="797">
        <v>0.80740000000000001</v>
      </c>
      <c r="F56" s="797">
        <v>0.80740000000000001</v>
      </c>
      <c r="G56" s="797">
        <v>0.80740000000000001</v>
      </c>
      <c r="H56" s="797">
        <v>0.80740000000000001</v>
      </c>
      <c r="I56" s="797">
        <v>0.64590000000000003</v>
      </c>
      <c r="J56" s="797">
        <v>0.64590000000000003</v>
      </c>
      <c r="K56" s="797">
        <v>0.64590000000000003</v>
      </c>
      <c r="L56" s="797">
        <v>0.64590000000000003</v>
      </c>
      <c r="M56" s="797">
        <v>0.64590000000000003</v>
      </c>
    </row>
    <row r="57" spans="1:13">
      <c r="A57" s="790">
        <v>5.5</v>
      </c>
      <c r="B57" s="797">
        <v>0.91200000000000003</v>
      </c>
      <c r="C57" s="797">
        <v>0.91200000000000003</v>
      </c>
      <c r="D57" s="797">
        <v>0.80420000000000003</v>
      </c>
      <c r="E57" s="797">
        <v>0.80420000000000003</v>
      </c>
      <c r="F57" s="797">
        <v>0.80420000000000003</v>
      </c>
      <c r="G57" s="797">
        <v>0.80420000000000003</v>
      </c>
      <c r="H57" s="797">
        <v>0.80420000000000003</v>
      </c>
      <c r="I57" s="797">
        <v>0.64180000000000004</v>
      </c>
      <c r="J57" s="797">
        <v>0.64180000000000004</v>
      </c>
      <c r="K57" s="797">
        <v>0.64180000000000004</v>
      </c>
      <c r="L57" s="797">
        <v>0.64180000000000004</v>
      </c>
      <c r="M57" s="797">
        <v>0.64180000000000004</v>
      </c>
    </row>
    <row r="58" spans="1:13">
      <c r="A58" s="790">
        <v>5.6</v>
      </c>
      <c r="B58" s="797">
        <v>0.90910000000000002</v>
      </c>
      <c r="C58" s="797">
        <v>0.90910000000000002</v>
      </c>
      <c r="D58" s="797">
        <v>0.80120000000000002</v>
      </c>
      <c r="E58" s="797">
        <v>0.80120000000000002</v>
      </c>
      <c r="F58" s="797">
        <v>0.80120000000000002</v>
      </c>
      <c r="G58" s="797">
        <v>0.80120000000000002</v>
      </c>
      <c r="H58" s="797">
        <v>0.80120000000000002</v>
      </c>
      <c r="I58" s="797">
        <v>0.63790000000000002</v>
      </c>
      <c r="J58" s="797">
        <v>0.63790000000000002</v>
      </c>
      <c r="K58" s="797">
        <v>0.63790000000000002</v>
      </c>
      <c r="L58" s="797">
        <v>0.63790000000000002</v>
      </c>
      <c r="M58" s="797">
        <v>0.63790000000000002</v>
      </c>
    </row>
    <row r="59" spans="1:13">
      <c r="A59" s="804">
        <v>5.7</v>
      </c>
      <c r="B59" s="797">
        <v>0.90639999999999998</v>
      </c>
      <c r="C59" s="797">
        <v>0.90639999999999998</v>
      </c>
      <c r="D59" s="797">
        <v>0.79820000000000002</v>
      </c>
      <c r="E59" s="797">
        <v>0.79820000000000002</v>
      </c>
      <c r="F59" s="797">
        <v>0.79820000000000002</v>
      </c>
      <c r="G59" s="797">
        <v>0.79820000000000002</v>
      </c>
      <c r="H59" s="797">
        <v>0.79820000000000002</v>
      </c>
      <c r="I59" s="797">
        <v>0.6341</v>
      </c>
      <c r="J59" s="797">
        <v>0.6341</v>
      </c>
      <c r="K59" s="797">
        <v>0.6341</v>
      </c>
      <c r="L59" s="797">
        <v>0.6341</v>
      </c>
      <c r="M59" s="797">
        <v>0.6341</v>
      </c>
    </row>
    <row r="60" spans="1:13">
      <c r="A60" s="790">
        <v>5.8</v>
      </c>
      <c r="B60" s="797">
        <v>0.90380000000000005</v>
      </c>
      <c r="C60" s="797">
        <v>0.90380000000000005</v>
      </c>
      <c r="D60" s="797">
        <v>0.7954</v>
      </c>
      <c r="E60" s="797">
        <v>0.7954</v>
      </c>
      <c r="F60" s="797">
        <v>0.7954</v>
      </c>
      <c r="G60" s="797">
        <v>0.7954</v>
      </c>
      <c r="H60" s="797">
        <v>0.7954</v>
      </c>
      <c r="I60" s="797">
        <v>0.63039999999999996</v>
      </c>
      <c r="J60" s="797">
        <v>0.63039999999999996</v>
      </c>
      <c r="K60" s="797">
        <v>0.63039999999999996</v>
      </c>
      <c r="L60" s="797">
        <v>0.63039999999999996</v>
      </c>
      <c r="M60" s="797">
        <v>0.63039999999999996</v>
      </c>
    </row>
    <row r="61" spans="1:13">
      <c r="A61" s="790">
        <v>5.9</v>
      </c>
      <c r="B61" s="797">
        <v>0.90129999999999999</v>
      </c>
      <c r="C61" s="797">
        <v>0.90129999999999999</v>
      </c>
      <c r="D61" s="797">
        <v>0.79269999999999996</v>
      </c>
      <c r="E61" s="797">
        <v>0.79269999999999996</v>
      </c>
      <c r="F61" s="797">
        <v>0.79269999999999996</v>
      </c>
      <c r="G61" s="797">
        <v>0.79269999999999996</v>
      </c>
      <c r="H61" s="797">
        <v>0.79269999999999996</v>
      </c>
      <c r="I61" s="797">
        <v>0.62690000000000001</v>
      </c>
      <c r="J61" s="797">
        <v>0.62690000000000001</v>
      </c>
      <c r="K61" s="797">
        <v>0.62690000000000001</v>
      </c>
      <c r="L61" s="797">
        <v>0.62690000000000001</v>
      </c>
      <c r="M61" s="797">
        <v>0.62690000000000001</v>
      </c>
    </row>
    <row r="62" spans="1:13">
      <c r="A62" s="790">
        <v>6</v>
      </c>
      <c r="B62" s="797">
        <v>0.89890000000000003</v>
      </c>
      <c r="C62" s="797">
        <v>0.89890000000000003</v>
      </c>
      <c r="D62" s="797">
        <v>0.79020000000000001</v>
      </c>
      <c r="E62" s="797">
        <v>0.79020000000000001</v>
      </c>
      <c r="F62" s="797">
        <v>0.79020000000000001</v>
      </c>
      <c r="G62" s="797">
        <v>0.79020000000000001</v>
      </c>
      <c r="H62" s="797">
        <v>0.79020000000000001</v>
      </c>
      <c r="I62" s="797">
        <v>0.62350000000000005</v>
      </c>
      <c r="J62" s="797">
        <v>0.62350000000000005</v>
      </c>
      <c r="K62" s="797">
        <v>0.62350000000000005</v>
      </c>
      <c r="L62" s="797">
        <v>0.62350000000000005</v>
      </c>
      <c r="M62" s="797">
        <v>0.62350000000000005</v>
      </c>
    </row>
    <row r="63" spans="1:13">
      <c r="A63" s="790">
        <v>6.1</v>
      </c>
      <c r="B63" s="797">
        <v>0.89649999999999996</v>
      </c>
      <c r="C63" s="797">
        <v>0.89649999999999996</v>
      </c>
      <c r="D63" s="797">
        <v>0.78769999999999996</v>
      </c>
      <c r="E63" s="797">
        <v>0.78769999999999996</v>
      </c>
      <c r="F63" s="797">
        <v>0.78769999999999996</v>
      </c>
      <c r="G63" s="797">
        <v>0.78769999999999996</v>
      </c>
      <c r="H63" s="797">
        <v>0.78769999999999996</v>
      </c>
      <c r="I63" s="797">
        <v>0.62029999999999996</v>
      </c>
      <c r="J63" s="797">
        <v>0.62029999999999996</v>
      </c>
      <c r="K63" s="797">
        <v>0.62029999999999996</v>
      </c>
      <c r="L63" s="797">
        <v>0.62029999999999996</v>
      </c>
      <c r="M63" s="797">
        <v>0.62029999999999996</v>
      </c>
    </row>
    <row r="64" spans="1:13">
      <c r="A64" s="790">
        <v>6.2</v>
      </c>
      <c r="B64" s="797">
        <v>0.89429999999999998</v>
      </c>
      <c r="C64" s="797">
        <v>0.89429999999999998</v>
      </c>
      <c r="D64" s="797">
        <v>0.78520000000000001</v>
      </c>
      <c r="E64" s="797">
        <v>0.78520000000000001</v>
      </c>
      <c r="F64" s="797">
        <v>0.78520000000000001</v>
      </c>
      <c r="G64" s="797">
        <v>0.78520000000000001</v>
      </c>
      <c r="H64" s="797">
        <v>0.78520000000000001</v>
      </c>
      <c r="I64" s="797">
        <v>0.61719999999999997</v>
      </c>
      <c r="J64" s="797">
        <v>0.61719999999999997</v>
      </c>
      <c r="K64" s="797">
        <v>0.61719999999999997</v>
      </c>
      <c r="L64" s="797">
        <v>0.61719999999999997</v>
      </c>
      <c r="M64" s="797">
        <v>0.61719999999999997</v>
      </c>
    </row>
    <row r="65" spans="1:13">
      <c r="A65" s="790">
        <v>6.3</v>
      </c>
      <c r="B65" s="797">
        <v>0.89200000000000002</v>
      </c>
      <c r="C65" s="797">
        <v>0.89200000000000002</v>
      </c>
      <c r="D65" s="797">
        <v>0.78280000000000005</v>
      </c>
      <c r="E65" s="797">
        <v>0.78280000000000005</v>
      </c>
      <c r="F65" s="797">
        <v>0.78280000000000005</v>
      </c>
      <c r="G65" s="797">
        <v>0.78280000000000005</v>
      </c>
      <c r="H65" s="797">
        <v>0.78280000000000005</v>
      </c>
      <c r="I65" s="797">
        <v>0.61409999999999998</v>
      </c>
      <c r="J65" s="797">
        <v>0.61409999999999998</v>
      </c>
      <c r="K65" s="797">
        <v>0.61409999999999998</v>
      </c>
      <c r="L65" s="797">
        <v>0.61409999999999998</v>
      </c>
      <c r="M65" s="797">
        <v>0.61409999999999998</v>
      </c>
    </row>
    <row r="66" spans="1:13">
      <c r="A66" s="790">
        <v>6.4</v>
      </c>
      <c r="B66" s="797">
        <v>0.88990000000000002</v>
      </c>
      <c r="C66" s="797">
        <v>0.88990000000000002</v>
      </c>
      <c r="D66" s="797">
        <v>0.78039999999999998</v>
      </c>
      <c r="E66" s="797">
        <v>0.78039999999999998</v>
      </c>
      <c r="F66" s="797">
        <v>0.78039999999999998</v>
      </c>
      <c r="G66" s="797">
        <v>0.78039999999999998</v>
      </c>
      <c r="H66" s="797">
        <v>0.78039999999999998</v>
      </c>
      <c r="I66" s="797">
        <v>0.61099999999999999</v>
      </c>
      <c r="J66" s="797">
        <v>0.61099999999999999</v>
      </c>
      <c r="K66" s="797">
        <v>0.61099999999999999</v>
      </c>
      <c r="L66" s="797">
        <v>0.61099999999999999</v>
      </c>
      <c r="M66" s="797">
        <v>0.61099999999999999</v>
      </c>
    </row>
    <row r="67" spans="1:13">
      <c r="A67" s="790">
        <v>6.5</v>
      </c>
      <c r="B67" s="797">
        <v>0.88780000000000003</v>
      </c>
      <c r="C67" s="797">
        <v>0.88780000000000003</v>
      </c>
      <c r="D67" s="797">
        <v>0.77810000000000001</v>
      </c>
      <c r="E67" s="797">
        <v>0.77810000000000001</v>
      </c>
      <c r="F67" s="797">
        <v>0.77810000000000001</v>
      </c>
      <c r="G67" s="797">
        <v>0.77810000000000001</v>
      </c>
      <c r="H67" s="797">
        <v>0.77810000000000001</v>
      </c>
      <c r="I67" s="797">
        <v>0.60799999999999998</v>
      </c>
      <c r="J67" s="797">
        <v>0.60799999999999998</v>
      </c>
      <c r="K67" s="797">
        <v>0.60799999999999998</v>
      </c>
      <c r="L67" s="797">
        <v>0.60799999999999998</v>
      </c>
      <c r="M67" s="797">
        <v>0.60799999999999998</v>
      </c>
    </row>
    <row r="68" spans="1:13">
      <c r="A68" s="790">
        <v>6.6</v>
      </c>
      <c r="B68" s="797">
        <v>0.88580000000000003</v>
      </c>
      <c r="C68" s="797">
        <v>0.88580000000000003</v>
      </c>
      <c r="D68" s="797">
        <v>0.77580000000000005</v>
      </c>
      <c r="E68" s="797">
        <v>0.77580000000000005</v>
      </c>
      <c r="F68" s="797">
        <v>0.77580000000000005</v>
      </c>
      <c r="G68" s="797">
        <v>0.77580000000000005</v>
      </c>
      <c r="H68" s="797">
        <v>0.77580000000000005</v>
      </c>
      <c r="I68" s="797">
        <v>0.60499999999999998</v>
      </c>
      <c r="J68" s="797">
        <v>0.60499999999999998</v>
      </c>
      <c r="K68" s="797">
        <v>0.60499999999999998</v>
      </c>
      <c r="L68" s="797">
        <v>0.60499999999999998</v>
      </c>
      <c r="M68" s="797">
        <v>0.60499999999999998</v>
      </c>
    </row>
    <row r="69" spans="1:13">
      <c r="A69" s="790">
        <v>6.7</v>
      </c>
      <c r="B69" s="797">
        <v>0.88380000000000003</v>
      </c>
      <c r="C69" s="797">
        <v>0.88380000000000003</v>
      </c>
      <c r="D69" s="797">
        <v>0.77359999999999995</v>
      </c>
      <c r="E69" s="797">
        <v>0.77359999999999995</v>
      </c>
      <c r="F69" s="797">
        <v>0.77359999999999995</v>
      </c>
      <c r="G69" s="797">
        <v>0.77359999999999995</v>
      </c>
      <c r="H69" s="797">
        <v>0.77359999999999995</v>
      </c>
      <c r="I69" s="797">
        <v>0.60209999999999997</v>
      </c>
      <c r="J69" s="797">
        <v>0.60209999999999997</v>
      </c>
      <c r="K69" s="797">
        <v>0.60209999999999997</v>
      </c>
      <c r="L69" s="797">
        <v>0.60209999999999997</v>
      </c>
      <c r="M69" s="797">
        <v>0.60209999999999997</v>
      </c>
    </row>
    <row r="70" spans="1:13">
      <c r="A70" s="790">
        <v>6.8</v>
      </c>
      <c r="B70" s="797">
        <v>0.88190000000000002</v>
      </c>
      <c r="C70" s="797">
        <v>0.88190000000000002</v>
      </c>
      <c r="D70" s="797">
        <v>0.77159999999999995</v>
      </c>
      <c r="E70" s="797">
        <v>0.77159999999999995</v>
      </c>
      <c r="F70" s="797">
        <v>0.77159999999999995</v>
      </c>
      <c r="G70" s="797">
        <v>0.77159999999999995</v>
      </c>
      <c r="H70" s="797">
        <v>0.77159999999999995</v>
      </c>
      <c r="I70" s="797">
        <v>0.59930000000000005</v>
      </c>
      <c r="J70" s="797">
        <v>0.59930000000000005</v>
      </c>
      <c r="K70" s="797">
        <v>0.59930000000000005</v>
      </c>
      <c r="L70" s="797">
        <v>0.59930000000000005</v>
      </c>
      <c r="M70" s="797">
        <v>0.59930000000000005</v>
      </c>
    </row>
    <row r="71" spans="1:13">
      <c r="A71" s="790">
        <v>6.9</v>
      </c>
      <c r="B71" s="797">
        <v>0.88</v>
      </c>
      <c r="C71" s="797">
        <v>0.88</v>
      </c>
      <c r="D71" s="797">
        <v>0.76949999999999996</v>
      </c>
      <c r="E71" s="797">
        <v>0.76949999999999996</v>
      </c>
      <c r="F71" s="797">
        <v>0.76949999999999996</v>
      </c>
      <c r="G71" s="797">
        <v>0.76949999999999996</v>
      </c>
      <c r="H71" s="797">
        <v>0.76949999999999996</v>
      </c>
      <c r="I71" s="797">
        <v>0.59640000000000004</v>
      </c>
      <c r="J71" s="797">
        <v>0.59640000000000004</v>
      </c>
      <c r="K71" s="797">
        <v>0.59640000000000004</v>
      </c>
      <c r="L71" s="797">
        <v>0.59640000000000004</v>
      </c>
      <c r="M71" s="797">
        <v>0.59640000000000004</v>
      </c>
    </row>
    <row r="72" spans="1:13">
      <c r="A72" s="790">
        <v>7</v>
      </c>
      <c r="B72" s="797">
        <v>0.87819999999999998</v>
      </c>
      <c r="C72" s="797">
        <v>0.87819999999999998</v>
      </c>
      <c r="D72" s="797">
        <v>0.76749999999999996</v>
      </c>
      <c r="E72" s="797">
        <v>0.76749999999999996</v>
      </c>
      <c r="F72" s="797">
        <v>0.76749999999999996</v>
      </c>
      <c r="G72" s="797">
        <v>0.76749999999999996</v>
      </c>
      <c r="H72" s="797">
        <v>0.76749999999999996</v>
      </c>
      <c r="I72" s="797">
        <v>0.59360000000000002</v>
      </c>
      <c r="J72" s="797">
        <v>0.59360000000000002</v>
      </c>
      <c r="K72" s="797">
        <v>0.59360000000000002</v>
      </c>
      <c r="L72" s="797">
        <v>0.59360000000000002</v>
      </c>
      <c r="M72" s="797">
        <v>0.59360000000000002</v>
      </c>
    </row>
    <row r="73" spans="1:13">
      <c r="A73" s="790">
        <v>7.1</v>
      </c>
      <c r="B73" s="797">
        <v>0.87660000000000005</v>
      </c>
      <c r="C73" s="797">
        <v>0.87660000000000005</v>
      </c>
      <c r="D73" s="797">
        <v>0.76570000000000005</v>
      </c>
      <c r="E73" s="797">
        <v>0.76570000000000005</v>
      </c>
      <c r="F73" s="797">
        <v>0.76570000000000005</v>
      </c>
      <c r="G73" s="797">
        <v>0.76570000000000005</v>
      </c>
      <c r="H73" s="797">
        <v>0.76570000000000005</v>
      </c>
      <c r="I73" s="797">
        <v>0.59109999999999996</v>
      </c>
      <c r="J73" s="797">
        <v>0.59109999999999996</v>
      </c>
      <c r="K73" s="797">
        <v>0.59109999999999996</v>
      </c>
      <c r="L73" s="797">
        <v>0.59109999999999996</v>
      </c>
      <c r="M73" s="797">
        <v>0.59109999999999996</v>
      </c>
    </row>
    <row r="74" spans="1:13">
      <c r="A74" s="790">
        <v>7.2</v>
      </c>
      <c r="B74" s="797">
        <v>0.87490000000000001</v>
      </c>
      <c r="C74" s="797">
        <v>0.87490000000000001</v>
      </c>
      <c r="D74" s="797">
        <v>0.76380000000000003</v>
      </c>
      <c r="E74" s="797">
        <v>0.76380000000000003</v>
      </c>
      <c r="F74" s="797">
        <v>0.76380000000000003</v>
      </c>
      <c r="G74" s="797">
        <v>0.76380000000000003</v>
      </c>
      <c r="H74" s="797">
        <v>0.76380000000000003</v>
      </c>
      <c r="I74" s="797">
        <v>0.58860000000000001</v>
      </c>
      <c r="J74" s="797">
        <v>0.58860000000000001</v>
      </c>
      <c r="K74" s="797">
        <v>0.58860000000000001</v>
      </c>
      <c r="L74" s="797">
        <v>0.58860000000000001</v>
      </c>
      <c r="M74" s="797">
        <v>0.58860000000000001</v>
      </c>
    </row>
    <row r="75" spans="1:13">
      <c r="A75" s="790">
        <v>7.3</v>
      </c>
      <c r="B75" s="797">
        <v>0.87329999999999997</v>
      </c>
      <c r="C75" s="797">
        <v>0.87329999999999997</v>
      </c>
      <c r="D75" s="797">
        <v>0.76200000000000001</v>
      </c>
      <c r="E75" s="797">
        <v>0.76200000000000001</v>
      </c>
      <c r="F75" s="797">
        <v>0.76200000000000001</v>
      </c>
      <c r="G75" s="797">
        <v>0.76200000000000001</v>
      </c>
      <c r="H75" s="797">
        <v>0.76200000000000001</v>
      </c>
      <c r="I75" s="797">
        <v>0.58620000000000005</v>
      </c>
      <c r="J75" s="797">
        <v>0.58620000000000005</v>
      </c>
      <c r="K75" s="797">
        <v>0.58620000000000005</v>
      </c>
      <c r="L75" s="797">
        <v>0.58620000000000005</v>
      </c>
      <c r="M75" s="797">
        <v>0.58620000000000005</v>
      </c>
    </row>
    <row r="76" spans="1:13">
      <c r="A76" s="790">
        <v>7.4</v>
      </c>
      <c r="B76" s="797">
        <v>0.87160000000000004</v>
      </c>
      <c r="C76" s="797">
        <v>0.87160000000000004</v>
      </c>
      <c r="D76" s="797">
        <v>0.76029999999999998</v>
      </c>
      <c r="E76" s="797">
        <v>0.76029999999999998</v>
      </c>
      <c r="F76" s="797">
        <v>0.76029999999999998</v>
      </c>
      <c r="G76" s="797">
        <v>0.76029999999999998</v>
      </c>
      <c r="H76" s="797">
        <v>0.76029999999999998</v>
      </c>
      <c r="I76" s="797">
        <v>0.58379999999999999</v>
      </c>
      <c r="J76" s="797">
        <v>0.58379999999999999</v>
      </c>
      <c r="K76" s="797">
        <v>0.58379999999999999</v>
      </c>
      <c r="L76" s="797">
        <v>0.58379999999999999</v>
      </c>
      <c r="M76" s="797">
        <v>0.58379999999999999</v>
      </c>
    </row>
    <row r="77" spans="1:13">
      <c r="A77" s="790">
        <v>7.5</v>
      </c>
      <c r="B77" s="797">
        <v>0.87</v>
      </c>
      <c r="C77" s="797">
        <v>0.87</v>
      </c>
      <c r="D77" s="797">
        <v>0.75849999999999995</v>
      </c>
      <c r="E77" s="797">
        <v>0.75849999999999995</v>
      </c>
      <c r="F77" s="797">
        <v>0.75849999999999995</v>
      </c>
      <c r="G77" s="797">
        <v>0.75849999999999995</v>
      </c>
      <c r="H77" s="797">
        <v>0.75849999999999995</v>
      </c>
      <c r="I77" s="797">
        <v>0.58140000000000003</v>
      </c>
      <c r="J77" s="797">
        <v>0.58140000000000003</v>
      </c>
      <c r="K77" s="797">
        <v>0.58140000000000003</v>
      </c>
      <c r="L77" s="797">
        <v>0.58140000000000003</v>
      </c>
      <c r="M77" s="797">
        <v>0.58140000000000003</v>
      </c>
    </row>
    <row r="78" spans="1:13">
      <c r="A78" s="790">
        <v>7.6</v>
      </c>
      <c r="B78" s="797">
        <v>0.86839999999999995</v>
      </c>
      <c r="C78" s="797">
        <v>0.86839999999999995</v>
      </c>
      <c r="D78" s="797">
        <v>0.75680000000000003</v>
      </c>
      <c r="E78" s="797">
        <v>0.75680000000000003</v>
      </c>
      <c r="F78" s="797">
        <v>0.75680000000000003</v>
      </c>
      <c r="G78" s="797">
        <v>0.75680000000000003</v>
      </c>
      <c r="H78" s="797">
        <v>0.75680000000000003</v>
      </c>
      <c r="I78" s="797">
        <v>0.57899999999999996</v>
      </c>
      <c r="J78" s="797">
        <v>0.57899999999999996</v>
      </c>
      <c r="K78" s="797">
        <v>0.57899999999999996</v>
      </c>
      <c r="L78" s="797">
        <v>0.57899999999999996</v>
      </c>
      <c r="M78" s="797">
        <v>0.57899999999999996</v>
      </c>
    </row>
    <row r="79" spans="1:13">
      <c r="A79" s="790">
        <v>7.7</v>
      </c>
      <c r="B79" s="797">
        <v>0.8669</v>
      </c>
      <c r="C79" s="797">
        <v>0.8669</v>
      </c>
      <c r="D79" s="797">
        <v>0.755</v>
      </c>
      <c r="E79" s="797">
        <v>0.755</v>
      </c>
      <c r="F79" s="797">
        <v>0.755</v>
      </c>
      <c r="G79" s="797">
        <v>0.755</v>
      </c>
      <c r="H79" s="797">
        <v>0.755</v>
      </c>
      <c r="I79" s="797">
        <v>0.57669999999999999</v>
      </c>
      <c r="J79" s="797">
        <v>0.57669999999999999</v>
      </c>
      <c r="K79" s="797">
        <v>0.57669999999999999</v>
      </c>
      <c r="L79" s="797">
        <v>0.57669999999999999</v>
      </c>
      <c r="M79" s="797">
        <v>0.57669999999999999</v>
      </c>
    </row>
    <row r="80" spans="1:13">
      <c r="A80" s="790">
        <v>7.8</v>
      </c>
      <c r="B80" s="797">
        <v>0.86539999999999995</v>
      </c>
      <c r="C80" s="797">
        <v>0.86539999999999995</v>
      </c>
      <c r="D80" s="797">
        <v>0.75329999999999997</v>
      </c>
      <c r="E80" s="797">
        <v>0.75329999999999997</v>
      </c>
      <c r="F80" s="797">
        <v>0.75329999999999997</v>
      </c>
      <c r="G80" s="797">
        <v>0.75329999999999997</v>
      </c>
      <c r="H80" s="797">
        <v>0.75329999999999997</v>
      </c>
      <c r="I80" s="797">
        <v>0.57450000000000001</v>
      </c>
      <c r="J80" s="797">
        <v>0.57450000000000001</v>
      </c>
      <c r="K80" s="797">
        <v>0.57450000000000001</v>
      </c>
      <c r="L80" s="797">
        <v>0.57450000000000001</v>
      </c>
      <c r="M80" s="797">
        <v>0.57450000000000001</v>
      </c>
    </row>
    <row r="81" spans="1:13">
      <c r="A81" s="790">
        <v>7.9</v>
      </c>
      <c r="B81" s="797">
        <v>0.86380000000000001</v>
      </c>
      <c r="C81" s="797">
        <v>0.86380000000000001</v>
      </c>
      <c r="D81" s="797">
        <v>0.75170000000000003</v>
      </c>
      <c r="E81" s="797">
        <v>0.75170000000000003</v>
      </c>
      <c r="F81" s="797">
        <v>0.75170000000000003</v>
      </c>
      <c r="G81" s="797">
        <v>0.75170000000000003</v>
      </c>
      <c r="H81" s="797">
        <v>0.75170000000000003</v>
      </c>
      <c r="I81" s="797">
        <v>0.57220000000000004</v>
      </c>
      <c r="J81" s="797">
        <v>0.57220000000000004</v>
      </c>
      <c r="K81" s="797">
        <v>0.57220000000000004</v>
      </c>
      <c r="L81" s="797">
        <v>0.57220000000000004</v>
      </c>
      <c r="M81" s="797">
        <v>0.57220000000000004</v>
      </c>
    </row>
    <row r="82" spans="1:13">
      <c r="A82" s="790">
        <v>8</v>
      </c>
      <c r="B82" s="797">
        <v>0.86240000000000006</v>
      </c>
      <c r="C82" s="797">
        <v>0.86240000000000006</v>
      </c>
      <c r="D82" s="797">
        <v>0.75</v>
      </c>
      <c r="E82" s="797">
        <v>0.75</v>
      </c>
      <c r="F82" s="797">
        <v>0.75</v>
      </c>
      <c r="G82" s="797">
        <v>0.75</v>
      </c>
      <c r="H82" s="797">
        <v>0.75</v>
      </c>
      <c r="I82" s="797">
        <v>0.56989999999999996</v>
      </c>
      <c r="J82" s="797">
        <v>0.56989999999999996</v>
      </c>
      <c r="K82" s="797">
        <v>0.56989999999999996</v>
      </c>
      <c r="L82" s="797">
        <v>0.56989999999999996</v>
      </c>
      <c r="M82" s="797">
        <v>0.56989999999999996</v>
      </c>
    </row>
    <row r="83" spans="1:13">
      <c r="A83" s="790">
        <v>8.1</v>
      </c>
      <c r="B83" s="797">
        <v>0.86099999999999999</v>
      </c>
      <c r="C83" s="797">
        <v>0.86099999999999999</v>
      </c>
      <c r="D83" s="797">
        <v>0.74850000000000005</v>
      </c>
      <c r="E83" s="797">
        <v>0.74850000000000005</v>
      </c>
      <c r="F83" s="797">
        <v>0.74850000000000005</v>
      </c>
      <c r="G83" s="797">
        <v>0.74850000000000005</v>
      </c>
      <c r="H83" s="797">
        <v>0.74850000000000005</v>
      </c>
      <c r="I83" s="797">
        <v>0.56779999999999997</v>
      </c>
      <c r="J83" s="797">
        <v>0.56779999999999997</v>
      </c>
      <c r="K83" s="797">
        <v>0.56779999999999997</v>
      </c>
      <c r="L83" s="797">
        <v>0.56779999999999997</v>
      </c>
      <c r="M83" s="797">
        <v>0.56779999999999997</v>
      </c>
    </row>
    <row r="84" spans="1:13">
      <c r="A84" s="790">
        <v>8.1999999999999993</v>
      </c>
      <c r="B84" s="797">
        <v>0.85970000000000002</v>
      </c>
      <c r="C84" s="797">
        <v>0.85970000000000002</v>
      </c>
      <c r="D84" s="797">
        <v>0.747</v>
      </c>
      <c r="E84" s="797">
        <v>0.747</v>
      </c>
      <c r="F84" s="797">
        <v>0.747</v>
      </c>
      <c r="G84" s="797">
        <v>0.747</v>
      </c>
      <c r="H84" s="797">
        <v>0.747</v>
      </c>
      <c r="I84" s="797">
        <v>0.56589999999999996</v>
      </c>
      <c r="J84" s="797">
        <v>0.56589999999999996</v>
      </c>
      <c r="K84" s="797">
        <v>0.56589999999999996</v>
      </c>
      <c r="L84" s="797">
        <v>0.56589999999999996</v>
      </c>
      <c r="M84" s="797">
        <v>0.56589999999999996</v>
      </c>
    </row>
    <row r="85" spans="1:13">
      <c r="A85" s="790">
        <v>8.3000000000000007</v>
      </c>
      <c r="B85" s="797">
        <v>0.85840000000000005</v>
      </c>
      <c r="C85" s="797">
        <v>0.85840000000000005</v>
      </c>
      <c r="D85" s="797">
        <v>0.74560000000000004</v>
      </c>
      <c r="E85" s="797">
        <v>0.74560000000000004</v>
      </c>
      <c r="F85" s="797">
        <v>0.74560000000000004</v>
      </c>
      <c r="G85" s="797">
        <v>0.74560000000000004</v>
      </c>
      <c r="H85" s="797">
        <v>0.74560000000000004</v>
      </c>
      <c r="I85" s="797">
        <v>0.56389999999999996</v>
      </c>
      <c r="J85" s="797">
        <v>0.56389999999999996</v>
      </c>
      <c r="K85" s="797">
        <v>0.56389999999999996</v>
      </c>
      <c r="L85" s="797">
        <v>0.56389999999999996</v>
      </c>
      <c r="M85" s="797">
        <v>0.56389999999999996</v>
      </c>
    </row>
    <row r="86" spans="1:13">
      <c r="A86" s="790">
        <v>8.4</v>
      </c>
      <c r="B86" s="797">
        <v>0.85709999999999997</v>
      </c>
      <c r="C86" s="797">
        <v>0.85709999999999997</v>
      </c>
      <c r="D86" s="797">
        <v>0.74419999999999997</v>
      </c>
      <c r="E86" s="797">
        <v>0.74419999999999997</v>
      </c>
      <c r="F86" s="797">
        <v>0.74419999999999997</v>
      </c>
      <c r="G86" s="797">
        <v>0.74419999999999997</v>
      </c>
      <c r="H86" s="797">
        <v>0.74419999999999997</v>
      </c>
      <c r="I86" s="797">
        <v>0.56189999999999996</v>
      </c>
      <c r="J86" s="797">
        <v>0.56189999999999996</v>
      </c>
      <c r="K86" s="797">
        <v>0.56189999999999996</v>
      </c>
      <c r="L86" s="797">
        <v>0.56189999999999996</v>
      </c>
      <c r="M86" s="797">
        <v>0.56189999999999996</v>
      </c>
    </row>
    <row r="87" spans="1:13">
      <c r="A87" s="790">
        <v>8.5</v>
      </c>
      <c r="B87" s="797">
        <v>0.85580000000000001</v>
      </c>
      <c r="C87" s="797">
        <v>0.85580000000000001</v>
      </c>
      <c r="D87" s="797">
        <v>0.74270000000000003</v>
      </c>
      <c r="E87" s="797">
        <v>0.74270000000000003</v>
      </c>
      <c r="F87" s="797">
        <v>0.74270000000000003</v>
      </c>
      <c r="G87" s="797">
        <v>0.74270000000000003</v>
      </c>
      <c r="H87" s="797">
        <v>0.74270000000000003</v>
      </c>
      <c r="I87" s="797">
        <v>0.55989999999999995</v>
      </c>
      <c r="J87" s="797">
        <v>0.55989999999999995</v>
      </c>
      <c r="K87" s="797">
        <v>0.55989999999999995</v>
      </c>
      <c r="L87" s="797">
        <v>0.55989999999999995</v>
      </c>
      <c r="M87" s="797">
        <v>0.55989999999999995</v>
      </c>
    </row>
    <row r="88" spans="1:13">
      <c r="A88" s="790">
        <v>8.6</v>
      </c>
      <c r="B88" s="797">
        <v>0.85450000000000004</v>
      </c>
      <c r="C88" s="797">
        <v>0.85450000000000004</v>
      </c>
      <c r="D88" s="797">
        <v>0.74129999999999996</v>
      </c>
      <c r="E88" s="797">
        <v>0.74129999999999996</v>
      </c>
      <c r="F88" s="797">
        <v>0.74129999999999996</v>
      </c>
      <c r="G88" s="797">
        <v>0.74129999999999996</v>
      </c>
      <c r="H88" s="797">
        <v>0.74129999999999996</v>
      </c>
      <c r="I88" s="797">
        <v>0.55800000000000005</v>
      </c>
      <c r="J88" s="797">
        <v>0.55800000000000005</v>
      </c>
      <c r="K88" s="797">
        <v>0.55800000000000005</v>
      </c>
      <c r="L88" s="797">
        <v>0.55800000000000005</v>
      </c>
      <c r="M88" s="797">
        <v>0.55800000000000005</v>
      </c>
    </row>
    <row r="89" spans="1:13">
      <c r="A89" s="790">
        <v>8.6999999999999993</v>
      </c>
      <c r="B89" s="797">
        <v>0.85329999999999995</v>
      </c>
      <c r="C89" s="797">
        <v>0.85329999999999995</v>
      </c>
      <c r="D89" s="797">
        <v>0.7399</v>
      </c>
      <c r="E89" s="797">
        <v>0.7399</v>
      </c>
      <c r="F89" s="797">
        <v>0.7399</v>
      </c>
      <c r="G89" s="797">
        <v>0.7399</v>
      </c>
      <c r="H89" s="797">
        <v>0.7399</v>
      </c>
      <c r="I89" s="797">
        <v>0.55600000000000005</v>
      </c>
      <c r="J89" s="797">
        <v>0.55600000000000005</v>
      </c>
      <c r="K89" s="797">
        <v>0.55600000000000005</v>
      </c>
      <c r="L89" s="797">
        <v>0.55600000000000005</v>
      </c>
      <c r="M89" s="797">
        <v>0.55600000000000005</v>
      </c>
    </row>
    <row r="90" spans="1:13">
      <c r="A90" s="790">
        <v>8.8000000000000007</v>
      </c>
      <c r="B90" s="797">
        <v>0.85209999999999997</v>
      </c>
      <c r="C90" s="797">
        <v>0.85209999999999997</v>
      </c>
      <c r="D90" s="797">
        <v>0.73850000000000005</v>
      </c>
      <c r="E90" s="797">
        <v>0.73850000000000005</v>
      </c>
      <c r="F90" s="797">
        <v>0.73850000000000005</v>
      </c>
      <c r="G90" s="797">
        <v>0.73850000000000005</v>
      </c>
      <c r="H90" s="797">
        <v>0.73850000000000005</v>
      </c>
      <c r="I90" s="797">
        <v>0.55420000000000003</v>
      </c>
      <c r="J90" s="797">
        <v>0.55420000000000003</v>
      </c>
      <c r="K90" s="797">
        <v>0.55420000000000003</v>
      </c>
      <c r="L90" s="797">
        <v>0.55420000000000003</v>
      </c>
      <c r="M90" s="797">
        <v>0.55420000000000003</v>
      </c>
    </row>
    <row r="91" spans="1:13">
      <c r="A91" s="790">
        <v>8.9</v>
      </c>
      <c r="B91" s="797">
        <v>0.85099999999999998</v>
      </c>
      <c r="C91" s="797">
        <v>0.85099999999999998</v>
      </c>
      <c r="D91" s="797">
        <v>0.73719999999999997</v>
      </c>
      <c r="E91" s="797">
        <v>0.73719999999999997</v>
      </c>
      <c r="F91" s="797">
        <v>0.73719999999999997</v>
      </c>
      <c r="G91" s="797">
        <v>0.73719999999999997</v>
      </c>
      <c r="H91" s="797">
        <v>0.73719999999999997</v>
      </c>
      <c r="I91" s="797">
        <v>0.55230000000000001</v>
      </c>
      <c r="J91" s="797">
        <v>0.55230000000000001</v>
      </c>
      <c r="K91" s="797">
        <v>0.55230000000000001</v>
      </c>
      <c r="L91" s="797">
        <v>0.55230000000000001</v>
      </c>
      <c r="M91" s="797">
        <v>0.55230000000000001</v>
      </c>
    </row>
    <row r="92" spans="1:13">
      <c r="A92" s="804">
        <v>9</v>
      </c>
      <c r="B92" s="797">
        <v>0.8498</v>
      </c>
      <c r="C92" s="797">
        <v>0.8498</v>
      </c>
      <c r="D92" s="797">
        <v>0.7359</v>
      </c>
      <c r="E92" s="797">
        <v>0.7359</v>
      </c>
      <c r="F92" s="797">
        <v>0.7359</v>
      </c>
      <c r="G92" s="797">
        <v>0.7359</v>
      </c>
      <c r="H92" s="797">
        <v>0.7359</v>
      </c>
      <c r="I92" s="797">
        <v>0.55049999999999999</v>
      </c>
      <c r="J92" s="797">
        <v>0.55049999999999999</v>
      </c>
      <c r="K92" s="797">
        <v>0.55049999999999999</v>
      </c>
      <c r="L92" s="797">
        <v>0.55049999999999999</v>
      </c>
      <c r="M92" s="797">
        <v>0.55049999999999999</v>
      </c>
    </row>
    <row r="93" spans="1:13">
      <c r="A93" s="804">
        <v>9.1</v>
      </c>
      <c r="B93" s="797">
        <v>0.84870000000000001</v>
      </c>
      <c r="C93" s="797">
        <v>0.84870000000000001</v>
      </c>
      <c r="D93" s="797">
        <v>0.73470000000000002</v>
      </c>
      <c r="E93" s="797">
        <v>0.73470000000000002</v>
      </c>
      <c r="F93" s="797">
        <v>0.73470000000000002</v>
      </c>
      <c r="G93" s="797">
        <v>0.73470000000000002</v>
      </c>
      <c r="H93" s="797">
        <v>0.73470000000000002</v>
      </c>
      <c r="I93" s="797">
        <v>0.54879999999999995</v>
      </c>
      <c r="J93" s="797">
        <v>0.54879999999999995</v>
      </c>
      <c r="K93" s="797">
        <v>0.54879999999999995</v>
      </c>
      <c r="L93" s="797">
        <v>0.54879999999999995</v>
      </c>
      <c r="M93" s="797">
        <v>0.54879999999999995</v>
      </c>
    </row>
    <row r="94" spans="1:13">
      <c r="A94" s="804">
        <v>9.1999999999999993</v>
      </c>
      <c r="B94" s="797">
        <v>0.84770000000000001</v>
      </c>
      <c r="C94" s="797">
        <v>0.84770000000000001</v>
      </c>
      <c r="D94" s="797">
        <v>0.73350000000000004</v>
      </c>
      <c r="E94" s="797">
        <v>0.73350000000000004</v>
      </c>
      <c r="F94" s="797">
        <v>0.73350000000000004</v>
      </c>
      <c r="G94" s="797">
        <v>0.73350000000000004</v>
      </c>
      <c r="H94" s="797">
        <v>0.73350000000000004</v>
      </c>
      <c r="I94" s="797">
        <v>0.54710000000000003</v>
      </c>
      <c r="J94" s="797">
        <v>0.54710000000000003</v>
      </c>
      <c r="K94" s="797">
        <v>0.54710000000000003</v>
      </c>
      <c r="L94" s="797">
        <v>0.54710000000000003</v>
      </c>
      <c r="M94" s="797">
        <v>0.54710000000000003</v>
      </c>
    </row>
    <row r="95" spans="1:13">
      <c r="A95" s="804">
        <v>9.3000000000000007</v>
      </c>
      <c r="B95" s="797">
        <v>0.84660000000000002</v>
      </c>
      <c r="C95" s="797">
        <v>0.84660000000000002</v>
      </c>
      <c r="D95" s="797">
        <v>0.73229999999999995</v>
      </c>
      <c r="E95" s="797">
        <v>0.73229999999999995</v>
      </c>
      <c r="F95" s="797">
        <v>0.73229999999999995</v>
      </c>
      <c r="G95" s="797">
        <v>0.73229999999999995</v>
      </c>
      <c r="H95" s="797">
        <v>0.73229999999999995</v>
      </c>
      <c r="I95" s="797">
        <v>0.5454</v>
      </c>
      <c r="J95" s="797">
        <v>0.5454</v>
      </c>
      <c r="K95" s="797">
        <v>0.5454</v>
      </c>
      <c r="L95" s="797">
        <v>0.5454</v>
      </c>
      <c r="M95" s="797">
        <v>0.5454</v>
      </c>
    </row>
    <row r="96" spans="1:13">
      <c r="A96" s="804">
        <v>9.4</v>
      </c>
      <c r="B96" s="797">
        <v>0.84550000000000003</v>
      </c>
      <c r="C96" s="797">
        <v>0.84550000000000003</v>
      </c>
      <c r="D96" s="797">
        <v>0.73109999999999997</v>
      </c>
      <c r="E96" s="797">
        <v>0.73109999999999997</v>
      </c>
      <c r="F96" s="797">
        <v>0.73109999999999997</v>
      </c>
      <c r="G96" s="797">
        <v>0.73109999999999997</v>
      </c>
      <c r="H96" s="797">
        <v>0.73109999999999997</v>
      </c>
      <c r="I96" s="797">
        <v>0.54369999999999996</v>
      </c>
      <c r="J96" s="797">
        <v>0.54369999999999996</v>
      </c>
      <c r="K96" s="797">
        <v>0.54369999999999996</v>
      </c>
      <c r="L96" s="797">
        <v>0.54369999999999996</v>
      </c>
      <c r="M96" s="797">
        <v>0.54369999999999996</v>
      </c>
    </row>
    <row r="97" spans="1:14">
      <c r="A97" s="804">
        <v>9.5</v>
      </c>
      <c r="B97" s="797">
        <v>0.84450000000000003</v>
      </c>
      <c r="C97" s="797">
        <v>0.84450000000000003</v>
      </c>
      <c r="D97" s="797">
        <v>0.72989999999999999</v>
      </c>
      <c r="E97" s="797">
        <v>0.72989999999999999</v>
      </c>
      <c r="F97" s="797">
        <v>0.72989999999999999</v>
      </c>
      <c r="G97" s="797">
        <v>0.72989999999999999</v>
      </c>
      <c r="H97" s="797">
        <v>0.72989999999999999</v>
      </c>
      <c r="I97" s="797">
        <v>0.54200000000000004</v>
      </c>
      <c r="J97" s="797">
        <v>0.54200000000000004</v>
      </c>
      <c r="K97" s="797">
        <v>0.54200000000000004</v>
      </c>
      <c r="L97" s="797">
        <v>0.54200000000000004</v>
      </c>
      <c r="M97" s="797">
        <v>0.54200000000000004</v>
      </c>
    </row>
    <row r="98" spans="1:14">
      <c r="A98" s="804">
        <v>9.6</v>
      </c>
      <c r="B98" s="797">
        <v>0.84340000000000004</v>
      </c>
      <c r="C98" s="797">
        <v>0.84340000000000004</v>
      </c>
      <c r="D98" s="797">
        <v>0.72870000000000001</v>
      </c>
      <c r="E98" s="797">
        <v>0.72870000000000001</v>
      </c>
      <c r="F98" s="797">
        <v>0.72870000000000001</v>
      </c>
      <c r="G98" s="797">
        <v>0.72870000000000001</v>
      </c>
      <c r="H98" s="797">
        <v>0.72870000000000001</v>
      </c>
      <c r="I98" s="797">
        <v>0.5403</v>
      </c>
      <c r="J98" s="797">
        <v>0.5403</v>
      </c>
      <c r="K98" s="797">
        <v>0.5403</v>
      </c>
      <c r="L98" s="797">
        <v>0.5403</v>
      </c>
      <c r="M98" s="797">
        <v>0.5403</v>
      </c>
    </row>
    <row r="99" spans="1:14">
      <c r="A99" s="804">
        <v>9.6999999999999993</v>
      </c>
      <c r="B99" s="797">
        <v>0.84230000000000005</v>
      </c>
      <c r="C99" s="797">
        <v>0.84230000000000005</v>
      </c>
      <c r="D99" s="797">
        <v>0.72750000000000004</v>
      </c>
      <c r="E99" s="797">
        <v>0.72750000000000004</v>
      </c>
      <c r="F99" s="797">
        <v>0.72750000000000004</v>
      </c>
      <c r="G99" s="797">
        <v>0.72750000000000004</v>
      </c>
      <c r="H99" s="797">
        <v>0.72750000000000004</v>
      </c>
      <c r="I99" s="797">
        <v>0.53859999999999997</v>
      </c>
      <c r="J99" s="797">
        <v>0.53859999999999997</v>
      </c>
      <c r="K99" s="797">
        <v>0.53859999999999997</v>
      </c>
      <c r="L99" s="797">
        <v>0.53859999999999997</v>
      </c>
      <c r="M99" s="797">
        <v>0.53859999999999997</v>
      </c>
    </row>
    <row r="100" spans="1:14">
      <c r="A100" s="804">
        <v>9.8000000000000007</v>
      </c>
      <c r="B100" s="797">
        <v>0.84140000000000004</v>
      </c>
      <c r="C100" s="797">
        <v>0.84140000000000004</v>
      </c>
      <c r="D100" s="797">
        <v>0.72629999999999995</v>
      </c>
      <c r="E100" s="797">
        <v>0.72629999999999995</v>
      </c>
      <c r="F100" s="797">
        <v>0.72629999999999995</v>
      </c>
      <c r="G100" s="797">
        <v>0.72629999999999995</v>
      </c>
      <c r="H100" s="797">
        <v>0.72629999999999995</v>
      </c>
      <c r="I100" s="797">
        <v>0.53710000000000002</v>
      </c>
      <c r="J100" s="797">
        <v>0.53710000000000002</v>
      </c>
      <c r="K100" s="797">
        <v>0.53710000000000002</v>
      </c>
      <c r="L100" s="797">
        <v>0.53710000000000002</v>
      </c>
      <c r="M100" s="797">
        <v>0.53710000000000002</v>
      </c>
    </row>
    <row r="101" spans="1:14">
      <c r="A101" s="804">
        <v>9.9</v>
      </c>
      <c r="B101" s="797">
        <v>0.84050000000000002</v>
      </c>
      <c r="C101" s="797">
        <v>0.84050000000000002</v>
      </c>
      <c r="D101" s="797">
        <v>0.72519999999999996</v>
      </c>
      <c r="E101" s="797">
        <v>0.72519999999999996</v>
      </c>
      <c r="F101" s="797">
        <v>0.72519999999999996</v>
      </c>
      <c r="G101" s="797">
        <v>0.72519999999999996</v>
      </c>
      <c r="H101" s="797">
        <v>0.72519999999999996</v>
      </c>
      <c r="I101" s="797">
        <v>0.53549999999999998</v>
      </c>
      <c r="J101" s="797">
        <v>0.53549999999999998</v>
      </c>
      <c r="K101" s="797">
        <v>0.53549999999999998</v>
      </c>
      <c r="L101" s="797">
        <v>0.53549999999999998</v>
      </c>
      <c r="M101" s="797">
        <v>0.53549999999999998</v>
      </c>
    </row>
    <row r="102" spans="1:14">
      <c r="A102" s="804">
        <v>10</v>
      </c>
      <c r="B102" s="797">
        <v>0.83950000000000002</v>
      </c>
      <c r="C102" s="797">
        <v>0.83950000000000002</v>
      </c>
      <c r="D102" s="797">
        <v>0.72409999999999997</v>
      </c>
      <c r="E102" s="797">
        <v>0.72409999999999997</v>
      </c>
      <c r="F102" s="797">
        <v>0.72409999999999997</v>
      </c>
      <c r="G102" s="797">
        <v>0.72409999999999997</v>
      </c>
      <c r="H102" s="797">
        <v>0.72409999999999997</v>
      </c>
      <c r="I102" s="797">
        <v>0.53400000000000003</v>
      </c>
      <c r="J102" s="797">
        <v>0.53400000000000003</v>
      </c>
      <c r="K102" s="797">
        <v>0.53400000000000003</v>
      </c>
      <c r="L102" s="797">
        <v>0.53400000000000003</v>
      </c>
      <c r="M102" s="797">
        <v>0.53400000000000003</v>
      </c>
    </row>
    <row r="103" spans="1:14" ht="14.25">
      <c r="A103" s="788" t="s">
        <v>748</v>
      </c>
      <c r="B103" s="789"/>
      <c r="C103" s="789"/>
      <c r="D103" s="789"/>
      <c r="E103" s="789"/>
      <c r="F103" s="789"/>
      <c r="G103" s="789"/>
      <c r="H103" s="789"/>
      <c r="I103" s="789"/>
      <c r="J103" s="789"/>
      <c r="K103" s="789"/>
      <c r="L103" s="789"/>
      <c r="M103" s="789"/>
      <c r="N103" s="789"/>
    </row>
    <row r="104" spans="1:14" ht="14.25">
      <c r="A104" s="790" t="s">
        <v>746</v>
      </c>
      <c r="B104" s="791" t="s">
        <v>157</v>
      </c>
      <c r="C104" s="791" t="s">
        <v>158</v>
      </c>
      <c r="D104" s="791" t="s">
        <v>159</v>
      </c>
      <c r="E104" s="791" t="s">
        <v>160</v>
      </c>
      <c r="F104" s="791" t="s">
        <v>161</v>
      </c>
      <c r="G104" s="791" t="s">
        <v>162</v>
      </c>
      <c r="H104" s="792" t="s">
        <v>163</v>
      </c>
      <c r="I104" s="792" t="s">
        <v>164</v>
      </c>
      <c r="J104" s="793" t="s">
        <v>165</v>
      </c>
      <c r="K104" s="793" t="s">
        <v>166</v>
      </c>
      <c r="L104" s="793" t="s">
        <v>167</v>
      </c>
      <c r="M104" s="793" t="s">
        <v>168</v>
      </c>
      <c r="N104" s="789">
        <f>SUMPRODUCT((A105:A204=ROUNDDOWN(基准地价修正!G3,1))*(B104:M104=基准地价修正!G2)*(B105:M204))</f>
        <v>1</v>
      </c>
    </row>
    <row r="105" spans="1:14">
      <c r="A105" s="790">
        <v>0.1</v>
      </c>
      <c r="B105" s="797">
        <v>13.733000000000001</v>
      </c>
      <c r="C105" s="797">
        <v>13.733000000000001</v>
      </c>
      <c r="D105" s="797">
        <v>12.787000000000001</v>
      </c>
      <c r="E105" s="797">
        <v>12.787000000000001</v>
      </c>
      <c r="F105" s="797">
        <v>12.787000000000001</v>
      </c>
      <c r="G105" s="797">
        <v>12.787000000000001</v>
      </c>
      <c r="H105" s="797">
        <v>12.787000000000001</v>
      </c>
      <c r="I105" s="797">
        <v>12.384</v>
      </c>
      <c r="J105" s="797">
        <v>12.384</v>
      </c>
      <c r="K105" s="797">
        <v>12.384</v>
      </c>
      <c r="L105" s="797">
        <v>12.384</v>
      </c>
      <c r="M105" s="797">
        <v>12.384</v>
      </c>
    </row>
    <row r="106" spans="1:14">
      <c r="A106" s="790">
        <v>0.2</v>
      </c>
      <c r="B106" s="797">
        <v>6.8665000000000003</v>
      </c>
      <c r="C106" s="797">
        <v>6.8665000000000003</v>
      </c>
      <c r="D106" s="797">
        <v>6.3935000000000004</v>
      </c>
      <c r="E106" s="797">
        <v>6.3935000000000004</v>
      </c>
      <c r="F106" s="797">
        <v>6.3935000000000004</v>
      </c>
      <c r="G106" s="797">
        <v>6.3935000000000004</v>
      </c>
      <c r="H106" s="797">
        <v>6.3935000000000004</v>
      </c>
      <c r="I106" s="797">
        <v>6.1920000000000002</v>
      </c>
      <c r="J106" s="797">
        <v>6.1920000000000002</v>
      </c>
      <c r="K106" s="797">
        <v>6.1920000000000002</v>
      </c>
      <c r="L106" s="797">
        <v>6.1920000000000002</v>
      </c>
      <c r="M106" s="797">
        <v>6.1920000000000002</v>
      </c>
    </row>
    <row r="107" spans="1:14">
      <c r="A107" s="790">
        <v>0.3</v>
      </c>
      <c r="B107" s="797">
        <v>4.5777000000000001</v>
      </c>
      <c r="C107" s="797">
        <v>4.5777000000000001</v>
      </c>
      <c r="D107" s="797">
        <v>4.2622999999999998</v>
      </c>
      <c r="E107" s="797">
        <v>4.2622999999999998</v>
      </c>
      <c r="F107" s="797">
        <v>4.2622999999999998</v>
      </c>
      <c r="G107" s="797">
        <v>4.2622999999999998</v>
      </c>
      <c r="H107" s="797">
        <v>4.2622999999999998</v>
      </c>
      <c r="I107" s="797">
        <v>4.1280000000000001</v>
      </c>
      <c r="J107" s="797">
        <v>4.1280000000000001</v>
      </c>
      <c r="K107" s="797">
        <v>4.1280000000000001</v>
      </c>
      <c r="L107" s="797">
        <v>4.1280000000000001</v>
      </c>
      <c r="M107" s="797">
        <v>4.1280000000000001</v>
      </c>
    </row>
    <row r="108" spans="1:14">
      <c r="A108" s="790">
        <v>0.4</v>
      </c>
      <c r="B108" s="797">
        <v>3.4333</v>
      </c>
      <c r="C108" s="797">
        <v>3.4333</v>
      </c>
      <c r="D108" s="797">
        <v>3.1968000000000001</v>
      </c>
      <c r="E108" s="797">
        <v>3.1968000000000001</v>
      </c>
      <c r="F108" s="797">
        <v>3.1968000000000001</v>
      </c>
      <c r="G108" s="797">
        <v>3.1968000000000001</v>
      </c>
      <c r="H108" s="797">
        <v>3.1968000000000001</v>
      </c>
      <c r="I108" s="797">
        <v>3.0960000000000001</v>
      </c>
      <c r="J108" s="797">
        <v>3.0960000000000001</v>
      </c>
      <c r="K108" s="797">
        <v>3.0960000000000001</v>
      </c>
      <c r="L108" s="797">
        <v>3.0960000000000001</v>
      </c>
      <c r="M108" s="797">
        <v>3.0960000000000001</v>
      </c>
    </row>
    <row r="109" spans="1:14">
      <c r="A109" s="790">
        <v>0.5</v>
      </c>
      <c r="B109" s="797">
        <v>2.7465999999999999</v>
      </c>
      <c r="C109" s="797">
        <v>2.7465999999999999</v>
      </c>
      <c r="D109" s="797">
        <v>2.5573999999999999</v>
      </c>
      <c r="E109" s="797">
        <v>2.5573999999999999</v>
      </c>
      <c r="F109" s="797">
        <v>2.5573999999999999</v>
      </c>
      <c r="G109" s="797">
        <v>2.5573999999999999</v>
      </c>
      <c r="H109" s="797">
        <v>2.5573999999999999</v>
      </c>
      <c r="I109" s="797">
        <v>2.4767999999999999</v>
      </c>
      <c r="J109" s="797">
        <v>2.4767999999999999</v>
      </c>
      <c r="K109" s="797">
        <v>2.4767999999999999</v>
      </c>
      <c r="L109" s="797">
        <v>2.4767999999999999</v>
      </c>
      <c r="M109" s="797">
        <v>2.4767999999999999</v>
      </c>
    </row>
    <row r="110" spans="1:14">
      <c r="A110" s="790">
        <v>0.6</v>
      </c>
      <c r="B110" s="797">
        <v>2.2888000000000002</v>
      </c>
      <c r="C110" s="797">
        <v>2.2888000000000002</v>
      </c>
      <c r="D110" s="797">
        <v>2.1312000000000002</v>
      </c>
      <c r="E110" s="797">
        <v>2.1312000000000002</v>
      </c>
      <c r="F110" s="797">
        <v>2.1312000000000002</v>
      </c>
      <c r="G110" s="797">
        <v>2.1312000000000002</v>
      </c>
      <c r="H110" s="797">
        <v>2.1312000000000002</v>
      </c>
      <c r="I110" s="797">
        <v>2.0640000000000001</v>
      </c>
      <c r="J110" s="797">
        <v>2.0640000000000001</v>
      </c>
      <c r="K110" s="797">
        <v>2.0640000000000001</v>
      </c>
      <c r="L110" s="797">
        <v>2.0640000000000001</v>
      </c>
      <c r="M110" s="797">
        <v>2.0640000000000001</v>
      </c>
    </row>
    <row r="111" spans="1:14">
      <c r="A111" s="790">
        <v>0.7</v>
      </c>
      <c r="B111" s="797">
        <v>1.9619</v>
      </c>
      <c r="C111" s="797">
        <v>1.9619</v>
      </c>
      <c r="D111" s="797">
        <v>1.8267</v>
      </c>
      <c r="E111" s="797">
        <v>1.8267</v>
      </c>
      <c r="F111" s="797">
        <v>1.8267</v>
      </c>
      <c r="G111" s="797">
        <v>1.8267</v>
      </c>
      <c r="H111" s="797">
        <v>1.8267</v>
      </c>
      <c r="I111" s="797">
        <v>1.7690999999999999</v>
      </c>
      <c r="J111" s="797">
        <v>1.7690999999999999</v>
      </c>
      <c r="K111" s="797">
        <v>1.7690999999999999</v>
      </c>
      <c r="L111" s="797">
        <v>1.7690999999999999</v>
      </c>
      <c r="M111" s="797">
        <v>1.7690999999999999</v>
      </c>
    </row>
    <row r="112" spans="1:14">
      <c r="A112" s="790">
        <v>0.8</v>
      </c>
      <c r="B112" s="797">
        <v>1.7165999999999999</v>
      </c>
      <c r="C112" s="797">
        <v>1.7165999999999999</v>
      </c>
      <c r="D112" s="797">
        <v>1.5984</v>
      </c>
      <c r="E112" s="797">
        <v>1.5984</v>
      </c>
      <c r="F112" s="797">
        <v>1.5984</v>
      </c>
      <c r="G112" s="797">
        <v>1.5984</v>
      </c>
      <c r="H112" s="797">
        <v>1.5984</v>
      </c>
      <c r="I112" s="797">
        <v>1.548</v>
      </c>
      <c r="J112" s="797">
        <v>1.548</v>
      </c>
      <c r="K112" s="797">
        <v>1.548</v>
      </c>
      <c r="L112" s="797">
        <v>1.548</v>
      </c>
      <c r="M112" s="797">
        <v>1.548</v>
      </c>
    </row>
    <row r="113" spans="1:13">
      <c r="A113" s="790">
        <v>0.9</v>
      </c>
      <c r="B113" s="797">
        <v>1.5259</v>
      </c>
      <c r="C113" s="797">
        <v>1.5259</v>
      </c>
      <c r="D113" s="797">
        <v>1.4208000000000001</v>
      </c>
      <c r="E113" s="797">
        <v>1.4208000000000001</v>
      </c>
      <c r="F113" s="797">
        <v>1.4208000000000001</v>
      </c>
      <c r="G113" s="797">
        <v>1.4208000000000001</v>
      </c>
      <c r="H113" s="797">
        <v>1.4208000000000001</v>
      </c>
      <c r="I113" s="797">
        <v>1.3759999999999999</v>
      </c>
      <c r="J113" s="797">
        <v>1.3759999999999999</v>
      </c>
      <c r="K113" s="797">
        <v>1.3759999999999999</v>
      </c>
      <c r="L113" s="797">
        <v>1.3759999999999999</v>
      </c>
      <c r="M113" s="797">
        <v>1.3759999999999999</v>
      </c>
    </row>
    <row r="114" spans="1:13">
      <c r="A114" s="790">
        <v>1</v>
      </c>
      <c r="B114" s="797">
        <v>1.3733</v>
      </c>
      <c r="C114" s="797">
        <v>1.3733</v>
      </c>
      <c r="D114" s="797">
        <v>1.2786999999999999</v>
      </c>
      <c r="E114" s="797">
        <v>1.2786999999999999</v>
      </c>
      <c r="F114" s="797">
        <v>1.2786999999999999</v>
      </c>
      <c r="G114" s="797">
        <v>1.2786999999999999</v>
      </c>
      <c r="H114" s="797">
        <v>1.2786999999999999</v>
      </c>
      <c r="I114" s="797">
        <v>1.2383999999999999</v>
      </c>
      <c r="J114" s="797">
        <v>1.2383999999999999</v>
      </c>
      <c r="K114" s="797">
        <v>1.2383999999999999</v>
      </c>
      <c r="L114" s="797">
        <v>1.2383999999999999</v>
      </c>
      <c r="M114" s="797">
        <v>1.2383999999999999</v>
      </c>
    </row>
    <row r="115" spans="1:13">
      <c r="A115" s="790">
        <v>1.1000000000000001</v>
      </c>
      <c r="B115" s="797">
        <v>1.3489</v>
      </c>
      <c r="C115" s="797">
        <v>1.3489</v>
      </c>
      <c r="D115" s="797">
        <v>1.2542</v>
      </c>
      <c r="E115" s="797">
        <v>1.2542</v>
      </c>
      <c r="F115" s="797">
        <v>1.2542</v>
      </c>
      <c r="G115" s="797">
        <v>1.2542</v>
      </c>
      <c r="H115" s="797">
        <v>1.2542</v>
      </c>
      <c r="I115" s="797">
        <v>1.2050000000000001</v>
      </c>
      <c r="J115" s="797">
        <v>1.2050000000000001</v>
      </c>
      <c r="K115" s="797">
        <v>1.2050000000000001</v>
      </c>
      <c r="L115" s="797">
        <v>1.2050000000000001</v>
      </c>
      <c r="M115" s="797">
        <v>1.2050000000000001</v>
      </c>
    </row>
    <row r="116" spans="1:13">
      <c r="A116" s="790">
        <v>1.2</v>
      </c>
      <c r="B116" s="797">
        <v>1.3255999999999999</v>
      </c>
      <c r="C116" s="797">
        <v>1.3255999999999999</v>
      </c>
      <c r="D116" s="797">
        <v>1.2305999999999999</v>
      </c>
      <c r="E116" s="797">
        <v>1.2305999999999999</v>
      </c>
      <c r="F116" s="797">
        <v>1.2305999999999999</v>
      </c>
      <c r="G116" s="797">
        <v>1.2305999999999999</v>
      </c>
      <c r="H116" s="797">
        <v>1.2305999999999999</v>
      </c>
      <c r="I116" s="797">
        <v>1.1741999999999999</v>
      </c>
      <c r="J116" s="797">
        <v>1.1741999999999999</v>
      </c>
      <c r="K116" s="797">
        <v>1.1741999999999999</v>
      </c>
      <c r="L116" s="797">
        <v>1.1741999999999999</v>
      </c>
      <c r="M116" s="797">
        <v>1.1741999999999999</v>
      </c>
    </row>
    <row r="117" spans="1:13">
      <c r="A117" s="790">
        <v>1.3</v>
      </c>
      <c r="B117" s="797">
        <v>1.3032999999999999</v>
      </c>
      <c r="C117" s="797">
        <v>1.3032999999999999</v>
      </c>
      <c r="D117" s="797">
        <v>1.2079</v>
      </c>
      <c r="E117" s="797">
        <v>1.2079</v>
      </c>
      <c r="F117" s="797">
        <v>1.2079</v>
      </c>
      <c r="G117" s="797">
        <v>1.2079</v>
      </c>
      <c r="H117" s="797">
        <v>1.2079</v>
      </c>
      <c r="I117" s="797">
        <v>1.1459999999999999</v>
      </c>
      <c r="J117" s="797">
        <v>1.1459999999999999</v>
      </c>
      <c r="K117" s="797">
        <v>1.1459999999999999</v>
      </c>
      <c r="L117" s="797">
        <v>1.1459999999999999</v>
      </c>
      <c r="M117" s="797">
        <v>1.1459999999999999</v>
      </c>
    </row>
    <row r="118" spans="1:13">
      <c r="A118" s="790">
        <v>1.4</v>
      </c>
      <c r="B118" s="797">
        <v>1.282</v>
      </c>
      <c r="C118" s="797">
        <v>1.282</v>
      </c>
      <c r="D118" s="797">
        <v>1.1861999999999999</v>
      </c>
      <c r="E118" s="797">
        <v>1.1861999999999999</v>
      </c>
      <c r="F118" s="797">
        <v>1.1861999999999999</v>
      </c>
      <c r="G118" s="797">
        <v>1.1861999999999999</v>
      </c>
      <c r="H118" s="797">
        <v>1.1861999999999999</v>
      </c>
      <c r="I118" s="797">
        <v>1.1200000000000001</v>
      </c>
      <c r="J118" s="797">
        <v>1.1200000000000001</v>
      </c>
      <c r="K118" s="797">
        <v>1.1200000000000001</v>
      </c>
      <c r="L118" s="797">
        <v>1.1200000000000001</v>
      </c>
      <c r="M118" s="797">
        <v>1.1200000000000001</v>
      </c>
    </row>
    <row r="119" spans="1:13">
      <c r="A119" s="790">
        <v>1.5</v>
      </c>
      <c r="B119" s="797">
        <v>1.2617</v>
      </c>
      <c r="C119" s="797">
        <v>1.2617</v>
      </c>
      <c r="D119" s="797">
        <v>1.1653</v>
      </c>
      <c r="E119" s="797">
        <v>1.1653</v>
      </c>
      <c r="F119" s="797">
        <v>1.1653</v>
      </c>
      <c r="G119" s="797">
        <v>1.1653</v>
      </c>
      <c r="H119" s="797">
        <v>1.1653</v>
      </c>
      <c r="I119" s="797">
        <v>1.0961000000000001</v>
      </c>
      <c r="J119" s="797">
        <v>1.0961000000000001</v>
      </c>
      <c r="K119" s="797">
        <v>1.0961000000000001</v>
      </c>
      <c r="L119" s="797">
        <v>1.0961000000000001</v>
      </c>
      <c r="M119" s="797">
        <v>1.0961000000000001</v>
      </c>
    </row>
    <row r="120" spans="1:13">
      <c r="A120" s="790">
        <v>1.6</v>
      </c>
      <c r="B120" s="797">
        <v>1.2423</v>
      </c>
      <c r="C120" s="797">
        <v>1.2423</v>
      </c>
      <c r="D120" s="797">
        <v>1.1453</v>
      </c>
      <c r="E120" s="797">
        <v>1.1453</v>
      </c>
      <c r="F120" s="797">
        <v>1.1453</v>
      </c>
      <c r="G120" s="797">
        <v>1.1453</v>
      </c>
      <c r="H120" s="797">
        <v>1.1453</v>
      </c>
      <c r="I120" s="797">
        <v>1.0740000000000001</v>
      </c>
      <c r="J120" s="797">
        <v>1.0740000000000001</v>
      </c>
      <c r="K120" s="797">
        <v>1.0740000000000001</v>
      </c>
      <c r="L120" s="797">
        <v>1.0740000000000001</v>
      </c>
      <c r="M120" s="797">
        <v>1.0740000000000001</v>
      </c>
    </row>
    <row r="121" spans="1:13">
      <c r="A121" s="790">
        <v>1.7</v>
      </c>
      <c r="B121" s="797">
        <v>1.2237</v>
      </c>
      <c r="C121" s="797">
        <v>1.2237</v>
      </c>
      <c r="D121" s="797">
        <v>1.1261000000000001</v>
      </c>
      <c r="E121" s="797">
        <v>1.1261000000000001</v>
      </c>
      <c r="F121" s="797">
        <v>1.1261000000000001</v>
      </c>
      <c r="G121" s="797">
        <v>1.1261000000000001</v>
      </c>
      <c r="H121" s="797">
        <v>1.1261000000000001</v>
      </c>
      <c r="I121" s="797">
        <v>1.0535000000000001</v>
      </c>
      <c r="J121" s="797">
        <v>1.0535000000000001</v>
      </c>
      <c r="K121" s="797">
        <v>1.0535000000000001</v>
      </c>
      <c r="L121" s="797">
        <v>1.0535000000000001</v>
      </c>
      <c r="M121" s="797">
        <v>1.0535000000000001</v>
      </c>
    </row>
    <row r="122" spans="1:13">
      <c r="A122" s="790">
        <v>1.8</v>
      </c>
      <c r="B122" s="797">
        <v>1.206</v>
      </c>
      <c r="C122" s="797">
        <v>1.206</v>
      </c>
      <c r="D122" s="797">
        <v>1.1076999999999999</v>
      </c>
      <c r="E122" s="797">
        <v>1.1076999999999999</v>
      </c>
      <c r="F122" s="797">
        <v>1.1076999999999999</v>
      </c>
      <c r="G122" s="797">
        <v>1.1076999999999999</v>
      </c>
      <c r="H122" s="797">
        <v>1.1076999999999999</v>
      </c>
      <c r="I122" s="797">
        <v>1.0345</v>
      </c>
      <c r="J122" s="797">
        <v>1.0345</v>
      </c>
      <c r="K122" s="797">
        <v>1.0345</v>
      </c>
      <c r="L122" s="797">
        <v>1.0345</v>
      </c>
      <c r="M122" s="797">
        <v>1.0345</v>
      </c>
    </row>
    <row r="123" spans="1:13">
      <c r="A123" s="790">
        <v>1.9</v>
      </c>
      <c r="B123" s="797">
        <v>1.1891</v>
      </c>
      <c r="C123" s="797">
        <v>1.1891</v>
      </c>
      <c r="D123" s="797">
        <v>1.0901000000000001</v>
      </c>
      <c r="E123" s="797">
        <v>1.0901000000000001</v>
      </c>
      <c r="F123" s="797">
        <v>1.0901000000000001</v>
      </c>
      <c r="G123" s="797">
        <v>1.0901000000000001</v>
      </c>
      <c r="H123" s="797">
        <v>1.0901000000000001</v>
      </c>
      <c r="I123" s="797">
        <v>1.0166999999999999</v>
      </c>
      <c r="J123" s="797">
        <v>1.0166999999999999</v>
      </c>
      <c r="K123" s="797">
        <v>1.0166999999999999</v>
      </c>
      <c r="L123" s="797">
        <v>1.0166999999999999</v>
      </c>
      <c r="M123" s="797">
        <v>1.0166999999999999</v>
      </c>
    </row>
    <row r="124" spans="1:13">
      <c r="A124" s="790">
        <v>2</v>
      </c>
      <c r="B124" s="797">
        <v>1.1729000000000001</v>
      </c>
      <c r="C124" s="797">
        <v>1.1729000000000001</v>
      </c>
      <c r="D124" s="797">
        <v>1.0732999999999999</v>
      </c>
      <c r="E124" s="797">
        <v>1.0732999999999999</v>
      </c>
      <c r="F124" s="797">
        <v>1.0732999999999999</v>
      </c>
      <c r="G124" s="797">
        <v>1.0732999999999999</v>
      </c>
      <c r="H124" s="797">
        <v>1.0732999999999999</v>
      </c>
      <c r="I124" s="797">
        <v>1</v>
      </c>
      <c r="J124" s="797">
        <v>1</v>
      </c>
      <c r="K124" s="797">
        <v>1</v>
      </c>
      <c r="L124" s="797">
        <v>1</v>
      </c>
      <c r="M124" s="797">
        <v>1</v>
      </c>
    </row>
    <row r="125" spans="1:13">
      <c r="A125" s="804">
        <v>2.1</v>
      </c>
      <c r="B125" s="797">
        <v>1.1574</v>
      </c>
      <c r="C125" s="797">
        <v>1.1574</v>
      </c>
      <c r="D125" s="797">
        <v>1.0571999999999999</v>
      </c>
      <c r="E125" s="797">
        <v>1.0571999999999999</v>
      </c>
      <c r="F125" s="797">
        <v>1.0571999999999999</v>
      </c>
      <c r="G125" s="797">
        <v>1.0571999999999999</v>
      </c>
      <c r="H125" s="797">
        <v>1.0571999999999999</v>
      </c>
      <c r="I125" s="797">
        <v>0.98409999999999997</v>
      </c>
      <c r="J125" s="797">
        <v>0.98409999999999997</v>
      </c>
      <c r="K125" s="797">
        <v>0.98409999999999997</v>
      </c>
      <c r="L125" s="797">
        <v>0.98409999999999997</v>
      </c>
      <c r="M125" s="797">
        <v>0.98409999999999997</v>
      </c>
    </row>
    <row r="126" spans="1:13">
      <c r="A126" s="804">
        <v>2.2000000000000002</v>
      </c>
      <c r="B126" s="797">
        <v>1.1426000000000001</v>
      </c>
      <c r="C126" s="797">
        <v>1.1426000000000001</v>
      </c>
      <c r="D126" s="797">
        <v>1.0419</v>
      </c>
      <c r="E126" s="797">
        <v>1.0419</v>
      </c>
      <c r="F126" s="797">
        <v>1.0419</v>
      </c>
      <c r="G126" s="797">
        <v>1.0419</v>
      </c>
      <c r="H126" s="797">
        <v>1.0419</v>
      </c>
      <c r="I126" s="797">
        <v>0.96889999999999998</v>
      </c>
      <c r="J126" s="797">
        <v>0.96889999999999998</v>
      </c>
      <c r="K126" s="797">
        <v>0.96889999999999998</v>
      </c>
      <c r="L126" s="797">
        <v>0.96889999999999998</v>
      </c>
      <c r="M126" s="797">
        <v>0.96889999999999998</v>
      </c>
    </row>
    <row r="127" spans="1:13">
      <c r="A127" s="804">
        <v>2.2999999999999998</v>
      </c>
      <c r="B127" s="797">
        <v>1.1285000000000001</v>
      </c>
      <c r="C127" s="797">
        <v>1.1285000000000001</v>
      </c>
      <c r="D127" s="797">
        <v>1.0271999999999999</v>
      </c>
      <c r="E127" s="797">
        <v>1.0271999999999999</v>
      </c>
      <c r="F127" s="797">
        <v>1.0271999999999999</v>
      </c>
      <c r="G127" s="797">
        <v>1.0271999999999999</v>
      </c>
      <c r="H127" s="797">
        <v>1.0271999999999999</v>
      </c>
      <c r="I127" s="797">
        <v>0.95440000000000003</v>
      </c>
      <c r="J127" s="797">
        <v>0.95440000000000003</v>
      </c>
      <c r="K127" s="797">
        <v>0.95440000000000003</v>
      </c>
      <c r="L127" s="797">
        <v>0.95440000000000003</v>
      </c>
      <c r="M127" s="797">
        <v>0.95440000000000003</v>
      </c>
    </row>
    <row r="128" spans="1:13">
      <c r="A128" s="804">
        <v>2.4</v>
      </c>
      <c r="B128" s="797">
        <v>1.1149</v>
      </c>
      <c r="C128" s="797">
        <v>1.1149</v>
      </c>
      <c r="D128" s="797">
        <v>1.0133000000000001</v>
      </c>
      <c r="E128" s="797">
        <v>1.0133000000000001</v>
      </c>
      <c r="F128" s="797">
        <v>1.0133000000000001</v>
      </c>
      <c r="G128" s="797">
        <v>1.0133000000000001</v>
      </c>
      <c r="H128" s="797">
        <v>1.0133000000000001</v>
      </c>
      <c r="I128" s="797">
        <v>0.9405</v>
      </c>
      <c r="J128" s="797">
        <v>0.9405</v>
      </c>
      <c r="K128" s="797">
        <v>0.9405</v>
      </c>
      <c r="L128" s="797">
        <v>0.9405</v>
      </c>
      <c r="M128" s="797">
        <v>0.9405</v>
      </c>
    </row>
    <row r="129" spans="1:13">
      <c r="A129" s="804">
        <v>2.5</v>
      </c>
      <c r="B129" s="797">
        <v>1.1020000000000001</v>
      </c>
      <c r="C129" s="797">
        <v>1.1020000000000001</v>
      </c>
      <c r="D129" s="797">
        <v>1</v>
      </c>
      <c r="E129" s="797">
        <v>1</v>
      </c>
      <c r="F129" s="797">
        <v>1</v>
      </c>
      <c r="G129" s="797">
        <v>1</v>
      </c>
      <c r="H129" s="797">
        <v>1</v>
      </c>
      <c r="I129" s="797">
        <v>0.92730000000000001</v>
      </c>
      <c r="J129" s="797">
        <v>0.92730000000000001</v>
      </c>
      <c r="K129" s="797">
        <v>0.92730000000000001</v>
      </c>
      <c r="L129" s="797">
        <v>0.92730000000000001</v>
      </c>
      <c r="M129" s="797">
        <v>0.92730000000000001</v>
      </c>
    </row>
    <row r="130" spans="1:13">
      <c r="A130" s="804">
        <v>2.6</v>
      </c>
      <c r="B130" s="797">
        <v>1.0895999999999999</v>
      </c>
      <c r="C130" s="797">
        <v>1.0895999999999999</v>
      </c>
      <c r="D130" s="797">
        <v>0.98740000000000006</v>
      </c>
      <c r="E130" s="797">
        <v>0.98740000000000006</v>
      </c>
      <c r="F130" s="797">
        <v>0.98740000000000006</v>
      </c>
      <c r="G130" s="797">
        <v>0.98740000000000006</v>
      </c>
      <c r="H130" s="797">
        <v>0.98740000000000006</v>
      </c>
      <c r="I130" s="797">
        <v>0.91469999999999996</v>
      </c>
      <c r="J130" s="797">
        <v>0.91469999999999996</v>
      </c>
      <c r="K130" s="797">
        <v>0.91469999999999996</v>
      </c>
      <c r="L130" s="797">
        <v>0.91469999999999996</v>
      </c>
      <c r="M130" s="797">
        <v>0.91469999999999996</v>
      </c>
    </row>
    <row r="131" spans="1:13">
      <c r="A131" s="804">
        <v>2.7</v>
      </c>
      <c r="B131" s="797">
        <v>1.0778000000000001</v>
      </c>
      <c r="C131" s="797">
        <v>1.0778000000000001</v>
      </c>
      <c r="D131" s="797">
        <v>0.97540000000000004</v>
      </c>
      <c r="E131" s="797">
        <v>0.97540000000000004</v>
      </c>
      <c r="F131" s="797">
        <v>0.97540000000000004</v>
      </c>
      <c r="G131" s="797">
        <v>0.97540000000000004</v>
      </c>
      <c r="H131" s="797">
        <v>0.97540000000000004</v>
      </c>
      <c r="I131" s="797">
        <v>0.90269999999999995</v>
      </c>
      <c r="J131" s="797">
        <v>0.90269999999999995</v>
      </c>
      <c r="K131" s="797">
        <v>0.90269999999999995</v>
      </c>
      <c r="L131" s="797">
        <v>0.90269999999999995</v>
      </c>
      <c r="M131" s="797">
        <v>0.90269999999999995</v>
      </c>
    </row>
    <row r="132" spans="1:13">
      <c r="A132" s="804">
        <v>2.8</v>
      </c>
      <c r="B132" s="797">
        <v>1.0665</v>
      </c>
      <c r="C132" s="797">
        <v>1.0665</v>
      </c>
      <c r="D132" s="797">
        <v>0.96399999999999997</v>
      </c>
      <c r="E132" s="797">
        <v>0.96399999999999997</v>
      </c>
      <c r="F132" s="797">
        <v>0.96399999999999997</v>
      </c>
      <c r="G132" s="797">
        <v>0.96399999999999997</v>
      </c>
      <c r="H132" s="797">
        <v>0.96399999999999997</v>
      </c>
      <c r="I132" s="797">
        <v>0.89119999999999999</v>
      </c>
      <c r="J132" s="797">
        <v>0.89119999999999999</v>
      </c>
      <c r="K132" s="797">
        <v>0.89119999999999999</v>
      </c>
      <c r="L132" s="797">
        <v>0.89119999999999999</v>
      </c>
      <c r="M132" s="797">
        <v>0.89119999999999999</v>
      </c>
    </row>
    <row r="133" spans="1:13">
      <c r="A133" s="804">
        <v>2.9</v>
      </c>
      <c r="B133" s="797">
        <v>1.0556000000000001</v>
      </c>
      <c r="C133" s="797">
        <v>1.0556000000000001</v>
      </c>
      <c r="D133" s="797">
        <v>0.95330000000000004</v>
      </c>
      <c r="E133" s="797">
        <v>0.95330000000000004</v>
      </c>
      <c r="F133" s="797">
        <v>0.95330000000000004</v>
      </c>
      <c r="G133" s="797">
        <v>0.95330000000000004</v>
      </c>
      <c r="H133" s="797">
        <v>0.95330000000000004</v>
      </c>
      <c r="I133" s="797">
        <v>0.88019999999999998</v>
      </c>
      <c r="J133" s="797">
        <v>0.88019999999999998</v>
      </c>
      <c r="K133" s="797">
        <v>0.88019999999999998</v>
      </c>
      <c r="L133" s="797">
        <v>0.88019999999999998</v>
      </c>
      <c r="M133" s="797">
        <v>0.88019999999999998</v>
      </c>
    </row>
    <row r="134" spans="1:13">
      <c r="A134" s="804">
        <v>3</v>
      </c>
      <c r="B134" s="797">
        <v>1.0452999999999999</v>
      </c>
      <c r="C134" s="797">
        <v>1.0452999999999999</v>
      </c>
      <c r="D134" s="797">
        <v>0.94299999999999995</v>
      </c>
      <c r="E134" s="797">
        <v>0.94299999999999995</v>
      </c>
      <c r="F134" s="797">
        <v>0.94299999999999995</v>
      </c>
      <c r="G134" s="797">
        <v>0.94299999999999995</v>
      </c>
      <c r="H134" s="797">
        <v>0.94299999999999995</v>
      </c>
      <c r="I134" s="797">
        <v>0.86970000000000003</v>
      </c>
      <c r="J134" s="797">
        <v>0.86970000000000003</v>
      </c>
      <c r="K134" s="797">
        <v>0.86970000000000003</v>
      </c>
      <c r="L134" s="797">
        <v>0.86970000000000003</v>
      </c>
      <c r="M134" s="797">
        <v>0.86970000000000003</v>
      </c>
    </row>
    <row r="135" spans="1:13">
      <c r="A135" s="804">
        <v>3.1</v>
      </c>
      <c r="B135" s="797">
        <v>1.0354000000000001</v>
      </c>
      <c r="C135" s="797">
        <v>1.0354000000000001</v>
      </c>
      <c r="D135" s="797">
        <v>0.93330000000000002</v>
      </c>
      <c r="E135" s="797">
        <v>0.93330000000000002</v>
      </c>
      <c r="F135" s="797">
        <v>0.93330000000000002</v>
      </c>
      <c r="G135" s="797">
        <v>0.93330000000000002</v>
      </c>
      <c r="H135" s="797">
        <v>0.93330000000000002</v>
      </c>
      <c r="I135" s="797">
        <v>0.85970000000000002</v>
      </c>
      <c r="J135" s="797">
        <v>0.85970000000000002</v>
      </c>
      <c r="K135" s="797">
        <v>0.85970000000000002</v>
      </c>
      <c r="L135" s="797">
        <v>0.85970000000000002</v>
      </c>
      <c r="M135" s="797">
        <v>0.85970000000000002</v>
      </c>
    </row>
    <row r="136" spans="1:13">
      <c r="A136" s="804">
        <v>3.2</v>
      </c>
      <c r="B136" s="797">
        <v>1.0259</v>
      </c>
      <c r="C136" s="797">
        <v>1.0259</v>
      </c>
      <c r="D136" s="797">
        <v>0.92410000000000003</v>
      </c>
      <c r="E136" s="797">
        <v>0.92410000000000003</v>
      </c>
      <c r="F136" s="797">
        <v>0.92410000000000003</v>
      </c>
      <c r="G136" s="797">
        <v>0.92410000000000003</v>
      </c>
      <c r="H136" s="797">
        <v>0.92410000000000003</v>
      </c>
      <c r="I136" s="797">
        <v>0.85019999999999996</v>
      </c>
      <c r="J136" s="797">
        <v>0.85019999999999996</v>
      </c>
      <c r="K136" s="797">
        <v>0.85019999999999996</v>
      </c>
      <c r="L136" s="797">
        <v>0.85019999999999996</v>
      </c>
      <c r="M136" s="797">
        <v>0.85019999999999996</v>
      </c>
    </row>
    <row r="137" spans="1:13">
      <c r="A137" s="804">
        <v>3.3</v>
      </c>
      <c r="B137" s="797">
        <v>1.0168999999999999</v>
      </c>
      <c r="C137" s="797">
        <v>1.0168999999999999</v>
      </c>
      <c r="D137" s="797">
        <v>0.91539999999999999</v>
      </c>
      <c r="E137" s="797">
        <v>0.91539999999999999</v>
      </c>
      <c r="F137" s="797">
        <v>0.91539999999999999</v>
      </c>
      <c r="G137" s="797">
        <v>0.91539999999999999</v>
      </c>
      <c r="H137" s="797">
        <v>0.91539999999999999</v>
      </c>
      <c r="I137" s="797">
        <v>0.84109999999999996</v>
      </c>
      <c r="J137" s="797">
        <v>0.84109999999999996</v>
      </c>
      <c r="K137" s="797">
        <v>0.84109999999999996</v>
      </c>
      <c r="L137" s="797">
        <v>0.84109999999999996</v>
      </c>
      <c r="M137" s="797">
        <v>0.84109999999999996</v>
      </c>
    </row>
    <row r="138" spans="1:13">
      <c r="A138" s="804">
        <v>3.4</v>
      </c>
      <c r="B138" s="797">
        <v>1.0082</v>
      </c>
      <c r="C138" s="797">
        <v>1.0082</v>
      </c>
      <c r="D138" s="797">
        <v>0.90710000000000002</v>
      </c>
      <c r="E138" s="797">
        <v>0.90710000000000002</v>
      </c>
      <c r="F138" s="797">
        <v>0.90710000000000002</v>
      </c>
      <c r="G138" s="797">
        <v>0.90710000000000002</v>
      </c>
      <c r="H138" s="797">
        <v>0.90710000000000002</v>
      </c>
      <c r="I138" s="797">
        <v>0.83240000000000003</v>
      </c>
      <c r="J138" s="797">
        <v>0.83240000000000003</v>
      </c>
      <c r="K138" s="797">
        <v>0.83240000000000003</v>
      </c>
      <c r="L138" s="797">
        <v>0.83240000000000003</v>
      </c>
      <c r="M138" s="797">
        <v>0.83240000000000003</v>
      </c>
    </row>
    <row r="139" spans="1:13">
      <c r="A139" s="804">
        <v>3.5</v>
      </c>
      <c r="B139" s="797">
        <v>1</v>
      </c>
      <c r="C139" s="797">
        <v>1</v>
      </c>
      <c r="D139" s="797">
        <v>0.89929999999999999</v>
      </c>
      <c r="E139" s="797">
        <v>0.89929999999999999</v>
      </c>
      <c r="F139" s="797">
        <v>0.89929999999999999</v>
      </c>
      <c r="G139" s="797">
        <v>0.89929999999999999</v>
      </c>
      <c r="H139" s="797">
        <v>0.89929999999999999</v>
      </c>
      <c r="I139" s="797">
        <v>0.82410000000000005</v>
      </c>
      <c r="J139" s="797">
        <v>0.82410000000000005</v>
      </c>
      <c r="K139" s="797">
        <v>0.82410000000000005</v>
      </c>
      <c r="L139" s="797">
        <v>0.82410000000000005</v>
      </c>
      <c r="M139" s="797">
        <v>0.82410000000000005</v>
      </c>
    </row>
    <row r="140" spans="1:13">
      <c r="A140" s="804">
        <v>3.6</v>
      </c>
      <c r="B140" s="797">
        <v>0.99219999999999997</v>
      </c>
      <c r="C140" s="797">
        <v>0.99219999999999997</v>
      </c>
      <c r="D140" s="797">
        <v>0.89190000000000003</v>
      </c>
      <c r="E140" s="797">
        <v>0.89190000000000003</v>
      </c>
      <c r="F140" s="797">
        <v>0.89190000000000003</v>
      </c>
      <c r="G140" s="797">
        <v>0.89190000000000003</v>
      </c>
      <c r="H140" s="797">
        <v>0.89190000000000003</v>
      </c>
      <c r="I140" s="797">
        <v>0.81620000000000004</v>
      </c>
      <c r="J140" s="797">
        <v>0.81620000000000004</v>
      </c>
      <c r="K140" s="797">
        <v>0.81620000000000004</v>
      </c>
      <c r="L140" s="797">
        <v>0.81620000000000004</v>
      </c>
      <c r="M140" s="797">
        <v>0.81620000000000004</v>
      </c>
    </row>
    <row r="141" spans="1:13">
      <c r="A141" s="804">
        <v>3.7</v>
      </c>
      <c r="B141" s="797">
        <v>0.98480000000000001</v>
      </c>
      <c r="C141" s="797">
        <v>0.98480000000000001</v>
      </c>
      <c r="D141" s="797">
        <v>0.88480000000000003</v>
      </c>
      <c r="E141" s="797">
        <v>0.88480000000000003</v>
      </c>
      <c r="F141" s="797">
        <v>0.88480000000000003</v>
      </c>
      <c r="G141" s="797">
        <v>0.88480000000000003</v>
      </c>
      <c r="H141" s="797">
        <v>0.88480000000000003</v>
      </c>
      <c r="I141" s="797">
        <v>0.80869999999999997</v>
      </c>
      <c r="J141" s="797">
        <v>0.80869999999999997</v>
      </c>
      <c r="K141" s="797">
        <v>0.80869999999999997</v>
      </c>
      <c r="L141" s="797">
        <v>0.80869999999999997</v>
      </c>
      <c r="M141" s="797">
        <v>0.80869999999999997</v>
      </c>
    </row>
    <row r="142" spans="1:13">
      <c r="A142" s="804">
        <v>3.8</v>
      </c>
      <c r="B142" s="797">
        <v>0.9778</v>
      </c>
      <c r="C142" s="797">
        <v>0.9778</v>
      </c>
      <c r="D142" s="797">
        <v>0.87809999999999999</v>
      </c>
      <c r="E142" s="797">
        <v>0.87809999999999999</v>
      </c>
      <c r="F142" s="797">
        <v>0.87809999999999999</v>
      </c>
      <c r="G142" s="797">
        <v>0.87809999999999999</v>
      </c>
      <c r="H142" s="797">
        <v>0.87809999999999999</v>
      </c>
      <c r="I142" s="797">
        <v>0.80159999999999998</v>
      </c>
      <c r="J142" s="797">
        <v>0.80159999999999998</v>
      </c>
      <c r="K142" s="797">
        <v>0.80159999999999998</v>
      </c>
      <c r="L142" s="797">
        <v>0.80159999999999998</v>
      </c>
      <c r="M142" s="797">
        <v>0.80159999999999998</v>
      </c>
    </row>
    <row r="143" spans="1:13">
      <c r="A143" s="804">
        <v>3.9</v>
      </c>
      <c r="B143" s="797">
        <v>0.97119999999999995</v>
      </c>
      <c r="C143" s="797">
        <v>0.97119999999999995</v>
      </c>
      <c r="D143" s="797">
        <v>0.87180000000000002</v>
      </c>
      <c r="E143" s="797">
        <v>0.87180000000000002</v>
      </c>
      <c r="F143" s="797">
        <v>0.87180000000000002</v>
      </c>
      <c r="G143" s="797">
        <v>0.87180000000000002</v>
      </c>
      <c r="H143" s="797">
        <v>0.87180000000000002</v>
      </c>
      <c r="I143" s="797">
        <v>0.79479999999999995</v>
      </c>
      <c r="J143" s="797">
        <v>0.79479999999999995</v>
      </c>
      <c r="K143" s="797">
        <v>0.79479999999999995</v>
      </c>
      <c r="L143" s="797">
        <v>0.79479999999999995</v>
      </c>
      <c r="M143" s="797">
        <v>0.79479999999999995</v>
      </c>
    </row>
    <row r="144" spans="1:13">
      <c r="A144" s="804">
        <v>4</v>
      </c>
      <c r="B144" s="797">
        <v>0.96499999999999997</v>
      </c>
      <c r="C144" s="797">
        <v>0.96499999999999997</v>
      </c>
      <c r="D144" s="797">
        <v>0.86580000000000001</v>
      </c>
      <c r="E144" s="797">
        <v>0.86580000000000001</v>
      </c>
      <c r="F144" s="797">
        <v>0.86580000000000001</v>
      </c>
      <c r="G144" s="797">
        <v>0.86580000000000001</v>
      </c>
      <c r="H144" s="797">
        <v>0.86580000000000001</v>
      </c>
      <c r="I144" s="797">
        <v>0.7883</v>
      </c>
      <c r="J144" s="797">
        <v>0.7883</v>
      </c>
      <c r="K144" s="797">
        <v>0.7883</v>
      </c>
      <c r="L144" s="797">
        <v>0.7883</v>
      </c>
      <c r="M144" s="797">
        <v>0.7883</v>
      </c>
    </row>
    <row r="145" spans="1:13">
      <c r="A145" s="804">
        <v>4.0999999999999996</v>
      </c>
      <c r="B145" s="797">
        <v>0.95909999999999995</v>
      </c>
      <c r="C145" s="797">
        <v>0.95909999999999995</v>
      </c>
      <c r="D145" s="797">
        <v>0.86009999999999998</v>
      </c>
      <c r="E145" s="797">
        <v>0.86009999999999998</v>
      </c>
      <c r="F145" s="797">
        <v>0.86009999999999998</v>
      </c>
      <c r="G145" s="797">
        <v>0.86009999999999998</v>
      </c>
      <c r="H145" s="797">
        <v>0.86009999999999998</v>
      </c>
      <c r="I145" s="797">
        <v>0.78200000000000003</v>
      </c>
      <c r="J145" s="797">
        <v>0.78200000000000003</v>
      </c>
      <c r="K145" s="797">
        <v>0.78200000000000003</v>
      </c>
      <c r="L145" s="797">
        <v>0.78200000000000003</v>
      </c>
      <c r="M145" s="797">
        <v>0.78200000000000003</v>
      </c>
    </row>
    <row r="146" spans="1:13">
      <c r="A146" s="804">
        <v>4.2</v>
      </c>
      <c r="B146" s="797">
        <v>0.95350000000000001</v>
      </c>
      <c r="C146" s="797">
        <v>0.95350000000000001</v>
      </c>
      <c r="D146" s="797">
        <v>0.85470000000000002</v>
      </c>
      <c r="E146" s="797">
        <v>0.85470000000000002</v>
      </c>
      <c r="F146" s="797">
        <v>0.85470000000000002</v>
      </c>
      <c r="G146" s="797">
        <v>0.85470000000000002</v>
      </c>
      <c r="H146" s="797">
        <v>0.85470000000000002</v>
      </c>
      <c r="I146" s="797">
        <v>0.77600000000000002</v>
      </c>
      <c r="J146" s="797">
        <v>0.77600000000000002</v>
      </c>
      <c r="K146" s="797">
        <v>0.77600000000000002</v>
      </c>
      <c r="L146" s="797">
        <v>0.77600000000000002</v>
      </c>
      <c r="M146" s="797">
        <v>0.77600000000000002</v>
      </c>
    </row>
    <row r="147" spans="1:13">
      <c r="A147" s="804">
        <v>4.3</v>
      </c>
      <c r="B147" s="797">
        <v>0.94820000000000004</v>
      </c>
      <c r="C147" s="797">
        <v>0.94820000000000004</v>
      </c>
      <c r="D147" s="797">
        <v>0.84960000000000002</v>
      </c>
      <c r="E147" s="797">
        <v>0.84960000000000002</v>
      </c>
      <c r="F147" s="797">
        <v>0.84960000000000002</v>
      </c>
      <c r="G147" s="797">
        <v>0.84960000000000002</v>
      </c>
      <c r="H147" s="797">
        <v>0.84960000000000002</v>
      </c>
      <c r="I147" s="797">
        <v>0.77029999999999998</v>
      </c>
      <c r="J147" s="797">
        <v>0.77029999999999998</v>
      </c>
      <c r="K147" s="797">
        <v>0.77029999999999998</v>
      </c>
      <c r="L147" s="797">
        <v>0.77029999999999998</v>
      </c>
      <c r="M147" s="797">
        <v>0.77029999999999998</v>
      </c>
    </row>
    <row r="148" spans="1:13">
      <c r="A148" s="804">
        <v>4.4000000000000004</v>
      </c>
      <c r="B148" s="797">
        <v>0.94320000000000004</v>
      </c>
      <c r="C148" s="797">
        <v>0.94320000000000004</v>
      </c>
      <c r="D148" s="797">
        <v>0.8448</v>
      </c>
      <c r="E148" s="797">
        <v>0.8448</v>
      </c>
      <c r="F148" s="797">
        <v>0.8448</v>
      </c>
      <c r="G148" s="797">
        <v>0.8448</v>
      </c>
      <c r="H148" s="797">
        <v>0.8448</v>
      </c>
      <c r="I148" s="797">
        <v>0.76490000000000002</v>
      </c>
      <c r="J148" s="797">
        <v>0.76490000000000002</v>
      </c>
      <c r="K148" s="797">
        <v>0.76490000000000002</v>
      </c>
      <c r="L148" s="797">
        <v>0.76490000000000002</v>
      </c>
      <c r="M148" s="797">
        <v>0.76490000000000002</v>
      </c>
    </row>
    <row r="149" spans="1:13">
      <c r="A149" s="804">
        <v>4.5</v>
      </c>
      <c r="B149" s="797">
        <v>0.9385</v>
      </c>
      <c r="C149" s="797">
        <v>0.9385</v>
      </c>
      <c r="D149" s="797">
        <v>0.84019999999999995</v>
      </c>
      <c r="E149" s="797">
        <v>0.84019999999999995</v>
      </c>
      <c r="F149" s="797">
        <v>0.84019999999999995</v>
      </c>
      <c r="G149" s="797">
        <v>0.84019999999999995</v>
      </c>
      <c r="H149" s="797">
        <v>0.84019999999999995</v>
      </c>
      <c r="I149" s="797">
        <v>0.75970000000000004</v>
      </c>
      <c r="J149" s="797">
        <v>0.75970000000000004</v>
      </c>
      <c r="K149" s="797">
        <v>0.75970000000000004</v>
      </c>
      <c r="L149" s="797">
        <v>0.75970000000000004</v>
      </c>
      <c r="M149" s="797">
        <v>0.75970000000000004</v>
      </c>
    </row>
    <row r="150" spans="1:13">
      <c r="A150" s="804">
        <v>4.5999999999999996</v>
      </c>
      <c r="B150" s="797">
        <v>0.93410000000000004</v>
      </c>
      <c r="C150" s="797">
        <v>0.93410000000000004</v>
      </c>
      <c r="D150" s="797">
        <v>0.83579999999999999</v>
      </c>
      <c r="E150" s="797">
        <v>0.83579999999999999</v>
      </c>
      <c r="F150" s="797">
        <v>0.83579999999999999</v>
      </c>
      <c r="G150" s="797">
        <v>0.83579999999999999</v>
      </c>
      <c r="H150" s="797">
        <v>0.83579999999999999</v>
      </c>
      <c r="I150" s="797">
        <v>0.75470000000000004</v>
      </c>
      <c r="J150" s="797">
        <v>0.75470000000000004</v>
      </c>
      <c r="K150" s="797">
        <v>0.75470000000000004</v>
      </c>
      <c r="L150" s="797">
        <v>0.75470000000000004</v>
      </c>
      <c r="M150" s="797">
        <v>0.75470000000000004</v>
      </c>
    </row>
    <row r="151" spans="1:13">
      <c r="A151" s="804">
        <v>4.7</v>
      </c>
      <c r="B151" s="797">
        <v>0.92989999999999995</v>
      </c>
      <c r="C151" s="797">
        <v>0.92989999999999995</v>
      </c>
      <c r="D151" s="797">
        <v>0.83160000000000001</v>
      </c>
      <c r="E151" s="797">
        <v>0.83160000000000001</v>
      </c>
      <c r="F151" s="797">
        <v>0.83160000000000001</v>
      </c>
      <c r="G151" s="797">
        <v>0.83160000000000001</v>
      </c>
      <c r="H151" s="797">
        <v>0.83160000000000001</v>
      </c>
      <c r="I151" s="797">
        <v>0.74990000000000001</v>
      </c>
      <c r="J151" s="797">
        <v>0.74990000000000001</v>
      </c>
      <c r="K151" s="797">
        <v>0.74990000000000001</v>
      </c>
      <c r="L151" s="797">
        <v>0.74990000000000001</v>
      </c>
      <c r="M151" s="797">
        <v>0.74990000000000001</v>
      </c>
    </row>
    <row r="152" spans="1:13">
      <c r="A152" s="804">
        <v>4.8</v>
      </c>
      <c r="B152" s="797">
        <v>0.92589999999999995</v>
      </c>
      <c r="C152" s="797">
        <v>0.92589999999999995</v>
      </c>
      <c r="D152" s="797">
        <v>0.82769999999999999</v>
      </c>
      <c r="E152" s="797">
        <v>0.82769999999999999</v>
      </c>
      <c r="F152" s="797">
        <v>0.82769999999999999</v>
      </c>
      <c r="G152" s="797">
        <v>0.82769999999999999</v>
      </c>
      <c r="H152" s="797">
        <v>0.82769999999999999</v>
      </c>
      <c r="I152" s="797">
        <v>0.74529999999999996</v>
      </c>
      <c r="J152" s="797">
        <v>0.74529999999999996</v>
      </c>
      <c r="K152" s="797">
        <v>0.74529999999999996</v>
      </c>
      <c r="L152" s="797">
        <v>0.74529999999999996</v>
      </c>
      <c r="M152" s="797">
        <v>0.74529999999999996</v>
      </c>
    </row>
    <row r="153" spans="1:13">
      <c r="A153" s="804">
        <v>4.9000000000000004</v>
      </c>
      <c r="B153" s="797">
        <v>0.92210000000000003</v>
      </c>
      <c r="C153" s="797">
        <v>0.92210000000000003</v>
      </c>
      <c r="D153" s="797">
        <v>0.82389999999999997</v>
      </c>
      <c r="E153" s="797">
        <v>0.82389999999999997</v>
      </c>
      <c r="F153" s="797">
        <v>0.82389999999999997</v>
      </c>
      <c r="G153" s="797">
        <v>0.82389999999999997</v>
      </c>
      <c r="H153" s="797">
        <v>0.82389999999999997</v>
      </c>
      <c r="I153" s="797">
        <v>0.7409</v>
      </c>
      <c r="J153" s="797">
        <v>0.7409</v>
      </c>
      <c r="K153" s="797">
        <v>0.7409</v>
      </c>
      <c r="L153" s="797">
        <v>0.7409</v>
      </c>
      <c r="M153" s="797">
        <v>0.7409</v>
      </c>
    </row>
    <row r="154" spans="1:13">
      <c r="A154" s="804">
        <v>5</v>
      </c>
      <c r="B154" s="797">
        <v>0.91849999999999998</v>
      </c>
      <c r="C154" s="797">
        <v>0.91849999999999998</v>
      </c>
      <c r="D154" s="797">
        <v>0.82030000000000003</v>
      </c>
      <c r="E154" s="797">
        <v>0.82030000000000003</v>
      </c>
      <c r="F154" s="797">
        <v>0.82030000000000003</v>
      </c>
      <c r="G154" s="797">
        <v>0.82030000000000003</v>
      </c>
      <c r="H154" s="797">
        <v>0.82030000000000003</v>
      </c>
      <c r="I154" s="797">
        <v>0.73670000000000002</v>
      </c>
      <c r="J154" s="797">
        <v>0.73670000000000002</v>
      </c>
      <c r="K154" s="797">
        <v>0.73670000000000002</v>
      </c>
      <c r="L154" s="797">
        <v>0.73670000000000002</v>
      </c>
      <c r="M154" s="797">
        <v>0.73670000000000002</v>
      </c>
    </row>
    <row r="155" spans="1:13">
      <c r="A155" s="790">
        <v>5.0999999999999996</v>
      </c>
      <c r="B155" s="797">
        <v>0.91510000000000002</v>
      </c>
      <c r="C155" s="797">
        <v>0.91510000000000002</v>
      </c>
      <c r="D155" s="797">
        <v>0.81689999999999996</v>
      </c>
      <c r="E155" s="797">
        <v>0.81689999999999996</v>
      </c>
      <c r="F155" s="797">
        <v>0.81689999999999996</v>
      </c>
      <c r="G155" s="797">
        <v>0.81689999999999996</v>
      </c>
      <c r="H155" s="797">
        <v>0.81689999999999996</v>
      </c>
      <c r="I155" s="797">
        <v>0.73270000000000002</v>
      </c>
      <c r="J155" s="797">
        <v>0.73270000000000002</v>
      </c>
      <c r="K155" s="797">
        <v>0.73270000000000002</v>
      </c>
      <c r="L155" s="797">
        <v>0.73270000000000002</v>
      </c>
      <c r="M155" s="797">
        <v>0.73270000000000002</v>
      </c>
    </row>
    <row r="156" spans="1:13">
      <c r="A156" s="790">
        <v>5.2</v>
      </c>
      <c r="B156" s="797">
        <v>0.91190000000000004</v>
      </c>
      <c r="C156" s="797">
        <v>0.91190000000000004</v>
      </c>
      <c r="D156" s="797">
        <v>0.81359999999999999</v>
      </c>
      <c r="E156" s="797">
        <v>0.81359999999999999</v>
      </c>
      <c r="F156" s="797">
        <v>0.81359999999999999</v>
      </c>
      <c r="G156" s="797">
        <v>0.81359999999999999</v>
      </c>
      <c r="H156" s="797">
        <v>0.81359999999999999</v>
      </c>
      <c r="I156" s="797">
        <v>0.72889999999999999</v>
      </c>
      <c r="J156" s="797">
        <v>0.72889999999999999</v>
      </c>
      <c r="K156" s="797">
        <v>0.72889999999999999</v>
      </c>
      <c r="L156" s="797">
        <v>0.72889999999999999</v>
      </c>
      <c r="M156" s="797">
        <v>0.72889999999999999</v>
      </c>
    </row>
    <row r="157" spans="1:13">
      <c r="A157" s="790">
        <v>5.3</v>
      </c>
      <c r="B157" s="797">
        <v>0.90880000000000005</v>
      </c>
      <c r="C157" s="797">
        <v>0.90880000000000005</v>
      </c>
      <c r="D157" s="797">
        <v>0.8105</v>
      </c>
      <c r="E157" s="797">
        <v>0.8105</v>
      </c>
      <c r="F157" s="797">
        <v>0.8105</v>
      </c>
      <c r="G157" s="797">
        <v>0.8105</v>
      </c>
      <c r="H157" s="797">
        <v>0.8105</v>
      </c>
      <c r="I157" s="797">
        <v>0.72529999999999994</v>
      </c>
      <c r="J157" s="797">
        <v>0.72529999999999994</v>
      </c>
      <c r="K157" s="797">
        <v>0.72529999999999994</v>
      </c>
      <c r="L157" s="797">
        <v>0.72529999999999994</v>
      </c>
      <c r="M157" s="797">
        <v>0.72529999999999994</v>
      </c>
    </row>
    <row r="158" spans="1:13">
      <c r="A158" s="790">
        <v>5.4</v>
      </c>
      <c r="B158" s="797">
        <v>0.90580000000000005</v>
      </c>
      <c r="C158" s="797">
        <v>0.90580000000000005</v>
      </c>
      <c r="D158" s="797">
        <v>0.8075</v>
      </c>
      <c r="E158" s="797">
        <v>0.8075</v>
      </c>
      <c r="F158" s="797">
        <v>0.8075</v>
      </c>
      <c r="G158" s="797">
        <v>0.8075</v>
      </c>
      <c r="H158" s="797">
        <v>0.8075</v>
      </c>
      <c r="I158" s="797">
        <v>0.7218</v>
      </c>
      <c r="J158" s="797">
        <v>0.7218</v>
      </c>
      <c r="K158" s="797">
        <v>0.7218</v>
      </c>
      <c r="L158" s="797">
        <v>0.7218</v>
      </c>
      <c r="M158" s="797">
        <v>0.7218</v>
      </c>
    </row>
    <row r="159" spans="1:13">
      <c r="A159" s="790">
        <v>5.5</v>
      </c>
      <c r="B159" s="797">
        <v>0.90290000000000004</v>
      </c>
      <c r="C159" s="797">
        <v>0.90290000000000004</v>
      </c>
      <c r="D159" s="797">
        <v>0.80469999999999997</v>
      </c>
      <c r="E159" s="797">
        <v>0.80469999999999997</v>
      </c>
      <c r="F159" s="797">
        <v>0.80469999999999997</v>
      </c>
      <c r="G159" s="797">
        <v>0.80469999999999997</v>
      </c>
      <c r="H159" s="797">
        <v>0.80469999999999997</v>
      </c>
      <c r="I159" s="797">
        <v>0.71840000000000004</v>
      </c>
      <c r="J159" s="797">
        <v>0.71840000000000004</v>
      </c>
      <c r="K159" s="797">
        <v>0.71840000000000004</v>
      </c>
      <c r="L159" s="797">
        <v>0.71840000000000004</v>
      </c>
      <c r="M159" s="797">
        <v>0.71840000000000004</v>
      </c>
    </row>
    <row r="160" spans="1:13">
      <c r="A160" s="790">
        <v>5.6</v>
      </c>
      <c r="B160" s="797">
        <v>0.90010000000000001</v>
      </c>
      <c r="C160" s="797">
        <v>0.90010000000000001</v>
      </c>
      <c r="D160" s="797">
        <v>0.80200000000000005</v>
      </c>
      <c r="E160" s="797">
        <v>0.80200000000000005</v>
      </c>
      <c r="F160" s="797">
        <v>0.80200000000000005</v>
      </c>
      <c r="G160" s="797">
        <v>0.80200000000000005</v>
      </c>
      <c r="H160" s="797">
        <v>0.80200000000000005</v>
      </c>
      <c r="I160" s="797">
        <v>0.71509999999999996</v>
      </c>
      <c r="J160" s="797">
        <v>0.71509999999999996</v>
      </c>
      <c r="K160" s="797">
        <v>0.71509999999999996</v>
      </c>
      <c r="L160" s="797">
        <v>0.71509999999999996</v>
      </c>
      <c r="M160" s="797">
        <v>0.71509999999999996</v>
      </c>
    </row>
    <row r="161" spans="1:13">
      <c r="A161" s="804">
        <v>5.7</v>
      </c>
      <c r="B161" s="797">
        <v>0.89749999999999996</v>
      </c>
      <c r="C161" s="797">
        <v>0.89749999999999996</v>
      </c>
      <c r="D161" s="797">
        <v>0.79930000000000001</v>
      </c>
      <c r="E161" s="797">
        <v>0.79930000000000001</v>
      </c>
      <c r="F161" s="797">
        <v>0.79930000000000001</v>
      </c>
      <c r="G161" s="797">
        <v>0.79930000000000001</v>
      </c>
      <c r="H161" s="797">
        <v>0.79930000000000001</v>
      </c>
      <c r="I161" s="797">
        <v>0.71189999999999998</v>
      </c>
      <c r="J161" s="797">
        <v>0.71189999999999998</v>
      </c>
      <c r="K161" s="797">
        <v>0.71189999999999998</v>
      </c>
      <c r="L161" s="797">
        <v>0.71189999999999998</v>
      </c>
      <c r="M161" s="797">
        <v>0.71189999999999998</v>
      </c>
    </row>
    <row r="162" spans="1:13">
      <c r="A162" s="790">
        <v>5.8</v>
      </c>
      <c r="B162" s="797">
        <v>0.89500000000000002</v>
      </c>
      <c r="C162" s="797">
        <v>0.89500000000000002</v>
      </c>
      <c r="D162" s="797">
        <v>0.79679999999999995</v>
      </c>
      <c r="E162" s="797">
        <v>0.79679999999999995</v>
      </c>
      <c r="F162" s="797">
        <v>0.79679999999999995</v>
      </c>
      <c r="G162" s="797">
        <v>0.79679999999999995</v>
      </c>
      <c r="H162" s="797">
        <v>0.79679999999999995</v>
      </c>
      <c r="I162" s="797">
        <v>0.70879999999999999</v>
      </c>
      <c r="J162" s="797">
        <v>0.70879999999999999</v>
      </c>
      <c r="K162" s="797">
        <v>0.70879999999999999</v>
      </c>
      <c r="L162" s="797">
        <v>0.70879999999999999</v>
      </c>
      <c r="M162" s="797">
        <v>0.70879999999999999</v>
      </c>
    </row>
    <row r="163" spans="1:13">
      <c r="A163" s="790">
        <v>5.9</v>
      </c>
      <c r="B163" s="797">
        <v>0.89259999999999995</v>
      </c>
      <c r="C163" s="797">
        <v>0.89259999999999995</v>
      </c>
      <c r="D163" s="797">
        <v>0.7944</v>
      </c>
      <c r="E163" s="797">
        <v>0.7944</v>
      </c>
      <c r="F163" s="797">
        <v>0.7944</v>
      </c>
      <c r="G163" s="797">
        <v>0.7944</v>
      </c>
      <c r="H163" s="797">
        <v>0.7944</v>
      </c>
      <c r="I163" s="797">
        <v>0.70579999999999998</v>
      </c>
      <c r="J163" s="797">
        <v>0.70579999999999998</v>
      </c>
      <c r="K163" s="797">
        <v>0.70579999999999998</v>
      </c>
      <c r="L163" s="797">
        <v>0.70579999999999998</v>
      </c>
      <c r="M163" s="797">
        <v>0.70579999999999998</v>
      </c>
    </row>
    <row r="164" spans="1:13">
      <c r="A164" s="790">
        <v>6</v>
      </c>
      <c r="B164" s="797">
        <v>0.89029999999999998</v>
      </c>
      <c r="C164" s="797">
        <v>0.89029999999999998</v>
      </c>
      <c r="D164" s="797">
        <v>0.79200000000000004</v>
      </c>
      <c r="E164" s="797">
        <v>0.79200000000000004</v>
      </c>
      <c r="F164" s="797">
        <v>0.79200000000000004</v>
      </c>
      <c r="G164" s="797">
        <v>0.79200000000000004</v>
      </c>
      <c r="H164" s="797">
        <v>0.79200000000000004</v>
      </c>
      <c r="I164" s="797">
        <v>0.70289999999999997</v>
      </c>
      <c r="J164" s="797">
        <v>0.70289999999999997</v>
      </c>
      <c r="K164" s="797">
        <v>0.70289999999999997</v>
      </c>
      <c r="L164" s="797">
        <v>0.70289999999999997</v>
      </c>
      <c r="M164" s="797">
        <v>0.70289999999999997</v>
      </c>
    </row>
    <row r="165" spans="1:13">
      <c r="A165" s="790">
        <v>6.1</v>
      </c>
      <c r="B165" s="797">
        <v>0.8881</v>
      </c>
      <c r="C165" s="797">
        <v>0.8881</v>
      </c>
      <c r="D165" s="797">
        <v>0.78979999999999995</v>
      </c>
      <c r="E165" s="797">
        <v>0.78979999999999995</v>
      </c>
      <c r="F165" s="797">
        <v>0.78979999999999995</v>
      </c>
      <c r="G165" s="797">
        <v>0.78979999999999995</v>
      </c>
      <c r="H165" s="797">
        <v>0.78979999999999995</v>
      </c>
      <c r="I165" s="797">
        <v>0.70009999999999994</v>
      </c>
      <c r="J165" s="797">
        <v>0.70009999999999994</v>
      </c>
      <c r="K165" s="797">
        <v>0.70009999999999994</v>
      </c>
      <c r="L165" s="797">
        <v>0.70009999999999994</v>
      </c>
      <c r="M165" s="797">
        <v>0.70009999999999994</v>
      </c>
    </row>
    <row r="166" spans="1:13">
      <c r="A166" s="790">
        <v>6.2</v>
      </c>
      <c r="B166" s="797">
        <v>0.88600000000000001</v>
      </c>
      <c r="C166" s="797">
        <v>0.88600000000000001</v>
      </c>
      <c r="D166" s="797">
        <v>0.78759999999999997</v>
      </c>
      <c r="E166" s="797">
        <v>0.78759999999999997</v>
      </c>
      <c r="F166" s="797">
        <v>0.78759999999999997</v>
      </c>
      <c r="G166" s="797">
        <v>0.78759999999999997</v>
      </c>
      <c r="H166" s="797">
        <v>0.78759999999999997</v>
      </c>
      <c r="I166" s="797">
        <v>0.69740000000000002</v>
      </c>
      <c r="J166" s="797">
        <v>0.69740000000000002</v>
      </c>
      <c r="K166" s="797">
        <v>0.69740000000000002</v>
      </c>
      <c r="L166" s="797">
        <v>0.69740000000000002</v>
      </c>
      <c r="M166" s="797">
        <v>0.69740000000000002</v>
      </c>
    </row>
    <row r="167" spans="1:13">
      <c r="A167" s="790">
        <v>6.3</v>
      </c>
      <c r="B167" s="797">
        <v>0.88390000000000002</v>
      </c>
      <c r="C167" s="797">
        <v>0.88390000000000002</v>
      </c>
      <c r="D167" s="797">
        <v>0.78549999999999998</v>
      </c>
      <c r="E167" s="797">
        <v>0.78549999999999998</v>
      </c>
      <c r="F167" s="797">
        <v>0.78549999999999998</v>
      </c>
      <c r="G167" s="797">
        <v>0.78549999999999998</v>
      </c>
      <c r="H167" s="797">
        <v>0.78549999999999998</v>
      </c>
      <c r="I167" s="797">
        <v>0.69479999999999997</v>
      </c>
      <c r="J167" s="797">
        <v>0.69479999999999997</v>
      </c>
      <c r="K167" s="797">
        <v>0.69479999999999997</v>
      </c>
      <c r="L167" s="797">
        <v>0.69479999999999997</v>
      </c>
      <c r="M167" s="797">
        <v>0.69479999999999997</v>
      </c>
    </row>
    <row r="168" spans="1:13">
      <c r="A168" s="790">
        <v>6.4</v>
      </c>
      <c r="B168" s="797">
        <v>0.88190000000000002</v>
      </c>
      <c r="C168" s="797">
        <v>0.88190000000000002</v>
      </c>
      <c r="D168" s="797">
        <v>0.78339999999999999</v>
      </c>
      <c r="E168" s="797">
        <v>0.78339999999999999</v>
      </c>
      <c r="F168" s="797">
        <v>0.78339999999999999</v>
      </c>
      <c r="G168" s="797">
        <v>0.78339999999999999</v>
      </c>
      <c r="H168" s="797">
        <v>0.78339999999999999</v>
      </c>
      <c r="I168" s="797">
        <v>0.69230000000000003</v>
      </c>
      <c r="J168" s="797">
        <v>0.69230000000000003</v>
      </c>
      <c r="K168" s="797">
        <v>0.69230000000000003</v>
      </c>
      <c r="L168" s="797">
        <v>0.69230000000000003</v>
      </c>
      <c r="M168" s="797">
        <v>0.69230000000000003</v>
      </c>
    </row>
    <row r="169" spans="1:13">
      <c r="A169" s="790">
        <v>6.5</v>
      </c>
      <c r="B169" s="797">
        <v>0.88</v>
      </c>
      <c r="C169" s="797">
        <v>0.88</v>
      </c>
      <c r="D169" s="797">
        <v>0.78139999999999998</v>
      </c>
      <c r="E169" s="797">
        <v>0.78139999999999998</v>
      </c>
      <c r="F169" s="797">
        <v>0.78139999999999998</v>
      </c>
      <c r="G169" s="797">
        <v>0.78139999999999998</v>
      </c>
      <c r="H169" s="797">
        <v>0.78139999999999998</v>
      </c>
      <c r="I169" s="797">
        <v>0.68989999999999996</v>
      </c>
      <c r="J169" s="797">
        <v>0.68989999999999996</v>
      </c>
      <c r="K169" s="797">
        <v>0.68989999999999996</v>
      </c>
      <c r="L169" s="797">
        <v>0.68989999999999996</v>
      </c>
      <c r="M169" s="797">
        <v>0.68989999999999996</v>
      </c>
    </row>
    <row r="170" spans="1:13">
      <c r="A170" s="790">
        <v>6.6</v>
      </c>
      <c r="B170" s="797">
        <v>0.87809999999999999</v>
      </c>
      <c r="C170" s="797">
        <v>0.87809999999999999</v>
      </c>
      <c r="D170" s="797">
        <v>0.77949999999999997</v>
      </c>
      <c r="E170" s="797">
        <v>0.77949999999999997</v>
      </c>
      <c r="F170" s="797">
        <v>0.77949999999999997</v>
      </c>
      <c r="G170" s="797">
        <v>0.77949999999999997</v>
      </c>
      <c r="H170" s="797">
        <v>0.77949999999999997</v>
      </c>
      <c r="I170" s="797">
        <v>0.68759999999999999</v>
      </c>
      <c r="J170" s="797">
        <v>0.68759999999999999</v>
      </c>
      <c r="K170" s="797">
        <v>0.68759999999999999</v>
      </c>
      <c r="L170" s="797">
        <v>0.68759999999999999</v>
      </c>
      <c r="M170" s="797">
        <v>0.68759999999999999</v>
      </c>
    </row>
    <row r="171" spans="1:13">
      <c r="A171" s="790">
        <v>6.7</v>
      </c>
      <c r="B171" s="797">
        <v>0.87629999999999997</v>
      </c>
      <c r="C171" s="797">
        <v>0.87629999999999997</v>
      </c>
      <c r="D171" s="797">
        <v>0.77759999999999996</v>
      </c>
      <c r="E171" s="797">
        <v>0.77759999999999996</v>
      </c>
      <c r="F171" s="797">
        <v>0.77759999999999996</v>
      </c>
      <c r="G171" s="797">
        <v>0.77759999999999996</v>
      </c>
      <c r="H171" s="797">
        <v>0.77759999999999996</v>
      </c>
      <c r="I171" s="797">
        <v>0.68530000000000002</v>
      </c>
      <c r="J171" s="797">
        <v>0.68530000000000002</v>
      </c>
      <c r="K171" s="797">
        <v>0.68530000000000002</v>
      </c>
      <c r="L171" s="797">
        <v>0.68530000000000002</v>
      </c>
      <c r="M171" s="797">
        <v>0.68530000000000002</v>
      </c>
    </row>
    <row r="172" spans="1:13">
      <c r="A172" s="790">
        <v>6.8</v>
      </c>
      <c r="B172" s="797">
        <v>0.87450000000000006</v>
      </c>
      <c r="C172" s="797">
        <v>0.87450000000000006</v>
      </c>
      <c r="D172" s="797">
        <v>0.77569999999999995</v>
      </c>
      <c r="E172" s="797">
        <v>0.77569999999999995</v>
      </c>
      <c r="F172" s="797">
        <v>0.77569999999999995</v>
      </c>
      <c r="G172" s="797">
        <v>0.77569999999999995</v>
      </c>
      <c r="H172" s="797">
        <v>0.77569999999999995</v>
      </c>
      <c r="I172" s="797">
        <v>0.68310000000000004</v>
      </c>
      <c r="J172" s="797">
        <v>0.68310000000000004</v>
      </c>
      <c r="K172" s="797">
        <v>0.68310000000000004</v>
      </c>
      <c r="L172" s="797">
        <v>0.68310000000000004</v>
      </c>
      <c r="M172" s="797">
        <v>0.68310000000000004</v>
      </c>
    </row>
    <row r="173" spans="1:13">
      <c r="A173" s="790">
        <v>6.9</v>
      </c>
      <c r="B173" s="797">
        <v>0.87280000000000002</v>
      </c>
      <c r="C173" s="797">
        <v>0.87280000000000002</v>
      </c>
      <c r="D173" s="797">
        <v>0.77390000000000003</v>
      </c>
      <c r="E173" s="797">
        <v>0.77390000000000003</v>
      </c>
      <c r="F173" s="797">
        <v>0.77390000000000003</v>
      </c>
      <c r="G173" s="797">
        <v>0.77390000000000003</v>
      </c>
      <c r="H173" s="797">
        <v>0.77390000000000003</v>
      </c>
      <c r="I173" s="797">
        <v>0.68089999999999995</v>
      </c>
      <c r="J173" s="797">
        <v>0.68089999999999995</v>
      </c>
      <c r="K173" s="797">
        <v>0.68089999999999995</v>
      </c>
      <c r="L173" s="797">
        <v>0.68089999999999995</v>
      </c>
      <c r="M173" s="797">
        <v>0.68089999999999995</v>
      </c>
    </row>
    <row r="174" spans="1:13">
      <c r="A174" s="790">
        <v>7</v>
      </c>
      <c r="B174" s="797">
        <v>0.87109999999999999</v>
      </c>
      <c r="C174" s="797">
        <v>0.87109999999999999</v>
      </c>
      <c r="D174" s="797">
        <v>0.77210000000000001</v>
      </c>
      <c r="E174" s="797">
        <v>0.77210000000000001</v>
      </c>
      <c r="F174" s="797">
        <v>0.77210000000000001</v>
      </c>
      <c r="G174" s="797">
        <v>0.77210000000000001</v>
      </c>
      <c r="H174" s="797">
        <v>0.77210000000000001</v>
      </c>
      <c r="I174" s="797">
        <v>0.67879999999999996</v>
      </c>
      <c r="J174" s="797">
        <v>0.67879999999999996</v>
      </c>
      <c r="K174" s="797">
        <v>0.67879999999999996</v>
      </c>
      <c r="L174" s="797">
        <v>0.67879999999999996</v>
      </c>
      <c r="M174" s="797">
        <v>0.67879999999999996</v>
      </c>
    </row>
    <row r="175" spans="1:13">
      <c r="A175" s="790">
        <v>7.1</v>
      </c>
      <c r="B175" s="797">
        <v>0.86939999999999995</v>
      </c>
      <c r="C175" s="797">
        <v>0.86939999999999995</v>
      </c>
      <c r="D175" s="797">
        <v>0.77039999999999997</v>
      </c>
      <c r="E175" s="797">
        <v>0.77039999999999997</v>
      </c>
      <c r="F175" s="797">
        <v>0.77039999999999997</v>
      </c>
      <c r="G175" s="797">
        <v>0.77039999999999997</v>
      </c>
      <c r="H175" s="797">
        <v>0.77039999999999997</v>
      </c>
      <c r="I175" s="797">
        <v>0.67669999999999997</v>
      </c>
      <c r="J175" s="797">
        <v>0.67669999999999997</v>
      </c>
      <c r="K175" s="797">
        <v>0.67669999999999997</v>
      </c>
      <c r="L175" s="797">
        <v>0.67669999999999997</v>
      </c>
      <c r="M175" s="797">
        <v>0.67669999999999997</v>
      </c>
    </row>
    <row r="176" spans="1:13">
      <c r="A176" s="790">
        <v>7.2</v>
      </c>
      <c r="B176" s="797">
        <v>0.86770000000000003</v>
      </c>
      <c r="C176" s="797">
        <v>0.86770000000000003</v>
      </c>
      <c r="D176" s="797">
        <v>0.76870000000000005</v>
      </c>
      <c r="E176" s="797">
        <v>0.76870000000000005</v>
      </c>
      <c r="F176" s="797">
        <v>0.76870000000000005</v>
      </c>
      <c r="G176" s="797">
        <v>0.76870000000000005</v>
      </c>
      <c r="H176" s="797">
        <v>0.76870000000000005</v>
      </c>
      <c r="I176" s="797">
        <v>0.67469999999999997</v>
      </c>
      <c r="J176" s="797">
        <v>0.67469999999999997</v>
      </c>
      <c r="K176" s="797">
        <v>0.67469999999999997</v>
      </c>
      <c r="L176" s="797">
        <v>0.67469999999999997</v>
      </c>
      <c r="M176" s="797">
        <v>0.67469999999999997</v>
      </c>
    </row>
    <row r="177" spans="1:13">
      <c r="A177" s="790">
        <v>7.3</v>
      </c>
      <c r="B177" s="797">
        <v>0.86609999999999998</v>
      </c>
      <c r="C177" s="797">
        <v>0.86609999999999998</v>
      </c>
      <c r="D177" s="797">
        <v>0.76700000000000002</v>
      </c>
      <c r="E177" s="797">
        <v>0.76700000000000002</v>
      </c>
      <c r="F177" s="797">
        <v>0.76700000000000002</v>
      </c>
      <c r="G177" s="797">
        <v>0.76700000000000002</v>
      </c>
      <c r="H177" s="797">
        <v>0.76700000000000002</v>
      </c>
      <c r="I177" s="797">
        <v>0.67269999999999996</v>
      </c>
      <c r="J177" s="797">
        <v>0.67269999999999996</v>
      </c>
      <c r="K177" s="797">
        <v>0.67269999999999996</v>
      </c>
      <c r="L177" s="797">
        <v>0.67269999999999996</v>
      </c>
      <c r="M177" s="797">
        <v>0.67269999999999996</v>
      </c>
    </row>
    <row r="178" spans="1:13">
      <c r="A178" s="790">
        <v>7.4</v>
      </c>
      <c r="B178" s="797">
        <v>0.86450000000000005</v>
      </c>
      <c r="C178" s="797">
        <v>0.86450000000000005</v>
      </c>
      <c r="D178" s="797">
        <v>0.76529999999999998</v>
      </c>
      <c r="E178" s="797">
        <v>0.76529999999999998</v>
      </c>
      <c r="F178" s="797">
        <v>0.76529999999999998</v>
      </c>
      <c r="G178" s="797">
        <v>0.76529999999999998</v>
      </c>
      <c r="H178" s="797">
        <v>0.76529999999999998</v>
      </c>
      <c r="I178" s="797">
        <v>0.67079999999999995</v>
      </c>
      <c r="J178" s="797">
        <v>0.67079999999999995</v>
      </c>
      <c r="K178" s="797">
        <v>0.67079999999999995</v>
      </c>
      <c r="L178" s="797">
        <v>0.67079999999999995</v>
      </c>
      <c r="M178" s="797">
        <v>0.67079999999999995</v>
      </c>
    </row>
    <row r="179" spans="1:13">
      <c r="A179" s="790">
        <v>7.5</v>
      </c>
      <c r="B179" s="797">
        <v>0.86299999999999999</v>
      </c>
      <c r="C179" s="797">
        <v>0.86299999999999999</v>
      </c>
      <c r="D179" s="797">
        <v>0.76359999999999995</v>
      </c>
      <c r="E179" s="797">
        <v>0.76359999999999995</v>
      </c>
      <c r="F179" s="797">
        <v>0.76359999999999995</v>
      </c>
      <c r="G179" s="797">
        <v>0.76359999999999995</v>
      </c>
      <c r="H179" s="797">
        <v>0.76359999999999995</v>
      </c>
      <c r="I179" s="797">
        <v>0.66890000000000005</v>
      </c>
      <c r="J179" s="797">
        <v>0.66890000000000005</v>
      </c>
      <c r="K179" s="797">
        <v>0.66890000000000005</v>
      </c>
      <c r="L179" s="797">
        <v>0.66890000000000005</v>
      </c>
      <c r="M179" s="797">
        <v>0.66890000000000005</v>
      </c>
    </row>
    <row r="180" spans="1:13">
      <c r="A180" s="790">
        <v>7.6</v>
      </c>
      <c r="B180" s="797">
        <v>0.86150000000000004</v>
      </c>
      <c r="C180" s="797">
        <v>0.86150000000000004</v>
      </c>
      <c r="D180" s="797">
        <v>0.76200000000000001</v>
      </c>
      <c r="E180" s="797">
        <v>0.76200000000000001</v>
      </c>
      <c r="F180" s="797">
        <v>0.76200000000000001</v>
      </c>
      <c r="G180" s="797">
        <v>0.76200000000000001</v>
      </c>
      <c r="H180" s="797">
        <v>0.76200000000000001</v>
      </c>
      <c r="I180" s="797">
        <v>0.66700000000000004</v>
      </c>
      <c r="J180" s="797">
        <v>0.66700000000000004</v>
      </c>
      <c r="K180" s="797">
        <v>0.66700000000000004</v>
      </c>
      <c r="L180" s="797">
        <v>0.66700000000000004</v>
      </c>
      <c r="M180" s="797">
        <v>0.66700000000000004</v>
      </c>
    </row>
    <row r="181" spans="1:13">
      <c r="A181" s="790">
        <v>7.7</v>
      </c>
      <c r="B181" s="797">
        <v>0.86</v>
      </c>
      <c r="C181" s="797">
        <v>0.86</v>
      </c>
      <c r="D181" s="797">
        <v>0.76039999999999996</v>
      </c>
      <c r="E181" s="797">
        <v>0.76039999999999996</v>
      </c>
      <c r="F181" s="797">
        <v>0.76039999999999996</v>
      </c>
      <c r="G181" s="797">
        <v>0.76039999999999996</v>
      </c>
      <c r="H181" s="797">
        <v>0.76039999999999996</v>
      </c>
      <c r="I181" s="797">
        <v>0.66510000000000002</v>
      </c>
      <c r="J181" s="797">
        <v>0.66510000000000002</v>
      </c>
      <c r="K181" s="797">
        <v>0.66510000000000002</v>
      </c>
      <c r="L181" s="797">
        <v>0.66510000000000002</v>
      </c>
      <c r="M181" s="797">
        <v>0.66510000000000002</v>
      </c>
    </row>
    <row r="182" spans="1:13">
      <c r="A182" s="790">
        <v>7.8</v>
      </c>
      <c r="B182" s="797">
        <v>0.85850000000000004</v>
      </c>
      <c r="C182" s="797">
        <v>0.85850000000000004</v>
      </c>
      <c r="D182" s="797">
        <v>0.75880000000000003</v>
      </c>
      <c r="E182" s="797">
        <v>0.75880000000000003</v>
      </c>
      <c r="F182" s="797">
        <v>0.75880000000000003</v>
      </c>
      <c r="G182" s="797">
        <v>0.75880000000000003</v>
      </c>
      <c r="H182" s="797">
        <v>0.75880000000000003</v>
      </c>
      <c r="I182" s="797">
        <v>0.6633</v>
      </c>
      <c r="J182" s="797">
        <v>0.6633</v>
      </c>
      <c r="K182" s="797">
        <v>0.6633</v>
      </c>
      <c r="L182" s="797">
        <v>0.6633</v>
      </c>
      <c r="M182" s="797">
        <v>0.6633</v>
      </c>
    </row>
    <row r="183" spans="1:13">
      <c r="A183" s="790">
        <v>7.9</v>
      </c>
      <c r="B183" s="797">
        <v>0.85699999999999998</v>
      </c>
      <c r="C183" s="797">
        <v>0.85699999999999998</v>
      </c>
      <c r="D183" s="797">
        <v>0.75719999999999998</v>
      </c>
      <c r="E183" s="797">
        <v>0.75719999999999998</v>
      </c>
      <c r="F183" s="797">
        <v>0.75719999999999998</v>
      </c>
      <c r="G183" s="797">
        <v>0.75719999999999998</v>
      </c>
      <c r="H183" s="797">
        <v>0.75719999999999998</v>
      </c>
      <c r="I183" s="797">
        <v>0.66149999999999998</v>
      </c>
      <c r="J183" s="797">
        <v>0.66149999999999998</v>
      </c>
      <c r="K183" s="797">
        <v>0.66149999999999998</v>
      </c>
      <c r="L183" s="797">
        <v>0.66149999999999998</v>
      </c>
      <c r="M183" s="797">
        <v>0.66149999999999998</v>
      </c>
    </row>
    <row r="184" spans="1:13">
      <c r="A184" s="790">
        <v>8</v>
      </c>
      <c r="B184" s="797">
        <v>0.85550000000000004</v>
      </c>
      <c r="C184" s="797">
        <v>0.85550000000000004</v>
      </c>
      <c r="D184" s="797">
        <v>0.75570000000000004</v>
      </c>
      <c r="E184" s="797">
        <v>0.75570000000000004</v>
      </c>
      <c r="F184" s="797">
        <v>0.75570000000000004</v>
      </c>
      <c r="G184" s="797">
        <v>0.75570000000000004</v>
      </c>
      <c r="H184" s="797">
        <v>0.75570000000000004</v>
      </c>
      <c r="I184" s="797">
        <v>0.65969999999999995</v>
      </c>
      <c r="J184" s="797">
        <v>0.65969999999999995</v>
      </c>
      <c r="K184" s="797">
        <v>0.65969999999999995</v>
      </c>
      <c r="L184" s="797">
        <v>0.65969999999999995</v>
      </c>
      <c r="M184" s="797">
        <v>0.65969999999999995</v>
      </c>
    </row>
    <row r="185" spans="1:13">
      <c r="A185" s="790">
        <v>8.1</v>
      </c>
      <c r="B185" s="797">
        <v>0.85399999999999998</v>
      </c>
      <c r="C185" s="797">
        <v>0.85399999999999998</v>
      </c>
      <c r="D185" s="797">
        <v>0.75419999999999998</v>
      </c>
      <c r="E185" s="797">
        <v>0.75419999999999998</v>
      </c>
      <c r="F185" s="797">
        <v>0.75419999999999998</v>
      </c>
      <c r="G185" s="797">
        <v>0.75419999999999998</v>
      </c>
      <c r="H185" s="797">
        <v>0.75419999999999998</v>
      </c>
      <c r="I185" s="797">
        <v>0.65800000000000003</v>
      </c>
      <c r="J185" s="797">
        <v>0.65800000000000003</v>
      </c>
      <c r="K185" s="797">
        <v>0.65800000000000003</v>
      </c>
      <c r="L185" s="797">
        <v>0.65800000000000003</v>
      </c>
      <c r="M185" s="797">
        <v>0.65800000000000003</v>
      </c>
    </row>
    <row r="186" spans="1:13">
      <c r="A186" s="790">
        <v>8.1999999999999993</v>
      </c>
      <c r="B186" s="797">
        <v>0.85250000000000004</v>
      </c>
      <c r="C186" s="797">
        <v>0.85250000000000004</v>
      </c>
      <c r="D186" s="797">
        <v>0.75270000000000004</v>
      </c>
      <c r="E186" s="797">
        <v>0.75270000000000004</v>
      </c>
      <c r="F186" s="797">
        <v>0.75270000000000004</v>
      </c>
      <c r="G186" s="797">
        <v>0.75270000000000004</v>
      </c>
      <c r="H186" s="797">
        <v>0.75270000000000004</v>
      </c>
      <c r="I186" s="797">
        <v>0.65629999999999999</v>
      </c>
      <c r="J186" s="797">
        <v>0.65629999999999999</v>
      </c>
      <c r="K186" s="797">
        <v>0.65629999999999999</v>
      </c>
      <c r="L186" s="797">
        <v>0.65629999999999999</v>
      </c>
      <c r="M186" s="797">
        <v>0.65629999999999999</v>
      </c>
    </row>
    <row r="187" spans="1:13">
      <c r="A187" s="790">
        <v>8.3000000000000007</v>
      </c>
      <c r="B187" s="797">
        <v>0.85109999999999997</v>
      </c>
      <c r="C187" s="797">
        <v>0.85109999999999997</v>
      </c>
      <c r="D187" s="797">
        <v>0.75119999999999998</v>
      </c>
      <c r="E187" s="797">
        <v>0.75119999999999998</v>
      </c>
      <c r="F187" s="797">
        <v>0.75119999999999998</v>
      </c>
      <c r="G187" s="797">
        <v>0.75119999999999998</v>
      </c>
      <c r="H187" s="797">
        <v>0.75119999999999998</v>
      </c>
      <c r="I187" s="797">
        <v>0.65459999999999996</v>
      </c>
      <c r="J187" s="797">
        <v>0.65459999999999996</v>
      </c>
      <c r="K187" s="797">
        <v>0.65459999999999996</v>
      </c>
      <c r="L187" s="797">
        <v>0.65459999999999996</v>
      </c>
      <c r="M187" s="797">
        <v>0.65459999999999996</v>
      </c>
    </row>
    <row r="188" spans="1:13">
      <c r="A188" s="790">
        <v>8.4</v>
      </c>
      <c r="B188" s="797">
        <v>0.84970000000000001</v>
      </c>
      <c r="C188" s="797">
        <v>0.84970000000000001</v>
      </c>
      <c r="D188" s="797">
        <v>0.74970000000000003</v>
      </c>
      <c r="E188" s="797">
        <v>0.74970000000000003</v>
      </c>
      <c r="F188" s="797">
        <v>0.74970000000000003</v>
      </c>
      <c r="G188" s="797">
        <v>0.74970000000000003</v>
      </c>
      <c r="H188" s="797">
        <v>0.74970000000000003</v>
      </c>
      <c r="I188" s="797">
        <v>0.65300000000000002</v>
      </c>
      <c r="J188" s="797">
        <v>0.65300000000000002</v>
      </c>
      <c r="K188" s="797">
        <v>0.65300000000000002</v>
      </c>
      <c r="L188" s="797">
        <v>0.65300000000000002</v>
      </c>
      <c r="M188" s="797">
        <v>0.65300000000000002</v>
      </c>
    </row>
    <row r="189" spans="1:13">
      <c r="A189" s="790">
        <v>8.5</v>
      </c>
      <c r="B189" s="797">
        <v>0.84830000000000005</v>
      </c>
      <c r="C189" s="797">
        <v>0.84830000000000005</v>
      </c>
      <c r="D189" s="797">
        <v>0.74819999999999998</v>
      </c>
      <c r="E189" s="797">
        <v>0.74819999999999998</v>
      </c>
      <c r="F189" s="797">
        <v>0.74819999999999998</v>
      </c>
      <c r="G189" s="797">
        <v>0.74819999999999998</v>
      </c>
      <c r="H189" s="797">
        <v>0.74819999999999998</v>
      </c>
      <c r="I189" s="797">
        <v>0.65139999999999998</v>
      </c>
      <c r="J189" s="797">
        <v>0.65139999999999998</v>
      </c>
      <c r="K189" s="797">
        <v>0.65139999999999998</v>
      </c>
      <c r="L189" s="797">
        <v>0.65139999999999998</v>
      </c>
      <c r="M189" s="797">
        <v>0.65139999999999998</v>
      </c>
    </row>
    <row r="190" spans="1:13">
      <c r="A190" s="790">
        <v>8.6</v>
      </c>
      <c r="B190" s="797">
        <v>0.84689999999999999</v>
      </c>
      <c r="C190" s="797">
        <v>0.84689999999999999</v>
      </c>
      <c r="D190" s="797">
        <v>0.74670000000000003</v>
      </c>
      <c r="E190" s="797">
        <v>0.74670000000000003</v>
      </c>
      <c r="F190" s="797">
        <v>0.74670000000000003</v>
      </c>
      <c r="G190" s="797">
        <v>0.74670000000000003</v>
      </c>
      <c r="H190" s="797">
        <v>0.74670000000000003</v>
      </c>
      <c r="I190" s="797">
        <v>0.64980000000000004</v>
      </c>
      <c r="J190" s="797">
        <v>0.64980000000000004</v>
      </c>
      <c r="K190" s="797">
        <v>0.64980000000000004</v>
      </c>
      <c r="L190" s="797">
        <v>0.64980000000000004</v>
      </c>
      <c r="M190" s="797">
        <v>0.64980000000000004</v>
      </c>
    </row>
    <row r="191" spans="1:13">
      <c r="A191" s="790">
        <v>8.6999999999999993</v>
      </c>
      <c r="B191" s="797">
        <v>0.84550000000000003</v>
      </c>
      <c r="C191" s="797">
        <v>0.84550000000000003</v>
      </c>
      <c r="D191" s="797">
        <v>0.74519999999999997</v>
      </c>
      <c r="E191" s="797">
        <v>0.74519999999999997</v>
      </c>
      <c r="F191" s="797">
        <v>0.74519999999999997</v>
      </c>
      <c r="G191" s="797">
        <v>0.74519999999999997</v>
      </c>
      <c r="H191" s="797">
        <v>0.74519999999999997</v>
      </c>
      <c r="I191" s="797">
        <v>0.6482</v>
      </c>
      <c r="J191" s="797">
        <v>0.6482</v>
      </c>
      <c r="K191" s="797">
        <v>0.6482</v>
      </c>
      <c r="L191" s="797">
        <v>0.6482</v>
      </c>
      <c r="M191" s="797">
        <v>0.6482</v>
      </c>
    </row>
    <row r="192" spans="1:13">
      <c r="A192" s="790">
        <v>8.8000000000000007</v>
      </c>
      <c r="B192" s="797">
        <v>0.84409999999999996</v>
      </c>
      <c r="C192" s="797">
        <v>0.84409999999999996</v>
      </c>
      <c r="D192" s="797">
        <v>0.74370000000000003</v>
      </c>
      <c r="E192" s="797">
        <v>0.74370000000000003</v>
      </c>
      <c r="F192" s="797">
        <v>0.74370000000000003</v>
      </c>
      <c r="G192" s="797">
        <v>0.74370000000000003</v>
      </c>
      <c r="H192" s="797">
        <v>0.74370000000000003</v>
      </c>
      <c r="I192" s="797">
        <v>0.64659999999999995</v>
      </c>
      <c r="J192" s="797">
        <v>0.64659999999999995</v>
      </c>
      <c r="K192" s="797">
        <v>0.64659999999999995</v>
      </c>
      <c r="L192" s="797">
        <v>0.64659999999999995</v>
      </c>
      <c r="M192" s="797">
        <v>0.64659999999999995</v>
      </c>
    </row>
    <row r="193" spans="1:13">
      <c r="A193" s="790">
        <v>8.9</v>
      </c>
      <c r="B193" s="797">
        <v>0.84279999999999999</v>
      </c>
      <c r="C193" s="797">
        <v>0.84279999999999999</v>
      </c>
      <c r="D193" s="797">
        <v>0.74219999999999997</v>
      </c>
      <c r="E193" s="797">
        <v>0.74219999999999997</v>
      </c>
      <c r="F193" s="797">
        <v>0.74219999999999997</v>
      </c>
      <c r="G193" s="797">
        <v>0.74219999999999997</v>
      </c>
      <c r="H193" s="797">
        <v>0.74219999999999997</v>
      </c>
      <c r="I193" s="797">
        <v>0.64500000000000002</v>
      </c>
      <c r="J193" s="797">
        <v>0.64500000000000002</v>
      </c>
      <c r="K193" s="797">
        <v>0.64500000000000002</v>
      </c>
      <c r="L193" s="797">
        <v>0.64500000000000002</v>
      </c>
      <c r="M193" s="797">
        <v>0.64500000000000002</v>
      </c>
    </row>
    <row r="194" spans="1:13">
      <c r="A194" s="804">
        <v>9</v>
      </c>
      <c r="B194" s="797">
        <v>0.84150000000000003</v>
      </c>
      <c r="C194" s="797">
        <v>0.84150000000000003</v>
      </c>
      <c r="D194" s="797">
        <v>0.74070000000000003</v>
      </c>
      <c r="E194" s="797">
        <v>0.74070000000000003</v>
      </c>
      <c r="F194" s="797">
        <v>0.74070000000000003</v>
      </c>
      <c r="G194" s="797">
        <v>0.74070000000000003</v>
      </c>
      <c r="H194" s="797">
        <v>0.74070000000000003</v>
      </c>
      <c r="I194" s="797">
        <v>0.64349999999999996</v>
      </c>
      <c r="J194" s="797">
        <v>0.64349999999999996</v>
      </c>
      <c r="K194" s="797">
        <v>0.64349999999999996</v>
      </c>
      <c r="L194" s="797">
        <v>0.64349999999999996</v>
      </c>
      <c r="M194" s="797">
        <v>0.64349999999999996</v>
      </c>
    </row>
    <row r="195" spans="1:13">
      <c r="A195" s="804">
        <v>9.1</v>
      </c>
      <c r="B195" s="797">
        <v>0.84019999999999995</v>
      </c>
      <c r="C195" s="797">
        <v>0.84019999999999995</v>
      </c>
      <c r="D195" s="797">
        <v>0.73919999999999997</v>
      </c>
      <c r="E195" s="797">
        <v>0.73919999999999997</v>
      </c>
      <c r="F195" s="797">
        <v>0.73919999999999997</v>
      </c>
      <c r="G195" s="797">
        <v>0.73919999999999997</v>
      </c>
      <c r="H195" s="797">
        <v>0.73919999999999997</v>
      </c>
      <c r="I195" s="797">
        <v>0.64200000000000002</v>
      </c>
      <c r="J195" s="797">
        <v>0.64200000000000002</v>
      </c>
      <c r="K195" s="797">
        <v>0.64200000000000002</v>
      </c>
      <c r="L195" s="797">
        <v>0.64200000000000002</v>
      </c>
      <c r="M195" s="797">
        <v>0.64200000000000002</v>
      </c>
    </row>
    <row r="196" spans="1:13">
      <c r="A196" s="804">
        <v>9.1999999999999993</v>
      </c>
      <c r="B196" s="797">
        <v>0.83889999999999998</v>
      </c>
      <c r="C196" s="797">
        <v>0.83889999999999998</v>
      </c>
      <c r="D196" s="797">
        <v>0.73770000000000002</v>
      </c>
      <c r="E196" s="797">
        <v>0.73770000000000002</v>
      </c>
      <c r="F196" s="797">
        <v>0.73770000000000002</v>
      </c>
      <c r="G196" s="797">
        <v>0.73770000000000002</v>
      </c>
      <c r="H196" s="797">
        <v>0.73770000000000002</v>
      </c>
      <c r="I196" s="797">
        <v>0.64059999999999995</v>
      </c>
      <c r="J196" s="797">
        <v>0.64059999999999995</v>
      </c>
      <c r="K196" s="797">
        <v>0.64059999999999995</v>
      </c>
      <c r="L196" s="797">
        <v>0.64059999999999995</v>
      </c>
      <c r="M196" s="797">
        <v>0.64059999999999995</v>
      </c>
    </row>
    <row r="197" spans="1:13">
      <c r="A197" s="804">
        <v>9.3000000000000007</v>
      </c>
      <c r="B197" s="797">
        <v>0.83760000000000001</v>
      </c>
      <c r="C197" s="797">
        <v>0.83760000000000001</v>
      </c>
      <c r="D197" s="797">
        <v>0.73629999999999995</v>
      </c>
      <c r="E197" s="797">
        <v>0.73629999999999995</v>
      </c>
      <c r="F197" s="797">
        <v>0.73629999999999995</v>
      </c>
      <c r="G197" s="797">
        <v>0.73629999999999995</v>
      </c>
      <c r="H197" s="797">
        <v>0.73629999999999995</v>
      </c>
      <c r="I197" s="797">
        <v>0.63919999999999999</v>
      </c>
      <c r="J197" s="797">
        <v>0.63919999999999999</v>
      </c>
      <c r="K197" s="797">
        <v>0.63919999999999999</v>
      </c>
      <c r="L197" s="797">
        <v>0.63919999999999999</v>
      </c>
      <c r="M197" s="797">
        <v>0.63919999999999999</v>
      </c>
    </row>
    <row r="198" spans="1:13">
      <c r="A198" s="804">
        <v>9.4</v>
      </c>
      <c r="B198" s="797">
        <v>0.83630000000000004</v>
      </c>
      <c r="C198" s="797">
        <v>0.83630000000000004</v>
      </c>
      <c r="D198" s="797">
        <v>0.7349</v>
      </c>
      <c r="E198" s="797">
        <v>0.7349</v>
      </c>
      <c r="F198" s="797">
        <v>0.7349</v>
      </c>
      <c r="G198" s="797">
        <v>0.7349</v>
      </c>
      <c r="H198" s="797">
        <v>0.7349</v>
      </c>
      <c r="I198" s="797">
        <v>0.63780000000000003</v>
      </c>
      <c r="J198" s="797">
        <v>0.63780000000000003</v>
      </c>
      <c r="K198" s="797">
        <v>0.63780000000000003</v>
      </c>
      <c r="L198" s="797">
        <v>0.63780000000000003</v>
      </c>
      <c r="M198" s="797">
        <v>0.63780000000000003</v>
      </c>
    </row>
    <row r="199" spans="1:13">
      <c r="A199" s="804">
        <v>9.5</v>
      </c>
      <c r="B199" s="797">
        <v>0.83499999999999996</v>
      </c>
      <c r="C199" s="797">
        <v>0.83499999999999996</v>
      </c>
      <c r="D199" s="797">
        <v>0.73350000000000004</v>
      </c>
      <c r="E199" s="797">
        <v>0.73350000000000004</v>
      </c>
      <c r="F199" s="797">
        <v>0.73350000000000004</v>
      </c>
      <c r="G199" s="797">
        <v>0.73350000000000004</v>
      </c>
      <c r="H199" s="797">
        <v>0.73350000000000004</v>
      </c>
      <c r="I199" s="797">
        <v>0.63639999999999997</v>
      </c>
      <c r="J199" s="797">
        <v>0.63639999999999997</v>
      </c>
      <c r="K199" s="797">
        <v>0.63639999999999997</v>
      </c>
      <c r="L199" s="797">
        <v>0.63639999999999997</v>
      </c>
      <c r="M199" s="797">
        <v>0.63639999999999997</v>
      </c>
    </row>
    <row r="200" spans="1:13">
      <c r="A200" s="804">
        <v>9.6</v>
      </c>
      <c r="B200" s="797">
        <v>0.83379999999999999</v>
      </c>
      <c r="C200" s="797">
        <v>0.83379999999999999</v>
      </c>
      <c r="D200" s="797">
        <v>0.73209999999999997</v>
      </c>
      <c r="E200" s="797">
        <v>0.73209999999999997</v>
      </c>
      <c r="F200" s="797">
        <v>0.73209999999999997</v>
      </c>
      <c r="G200" s="797">
        <v>0.73209999999999997</v>
      </c>
      <c r="H200" s="797">
        <v>0.73209999999999997</v>
      </c>
      <c r="I200" s="797">
        <v>0.63500000000000001</v>
      </c>
      <c r="J200" s="797">
        <v>0.63500000000000001</v>
      </c>
      <c r="K200" s="797">
        <v>0.63500000000000001</v>
      </c>
      <c r="L200" s="797">
        <v>0.63500000000000001</v>
      </c>
      <c r="M200" s="797">
        <v>0.63500000000000001</v>
      </c>
    </row>
    <row r="201" spans="1:13">
      <c r="A201" s="804">
        <v>9.6999999999999993</v>
      </c>
      <c r="B201" s="797">
        <v>0.83260000000000001</v>
      </c>
      <c r="C201" s="797">
        <v>0.83260000000000001</v>
      </c>
      <c r="D201" s="797">
        <v>0.73070000000000002</v>
      </c>
      <c r="E201" s="797">
        <v>0.73070000000000002</v>
      </c>
      <c r="F201" s="797">
        <v>0.73070000000000002</v>
      </c>
      <c r="G201" s="797">
        <v>0.73070000000000002</v>
      </c>
      <c r="H201" s="797">
        <v>0.73070000000000002</v>
      </c>
      <c r="I201" s="797">
        <v>0.63360000000000005</v>
      </c>
      <c r="J201" s="797">
        <v>0.63360000000000005</v>
      </c>
      <c r="K201" s="797">
        <v>0.63360000000000005</v>
      </c>
      <c r="L201" s="797">
        <v>0.63360000000000005</v>
      </c>
      <c r="M201" s="797">
        <v>0.63360000000000005</v>
      </c>
    </row>
    <row r="202" spans="1:13">
      <c r="A202" s="804">
        <v>9.8000000000000007</v>
      </c>
      <c r="B202" s="797">
        <v>0.83140000000000003</v>
      </c>
      <c r="C202" s="797">
        <v>0.83140000000000003</v>
      </c>
      <c r="D202" s="797">
        <v>0.72929999999999995</v>
      </c>
      <c r="E202" s="797">
        <v>0.72929999999999995</v>
      </c>
      <c r="F202" s="797">
        <v>0.72929999999999995</v>
      </c>
      <c r="G202" s="797">
        <v>0.72929999999999995</v>
      </c>
      <c r="H202" s="797">
        <v>0.72929999999999995</v>
      </c>
      <c r="I202" s="797">
        <v>0.63219999999999998</v>
      </c>
      <c r="J202" s="797">
        <v>0.63219999999999998</v>
      </c>
      <c r="K202" s="797">
        <v>0.63219999999999998</v>
      </c>
      <c r="L202" s="797">
        <v>0.63219999999999998</v>
      </c>
      <c r="M202" s="797">
        <v>0.63219999999999998</v>
      </c>
    </row>
    <row r="203" spans="1:13">
      <c r="A203" s="804">
        <v>9.9</v>
      </c>
      <c r="B203" s="797">
        <v>0.83020000000000005</v>
      </c>
      <c r="C203" s="797">
        <v>0.83020000000000005</v>
      </c>
      <c r="D203" s="797">
        <v>0.72799999999999998</v>
      </c>
      <c r="E203" s="797">
        <v>0.72799999999999998</v>
      </c>
      <c r="F203" s="797">
        <v>0.72799999999999998</v>
      </c>
      <c r="G203" s="797">
        <v>0.72799999999999998</v>
      </c>
      <c r="H203" s="797">
        <v>0.72799999999999998</v>
      </c>
      <c r="I203" s="797">
        <v>0.63080000000000003</v>
      </c>
      <c r="J203" s="797">
        <v>0.63080000000000003</v>
      </c>
      <c r="K203" s="797">
        <v>0.63080000000000003</v>
      </c>
      <c r="L203" s="797">
        <v>0.63080000000000003</v>
      </c>
      <c r="M203" s="797">
        <v>0.63080000000000003</v>
      </c>
    </row>
    <row r="204" spans="1:13">
      <c r="A204" s="804">
        <v>10</v>
      </c>
      <c r="B204" s="797">
        <v>0.82899999999999996</v>
      </c>
      <c r="C204" s="797">
        <v>0.82899999999999996</v>
      </c>
      <c r="D204" s="797">
        <v>0.72670000000000001</v>
      </c>
      <c r="E204" s="797">
        <v>0.72670000000000001</v>
      </c>
      <c r="F204" s="797">
        <v>0.72670000000000001</v>
      </c>
      <c r="G204" s="797">
        <v>0.72670000000000001</v>
      </c>
      <c r="H204" s="797">
        <v>0.72670000000000001</v>
      </c>
      <c r="I204" s="797">
        <v>0.62939999999999996</v>
      </c>
      <c r="J204" s="797">
        <v>0.62939999999999996</v>
      </c>
      <c r="K204" s="797">
        <v>0.62939999999999996</v>
      </c>
      <c r="L204" s="797">
        <v>0.62939999999999996</v>
      </c>
      <c r="M204" s="797">
        <v>0.62939999999999996</v>
      </c>
    </row>
    <row r="205" spans="1:13" ht="14.25">
      <c r="A205" s="788" t="s">
        <v>749</v>
      </c>
      <c r="B205" s="789"/>
      <c r="C205" s="789"/>
      <c r="D205" s="789"/>
      <c r="E205" s="789"/>
      <c r="F205" s="789"/>
      <c r="G205" s="789"/>
      <c r="H205" s="789"/>
      <c r="I205" s="789"/>
      <c r="J205" s="789"/>
      <c r="K205" s="789"/>
      <c r="L205" s="789"/>
      <c r="M205" s="789"/>
    </row>
    <row r="206" spans="1:13">
      <c r="A206" s="790" t="s">
        <v>746</v>
      </c>
      <c r="B206" s="791" t="s">
        <v>157</v>
      </c>
      <c r="C206" s="791" t="s">
        <v>158</v>
      </c>
      <c r="D206" s="791" t="s">
        <v>159</v>
      </c>
      <c r="E206" s="791" t="s">
        <v>160</v>
      </c>
      <c r="F206" s="791" t="s">
        <v>161</v>
      </c>
      <c r="G206" s="791" t="s">
        <v>162</v>
      </c>
      <c r="H206" s="792" t="s">
        <v>163</v>
      </c>
      <c r="I206" s="792" t="s">
        <v>164</v>
      </c>
      <c r="J206" s="793" t="s">
        <v>165</v>
      </c>
      <c r="K206" s="793" t="s">
        <v>166</v>
      </c>
      <c r="L206" s="793" t="s">
        <v>167</v>
      </c>
      <c r="M206" s="793" t="s">
        <v>168</v>
      </c>
    </row>
    <row r="207" spans="1:13">
      <c r="A207" s="790">
        <v>0.1</v>
      </c>
      <c r="B207" s="797">
        <v>12.172000000000001</v>
      </c>
      <c r="C207" s="797">
        <v>12.172000000000001</v>
      </c>
      <c r="D207" s="797">
        <v>12.375999999999999</v>
      </c>
      <c r="E207" s="797">
        <v>12.375999999999999</v>
      </c>
      <c r="F207" s="797">
        <v>12.375999999999999</v>
      </c>
      <c r="G207" s="797">
        <v>12.375999999999999</v>
      </c>
      <c r="H207" s="797">
        <v>12.375999999999999</v>
      </c>
      <c r="I207" s="797">
        <v>11.071999999999999</v>
      </c>
      <c r="J207" s="797">
        <v>11.071999999999999</v>
      </c>
      <c r="K207" s="797">
        <v>11.071999999999999</v>
      </c>
      <c r="L207" s="797">
        <v>11.071999999999999</v>
      </c>
      <c r="M207" s="797">
        <v>11.071999999999999</v>
      </c>
    </row>
    <row r="208" spans="1:13">
      <c r="A208" s="790">
        <v>0.2</v>
      </c>
      <c r="B208" s="797">
        <v>6.0860000000000003</v>
      </c>
      <c r="C208" s="797">
        <v>6.0860000000000003</v>
      </c>
      <c r="D208" s="797">
        <v>6.1879999999999997</v>
      </c>
      <c r="E208" s="797">
        <v>6.1879999999999997</v>
      </c>
      <c r="F208" s="797">
        <v>6.1879999999999997</v>
      </c>
      <c r="G208" s="797">
        <v>6.1879999999999997</v>
      </c>
      <c r="H208" s="797">
        <v>6.1879999999999997</v>
      </c>
      <c r="I208" s="797">
        <v>5.5359999999999996</v>
      </c>
      <c r="J208" s="797">
        <v>5.5359999999999996</v>
      </c>
      <c r="K208" s="797">
        <v>5.5359999999999996</v>
      </c>
      <c r="L208" s="797">
        <v>5.5359999999999996</v>
      </c>
      <c r="M208" s="797">
        <v>5.5359999999999996</v>
      </c>
    </row>
    <row r="209" spans="1:13">
      <c r="A209" s="790">
        <v>0.3</v>
      </c>
      <c r="B209" s="797">
        <v>4.0572999999999997</v>
      </c>
      <c r="C209" s="797">
        <v>4.0572999999999997</v>
      </c>
      <c r="D209" s="797">
        <v>4.1253000000000002</v>
      </c>
      <c r="E209" s="797">
        <v>4.1253000000000002</v>
      </c>
      <c r="F209" s="797">
        <v>4.1253000000000002</v>
      </c>
      <c r="G209" s="797">
        <v>4.1253000000000002</v>
      </c>
      <c r="H209" s="797">
        <v>4.1253000000000002</v>
      </c>
      <c r="I209" s="797">
        <v>3.6907000000000001</v>
      </c>
      <c r="J209" s="797">
        <v>3.6907000000000001</v>
      </c>
      <c r="K209" s="797">
        <v>3.6907000000000001</v>
      </c>
      <c r="L209" s="797">
        <v>3.6907000000000001</v>
      </c>
      <c r="M209" s="797">
        <v>3.6907000000000001</v>
      </c>
    </row>
    <row r="210" spans="1:13">
      <c r="A210" s="790">
        <v>0.4</v>
      </c>
      <c r="B210" s="797">
        <v>3.0430000000000001</v>
      </c>
      <c r="C210" s="797">
        <v>3.0430000000000001</v>
      </c>
      <c r="D210" s="797">
        <v>3.0939999999999999</v>
      </c>
      <c r="E210" s="797">
        <v>3.0939999999999999</v>
      </c>
      <c r="F210" s="797">
        <v>3.0939999999999999</v>
      </c>
      <c r="G210" s="797">
        <v>3.0939999999999999</v>
      </c>
      <c r="H210" s="797">
        <v>3.0939999999999999</v>
      </c>
      <c r="I210" s="797">
        <v>2.7679999999999998</v>
      </c>
      <c r="J210" s="797">
        <v>2.7679999999999998</v>
      </c>
      <c r="K210" s="797">
        <v>2.7679999999999998</v>
      </c>
      <c r="L210" s="797">
        <v>2.7679999999999998</v>
      </c>
      <c r="M210" s="797">
        <v>2.7679999999999998</v>
      </c>
    </row>
    <row r="211" spans="1:13">
      <c r="A211" s="790">
        <v>0.5</v>
      </c>
      <c r="B211" s="797">
        <v>2.4344000000000001</v>
      </c>
      <c r="C211" s="797">
        <v>2.4344000000000001</v>
      </c>
      <c r="D211" s="797">
        <v>2.4752000000000001</v>
      </c>
      <c r="E211" s="797">
        <v>2.4752000000000001</v>
      </c>
      <c r="F211" s="797">
        <v>2.4752000000000001</v>
      </c>
      <c r="G211" s="797">
        <v>2.4752000000000001</v>
      </c>
      <c r="H211" s="797">
        <v>2.4752000000000001</v>
      </c>
      <c r="I211" s="797">
        <v>2.2143999999999999</v>
      </c>
      <c r="J211" s="797">
        <v>2.2143999999999999</v>
      </c>
      <c r="K211" s="797">
        <v>2.2143999999999999</v>
      </c>
      <c r="L211" s="797">
        <v>2.2143999999999999</v>
      </c>
      <c r="M211" s="797">
        <v>2.2143999999999999</v>
      </c>
    </row>
    <row r="212" spans="1:13">
      <c r="A212" s="790">
        <v>0.6</v>
      </c>
      <c r="B212" s="797">
        <v>2.0287000000000002</v>
      </c>
      <c r="C212" s="797">
        <v>2.0287000000000002</v>
      </c>
      <c r="D212" s="797">
        <v>2.0627</v>
      </c>
      <c r="E212" s="797">
        <v>2.0627</v>
      </c>
      <c r="F212" s="797">
        <v>2.0627</v>
      </c>
      <c r="G212" s="797">
        <v>2.0627</v>
      </c>
      <c r="H212" s="797">
        <v>2.0627</v>
      </c>
      <c r="I212" s="797">
        <v>1.8452999999999999</v>
      </c>
      <c r="J212" s="797">
        <v>1.8452999999999999</v>
      </c>
      <c r="K212" s="797">
        <v>1.8452999999999999</v>
      </c>
      <c r="L212" s="797">
        <v>1.8452999999999999</v>
      </c>
      <c r="M212" s="797">
        <v>1.8452999999999999</v>
      </c>
    </row>
    <row r="213" spans="1:13">
      <c r="A213" s="790">
        <v>0.7</v>
      </c>
      <c r="B213" s="797">
        <v>1.7388999999999999</v>
      </c>
      <c r="C213" s="797">
        <v>1.7388999999999999</v>
      </c>
      <c r="D213" s="797">
        <v>1.768</v>
      </c>
      <c r="E213" s="797">
        <v>1.768</v>
      </c>
      <c r="F213" s="797">
        <v>1.768</v>
      </c>
      <c r="G213" s="797">
        <v>1.768</v>
      </c>
      <c r="H213" s="797">
        <v>1.768</v>
      </c>
      <c r="I213" s="797">
        <v>1.5817000000000001</v>
      </c>
      <c r="J213" s="797">
        <v>1.5817000000000001</v>
      </c>
      <c r="K213" s="797">
        <v>1.5817000000000001</v>
      </c>
      <c r="L213" s="797">
        <v>1.5817000000000001</v>
      </c>
      <c r="M213" s="797">
        <v>1.5817000000000001</v>
      </c>
    </row>
    <row r="214" spans="1:13">
      <c r="A214" s="790">
        <v>0.8</v>
      </c>
      <c r="B214" s="797">
        <v>1.5215000000000001</v>
      </c>
      <c r="C214" s="797">
        <v>1.5215000000000001</v>
      </c>
      <c r="D214" s="797">
        <v>1.5469999999999999</v>
      </c>
      <c r="E214" s="797">
        <v>1.5469999999999999</v>
      </c>
      <c r="F214" s="797">
        <v>1.5469999999999999</v>
      </c>
      <c r="G214" s="797">
        <v>1.5469999999999999</v>
      </c>
      <c r="H214" s="797">
        <v>1.5469999999999999</v>
      </c>
      <c r="I214" s="797">
        <v>1.3839999999999999</v>
      </c>
      <c r="J214" s="797">
        <v>1.3839999999999999</v>
      </c>
      <c r="K214" s="797">
        <v>1.3839999999999999</v>
      </c>
      <c r="L214" s="797">
        <v>1.3839999999999999</v>
      </c>
      <c r="M214" s="797">
        <v>1.3839999999999999</v>
      </c>
    </row>
    <row r="215" spans="1:13">
      <c r="A215" s="790">
        <v>0.9</v>
      </c>
      <c r="B215" s="797">
        <v>1.3524</v>
      </c>
      <c r="C215" s="797">
        <v>1.3524</v>
      </c>
      <c r="D215" s="797">
        <v>1.3751</v>
      </c>
      <c r="E215" s="797">
        <v>1.3751</v>
      </c>
      <c r="F215" s="797">
        <v>1.3751</v>
      </c>
      <c r="G215" s="797">
        <v>1.3751</v>
      </c>
      <c r="H215" s="797">
        <v>1.3751</v>
      </c>
      <c r="I215" s="797">
        <v>1.2302</v>
      </c>
      <c r="J215" s="797">
        <v>1.2302</v>
      </c>
      <c r="K215" s="797">
        <v>1.2302</v>
      </c>
      <c r="L215" s="797">
        <v>1.2302</v>
      </c>
      <c r="M215" s="797">
        <v>1.2302</v>
      </c>
    </row>
    <row r="216" spans="1:13">
      <c r="A216" s="790">
        <v>1</v>
      </c>
      <c r="B216" s="797">
        <v>1.2172000000000001</v>
      </c>
      <c r="C216" s="797">
        <v>1.2172000000000001</v>
      </c>
      <c r="D216" s="797">
        <v>1.2376</v>
      </c>
      <c r="E216" s="797">
        <v>1.2376</v>
      </c>
      <c r="F216" s="797">
        <v>1.2376</v>
      </c>
      <c r="G216" s="797">
        <v>1.2376</v>
      </c>
      <c r="H216" s="797">
        <v>1.2376</v>
      </c>
      <c r="I216" s="797">
        <v>1.1072</v>
      </c>
      <c r="J216" s="797">
        <v>1.1072</v>
      </c>
      <c r="K216" s="797">
        <v>1.1072</v>
      </c>
      <c r="L216" s="797">
        <v>1.1072</v>
      </c>
      <c r="M216" s="797">
        <v>1.1072</v>
      </c>
    </row>
    <row r="217" spans="1:13">
      <c r="A217" s="790">
        <v>1.1000000000000001</v>
      </c>
      <c r="B217" s="797">
        <v>1.198</v>
      </c>
      <c r="C217" s="797">
        <v>1.198</v>
      </c>
      <c r="D217" s="797">
        <v>1.2156</v>
      </c>
      <c r="E217" s="797">
        <v>1.2156</v>
      </c>
      <c r="F217" s="797">
        <v>1.2156</v>
      </c>
      <c r="G217" s="797">
        <v>1.2156</v>
      </c>
      <c r="H217" s="797">
        <v>1.2156</v>
      </c>
      <c r="I217" s="797">
        <v>1.0829</v>
      </c>
      <c r="J217" s="797">
        <v>1.0829</v>
      </c>
      <c r="K217" s="797">
        <v>1.0829</v>
      </c>
      <c r="L217" s="797">
        <v>1.0829</v>
      </c>
      <c r="M217" s="797">
        <v>1.0829</v>
      </c>
    </row>
    <row r="218" spans="1:13">
      <c r="A218" s="790">
        <v>1.2</v>
      </c>
      <c r="B218" s="797">
        <v>1.1795</v>
      </c>
      <c r="C218" s="797">
        <v>1.1795</v>
      </c>
      <c r="D218" s="797">
        <v>1.1947000000000001</v>
      </c>
      <c r="E218" s="797">
        <v>1.1947000000000001</v>
      </c>
      <c r="F218" s="797">
        <v>1.1947000000000001</v>
      </c>
      <c r="G218" s="797">
        <v>1.1947000000000001</v>
      </c>
      <c r="H218" s="797">
        <v>1.1947000000000001</v>
      </c>
      <c r="I218" s="797">
        <v>1.0601</v>
      </c>
      <c r="J218" s="797">
        <v>1.0601</v>
      </c>
      <c r="K218" s="797">
        <v>1.0601</v>
      </c>
      <c r="L218" s="797">
        <v>1.0601</v>
      </c>
      <c r="M218" s="797">
        <v>1.0601</v>
      </c>
    </row>
    <row r="219" spans="1:13">
      <c r="A219" s="790">
        <v>1.3</v>
      </c>
      <c r="B219" s="797">
        <v>1.1617999999999999</v>
      </c>
      <c r="C219" s="797">
        <v>1.1617999999999999</v>
      </c>
      <c r="D219" s="797">
        <v>1.1748000000000001</v>
      </c>
      <c r="E219" s="797">
        <v>1.1748000000000001</v>
      </c>
      <c r="F219" s="797">
        <v>1.1748000000000001</v>
      </c>
      <c r="G219" s="797">
        <v>1.1748000000000001</v>
      </c>
      <c r="H219" s="797">
        <v>1.1748000000000001</v>
      </c>
      <c r="I219" s="797">
        <v>1.0387999999999999</v>
      </c>
      <c r="J219" s="797">
        <v>1.0387999999999999</v>
      </c>
      <c r="K219" s="797">
        <v>1.0387999999999999</v>
      </c>
      <c r="L219" s="797">
        <v>1.0387999999999999</v>
      </c>
      <c r="M219" s="797">
        <v>1.0387999999999999</v>
      </c>
    </row>
    <row r="220" spans="1:13">
      <c r="A220" s="790">
        <v>1.4</v>
      </c>
      <c r="B220" s="797">
        <v>1.1448</v>
      </c>
      <c r="C220" s="797">
        <v>1.1448</v>
      </c>
      <c r="D220" s="797">
        <v>1.1557999999999999</v>
      </c>
      <c r="E220" s="797">
        <v>1.1557999999999999</v>
      </c>
      <c r="F220" s="797">
        <v>1.1557999999999999</v>
      </c>
      <c r="G220" s="797">
        <v>1.1557999999999999</v>
      </c>
      <c r="H220" s="797">
        <v>1.1557999999999999</v>
      </c>
      <c r="I220" s="797">
        <v>1.0187999999999999</v>
      </c>
      <c r="J220" s="797">
        <v>1.0187999999999999</v>
      </c>
      <c r="K220" s="797">
        <v>1.0187999999999999</v>
      </c>
      <c r="L220" s="797">
        <v>1.0187999999999999</v>
      </c>
      <c r="M220" s="797">
        <v>1.0187999999999999</v>
      </c>
    </row>
    <row r="221" spans="1:13">
      <c r="A221" s="790">
        <v>1.5</v>
      </c>
      <c r="B221" s="797">
        <v>1.1285000000000001</v>
      </c>
      <c r="C221" s="797">
        <v>1.1285000000000001</v>
      </c>
      <c r="D221" s="797">
        <v>1.1377999999999999</v>
      </c>
      <c r="E221" s="797">
        <v>1.1377999999999999</v>
      </c>
      <c r="F221" s="797">
        <v>1.1377999999999999</v>
      </c>
      <c r="G221" s="797">
        <v>1.1377999999999999</v>
      </c>
      <c r="H221" s="797">
        <v>1.1377999999999999</v>
      </c>
      <c r="I221" s="797">
        <v>1</v>
      </c>
      <c r="J221" s="797">
        <v>1</v>
      </c>
      <c r="K221" s="797">
        <v>1</v>
      </c>
      <c r="L221" s="797">
        <v>1</v>
      </c>
      <c r="M221" s="797">
        <v>1</v>
      </c>
    </row>
    <row r="222" spans="1:13">
      <c r="A222" s="790">
        <v>1.6</v>
      </c>
      <c r="B222" s="797">
        <v>1.1129</v>
      </c>
      <c r="C222" s="797">
        <v>1.1129</v>
      </c>
      <c r="D222" s="797">
        <v>1.1206</v>
      </c>
      <c r="E222" s="797">
        <v>1.1206</v>
      </c>
      <c r="F222" s="797">
        <v>1.1206</v>
      </c>
      <c r="G222" s="797">
        <v>1.1206</v>
      </c>
      <c r="H222" s="797">
        <v>1.1206</v>
      </c>
      <c r="I222" s="797">
        <v>0.98240000000000005</v>
      </c>
      <c r="J222" s="797">
        <v>0.98240000000000005</v>
      </c>
      <c r="K222" s="797">
        <v>0.98240000000000005</v>
      </c>
      <c r="L222" s="797">
        <v>0.98240000000000005</v>
      </c>
      <c r="M222" s="797">
        <v>0.98240000000000005</v>
      </c>
    </row>
    <row r="223" spans="1:13">
      <c r="A223" s="790">
        <v>1.7</v>
      </c>
      <c r="B223" s="797">
        <v>1.0980000000000001</v>
      </c>
      <c r="C223" s="797">
        <v>1.0980000000000001</v>
      </c>
      <c r="D223" s="797">
        <v>1.1043000000000001</v>
      </c>
      <c r="E223" s="797">
        <v>1.1043000000000001</v>
      </c>
      <c r="F223" s="797">
        <v>1.1043000000000001</v>
      </c>
      <c r="G223" s="797">
        <v>1.1043000000000001</v>
      </c>
      <c r="H223" s="797">
        <v>1.1043000000000001</v>
      </c>
      <c r="I223" s="797">
        <v>0.96579999999999999</v>
      </c>
      <c r="J223" s="797">
        <v>0.96579999999999999</v>
      </c>
      <c r="K223" s="797">
        <v>0.96579999999999999</v>
      </c>
      <c r="L223" s="797">
        <v>0.96579999999999999</v>
      </c>
      <c r="M223" s="797">
        <v>0.96579999999999999</v>
      </c>
    </row>
    <row r="224" spans="1:13">
      <c r="A224" s="790">
        <v>1.8</v>
      </c>
      <c r="B224" s="797">
        <v>1.0835999999999999</v>
      </c>
      <c r="C224" s="797">
        <v>1.0835999999999999</v>
      </c>
      <c r="D224" s="797">
        <v>1.0888</v>
      </c>
      <c r="E224" s="797">
        <v>1.0888</v>
      </c>
      <c r="F224" s="797">
        <v>1.0888</v>
      </c>
      <c r="G224" s="797">
        <v>1.0888</v>
      </c>
      <c r="H224" s="797">
        <v>1.0888</v>
      </c>
      <c r="I224" s="797">
        <v>0.95030000000000003</v>
      </c>
      <c r="J224" s="797">
        <v>0.95030000000000003</v>
      </c>
      <c r="K224" s="797">
        <v>0.95030000000000003</v>
      </c>
      <c r="L224" s="797">
        <v>0.95030000000000003</v>
      </c>
      <c r="M224" s="797">
        <v>0.95030000000000003</v>
      </c>
    </row>
    <row r="225" spans="1:13">
      <c r="A225" s="790">
        <v>1.9</v>
      </c>
      <c r="B225" s="797">
        <v>1.0698000000000001</v>
      </c>
      <c r="C225" s="797">
        <v>1.0698000000000001</v>
      </c>
      <c r="D225" s="797">
        <v>1.0741000000000001</v>
      </c>
      <c r="E225" s="797">
        <v>1.0741000000000001</v>
      </c>
      <c r="F225" s="797">
        <v>1.0741000000000001</v>
      </c>
      <c r="G225" s="797">
        <v>1.0741000000000001</v>
      </c>
      <c r="H225" s="797">
        <v>1.0741000000000001</v>
      </c>
      <c r="I225" s="797">
        <v>0.93610000000000004</v>
      </c>
      <c r="J225" s="797">
        <v>0.93610000000000004</v>
      </c>
      <c r="K225" s="797">
        <v>0.93610000000000004</v>
      </c>
      <c r="L225" s="797">
        <v>0.93610000000000004</v>
      </c>
      <c r="M225" s="797">
        <v>0.93610000000000004</v>
      </c>
    </row>
    <row r="226" spans="1:13">
      <c r="A226" s="790">
        <v>2</v>
      </c>
      <c r="B226" s="797">
        <v>1.0568</v>
      </c>
      <c r="C226" s="797">
        <v>1.0568</v>
      </c>
      <c r="D226" s="797">
        <v>1.0601</v>
      </c>
      <c r="E226" s="797">
        <v>1.0601</v>
      </c>
      <c r="F226" s="797">
        <v>1.0601</v>
      </c>
      <c r="G226" s="797">
        <v>1.0601</v>
      </c>
      <c r="H226" s="797">
        <v>1.0601</v>
      </c>
      <c r="I226" s="797">
        <v>0.9224</v>
      </c>
      <c r="J226" s="797">
        <v>0.9224</v>
      </c>
      <c r="K226" s="797">
        <v>0.9224</v>
      </c>
      <c r="L226" s="797">
        <v>0.9224</v>
      </c>
      <c r="M226" s="797">
        <v>0.9224</v>
      </c>
    </row>
    <row r="227" spans="1:13">
      <c r="A227" s="804">
        <v>2.1</v>
      </c>
      <c r="B227" s="797">
        <v>1.0443</v>
      </c>
      <c r="C227" s="797">
        <v>1.0443</v>
      </c>
      <c r="D227" s="797">
        <v>1.0468</v>
      </c>
      <c r="E227" s="797">
        <v>1.0468</v>
      </c>
      <c r="F227" s="797">
        <v>1.0468</v>
      </c>
      <c r="G227" s="797">
        <v>1.0468</v>
      </c>
      <c r="H227" s="797">
        <v>1.0468</v>
      </c>
      <c r="I227" s="797">
        <v>0.90959999999999996</v>
      </c>
      <c r="J227" s="797">
        <v>0.90959999999999996</v>
      </c>
      <c r="K227" s="797">
        <v>0.90959999999999996</v>
      </c>
      <c r="L227" s="797">
        <v>0.90959999999999996</v>
      </c>
      <c r="M227" s="797">
        <v>0.90959999999999996</v>
      </c>
    </row>
    <row r="228" spans="1:13">
      <c r="A228" s="804">
        <v>2.2000000000000002</v>
      </c>
      <c r="B228" s="797">
        <v>1.0325</v>
      </c>
      <c r="C228" s="797">
        <v>1.0325</v>
      </c>
      <c r="D228" s="797">
        <v>1.0342</v>
      </c>
      <c r="E228" s="797">
        <v>1.0342</v>
      </c>
      <c r="F228" s="797">
        <v>1.0342</v>
      </c>
      <c r="G228" s="797">
        <v>1.0342</v>
      </c>
      <c r="H228" s="797">
        <v>1.0342</v>
      </c>
      <c r="I228" s="797">
        <v>0.89749999999999996</v>
      </c>
      <c r="J228" s="797">
        <v>0.89749999999999996</v>
      </c>
      <c r="K228" s="797">
        <v>0.89749999999999996</v>
      </c>
      <c r="L228" s="797">
        <v>0.89749999999999996</v>
      </c>
      <c r="M228" s="797">
        <v>0.89749999999999996</v>
      </c>
    </row>
    <row r="229" spans="1:13">
      <c r="A229" s="804">
        <v>2.2999999999999998</v>
      </c>
      <c r="B229" s="797">
        <v>1.0209999999999999</v>
      </c>
      <c r="C229" s="797">
        <v>1.0209999999999999</v>
      </c>
      <c r="D229" s="797">
        <v>1.0222</v>
      </c>
      <c r="E229" s="797">
        <v>1.0222</v>
      </c>
      <c r="F229" s="797">
        <v>1.0222</v>
      </c>
      <c r="G229" s="797">
        <v>1.0222</v>
      </c>
      <c r="H229" s="797">
        <v>1.0222</v>
      </c>
      <c r="I229" s="797">
        <v>0.88619999999999999</v>
      </c>
      <c r="J229" s="797">
        <v>0.88619999999999999</v>
      </c>
      <c r="K229" s="797">
        <v>0.88619999999999999</v>
      </c>
      <c r="L229" s="797">
        <v>0.88619999999999999</v>
      </c>
      <c r="M229" s="797">
        <v>0.88619999999999999</v>
      </c>
    </row>
    <row r="230" spans="1:13">
      <c r="A230" s="804">
        <v>2.4</v>
      </c>
      <c r="B230" s="797">
        <v>1.0102</v>
      </c>
      <c r="C230" s="797">
        <v>1.0102</v>
      </c>
      <c r="D230" s="797">
        <v>1.0107999999999999</v>
      </c>
      <c r="E230" s="797">
        <v>1.0107999999999999</v>
      </c>
      <c r="F230" s="797">
        <v>1.0107999999999999</v>
      </c>
      <c r="G230" s="797">
        <v>1.0107999999999999</v>
      </c>
      <c r="H230" s="797">
        <v>1.0107999999999999</v>
      </c>
      <c r="I230" s="797">
        <v>0.87529999999999997</v>
      </c>
      <c r="J230" s="797">
        <v>0.87529999999999997</v>
      </c>
      <c r="K230" s="797">
        <v>0.87529999999999997</v>
      </c>
      <c r="L230" s="797">
        <v>0.87529999999999997</v>
      </c>
      <c r="M230" s="797">
        <v>0.87529999999999997</v>
      </c>
    </row>
    <row r="231" spans="1:13">
      <c r="A231" s="804">
        <v>2.5</v>
      </c>
      <c r="B231" s="797">
        <v>1</v>
      </c>
      <c r="C231" s="797">
        <v>1</v>
      </c>
      <c r="D231" s="797">
        <v>1</v>
      </c>
      <c r="E231" s="797">
        <v>1</v>
      </c>
      <c r="F231" s="797">
        <v>1</v>
      </c>
      <c r="G231" s="797">
        <v>1</v>
      </c>
      <c r="H231" s="797">
        <v>1</v>
      </c>
      <c r="I231" s="797">
        <v>0.86509999999999998</v>
      </c>
      <c r="J231" s="797">
        <v>0.86509999999999998</v>
      </c>
      <c r="K231" s="797">
        <v>0.86509999999999998</v>
      </c>
      <c r="L231" s="797">
        <v>0.86509999999999998</v>
      </c>
      <c r="M231" s="797">
        <v>0.86509999999999998</v>
      </c>
    </row>
    <row r="232" spans="1:13">
      <c r="A232" s="804">
        <v>2.6</v>
      </c>
      <c r="B232" s="797">
        <v>0.99029999999999996</v>
      </c>
      <c r="C232" s="797">
        <v>0.99029999999999996</v>
      </c>
      <c r="D232" s="797">
        <v>0.98970000000000002</v>
      </c>
      <c r="E232" s="797">
        <v>0.98970000000000002</v>
      </c>
      <c r="F232" s="797">
        <v>0.98970000000000002</v>
      </c>
      <c r="G232" s="797">
        <v>0.98970000000000002</v>
      </c>
      <c r="H232" s="797">
        <v>0.98970000000000002</v>
      </c>
      <c r="I232" s="797">
        <v>0.85529999999999995</v>
      </c>
      <c r="J232" s="797">
        <v>0.85529999999999995</v>
      </c>
      <c r="K232" s="797">
        <v>0.85529999999999995</v>
      </c>
      <c r="L232" s="797">
        <v>0.85529999999999995</v>
      </c>
      <c r="M232" s="797">
        <v>0.85529999999999995</v>
      </c>
    </row>
    <row r="233" spans="1:13">
      <c r="A233" s="804">
        <v>2.7</v>
      </c>
      <c r="B233" s="797">
        <v>0.98109999999999997</v>
      </c>
      <c r="C233" s="797">
        <v>0.98109999999999997</v>
      </c>
      <c r="D233" s="797">
        <v>0.97989999999999999</v>
      </c>
      <c r="E233" s="797">
        <v>0.97989999999999999</v>
      </c>
      <c r="F233" s="797">
        <v>0.97989999999999999</v>
      </c>
      <c r="G233" s="797">
        <v>0.97989999999999999</v>
      </c>
      <c r="H233" s="797">
        <v>0.97989999999999999</v>
      </c>
      <c r="I233" s="797">
        <v>0.84599999999999997</v>
      </c>
      <c r="J233" s="797">
        <v>0.84599999999999997</v>
      </c>
      <c r="K233" s="797">
        <v>0.84599999999999997</v>
      </c>
      <c r="L233" s="797">
        <v>0.84599999999999997</v>
      </c>
      <c r="M233" s="797">
        <v>0.84599999999999997</v>
      </c>
    </row>
    <row r="234" spans="1:13">
      <c r="A234" s="804">
        <v>2.8</v>
      </c>
      <c r="B234" s="797">
        <v>0.97240000000000004</v>
      </c>
      <c r="C234" s="797">
        <v>0.97240000000000004</v>
      </c>
      <c r="D234" s="797">
        <v>0.97060000000000002</v>
      </c>
      <c r="E234" s="797">
        <v>0.97060000000000002</v>
      </c>
      <c r="F234" s="797">
        <v>0.97060000000000002</v>
      </c>
      <c r="G234" s="797">
        <v>0.97060000000000002</v>
      </c>
      <c r="H234" s="797">
        <v>0.97060000000000002</v>
      </c>
      <c r="I234" s="797">
        <v>0.83709999999999996</v>
      </c>
      <c r="J234" s="797">
        <v>0.83709999999999996</v>
      </c>
      <c r="K234" s="797">
        <v>0.83709999999999996</v>
      </c>
      <c r="L234" s="797">
        <v>0.83709999999999996</v>
      </c>
      <c r="M234" s="797">
        <v>0.83709999999999996</v>
      </c>
    </row>
    <row r="235" spans="1:13">
      <c r="A235" s="804">
        <v>2.9</v>
      </c>
      <c r="B235" s="797">
        <v>0.96419999999999995</v>
      </c>
      <c r="C235" s="797">
        <v>0.96419999999999995</v>
      </c>
      <c r="D235" s="797">
        <v>0.96179999999999999</v>
      </c>
      <c r="E235" s="797">
        <v>0.96179999999999999</v>
      </c>
      <c r="F235" s="797">
        <v>0.96179999999999999</v>
      </c>
      <c r="G235" s="797">
        <v>0.96179999999999999</v>
      </c>
      <c r="H235" s="797">
        <v>0.96179999999999999</v>
      </c>
      <c r="I235" s="797">
        <v>0.82850000000000001</v>
      </c>
      <c r="J235" s="797">
        <v>0.82850000000000001</v>
      </c>
      <c r="K235" s="797">
        <v>0.82850000000000001</v>
      </c>
      <c r="L235" s="797">
        <v>0.82850000000000001</v>
      </c>
      <c r="M235" s="797">
        <v>0.82850000000000001</v>
      </c>
    </row>
    <row r="236" spans="1:13">
      <c r="A236" s="804">
        <v>3</v>
      </c>
      <c r="B236" s="797">
        <v>0.95640000000000003</v>
      </c>
      <c r="C236" s="797">
        <v>0.95640000000000003</v>
      </c>
      <c r="D236" s="797">
        <v>0.95340000000000003</v>
      </c>
      <c r="E236" s="797">
        <v>0.95340000000000003</v>
      </c>
      <c r="F236" s="797">
        <v>0.95340000000000003</v>
      </c>
      <c r="G236" s="797">
        <v>0.95340000000000003</v>
      </c>
      <c r="H236" s="797">
        <v>0.95340000000000003</v>
      </c>
      <c r="I236" s="797">
        <v>0.82040000000000002</v>
      </c>
      <c r="J236" s="797">
        <v>0.82040000000000002</v>
      </c>
      <c r="K236" s="797">
        <v>0.82040000000000002</v>
      </c>
      <c r="L236" s="797">
        <v>0.82040000000000002</v>
      </c>
      <c r="M236" s="797">
        <v>0.82040000000000002</v>
      </c>
    </row>
    <row r="237" spans="1:13">
      <c r="A237" s="804">
        <v>3.1</v>
      </c>
      <c r="B237" s="797">
        <v>0.94899999999999995</v>
      </c>
      <c r="C237" s="797">
        <v>0.94899999999999995</v>
      </c>
      <c r="D237" s="797">
        <v>0.94550000000000001</v>
      </c>
      <c r="E237" s="797">
        <v>0.94550000000000001</v>
      </c>
      <c r="F237" s="797">
        <v>0.94550000000000001</v>
      </c>
      <c r="G237" s="797">
        <v>0.94550000000000001</v>
      </c>
      <c r="H237" s="797">
        <v>0.94550000000000001</v>
      </c>
      <c r="I237" s="797">
        <v>0.81259999999999999</v>
      </c>
      <c r="J237" s="797">
        <v>0.81259999999999999</v>
      </c>
      <c r="K237" s="797">
        <v>0.81259999999999999</v>
      </c>
      <c r="L237" s="797">
        <v>0.81259999999999999</v>
      </c>
      <c r="M237" s="797">
        <v>0.81259999999999999</v>
      </c>
    </row>
    <row r="238" spans="1:13">
      <c r="A238" s="804">
        <v>3.2</v>
      </c>
      <c r="B238" s="797">
        <v>0.94199999999999995</v>
      </c>
      <c r="C238" s="797">
        <v>0.94199999999999995</v>
      </c>
      <c r="D238" s="797">
        <v>0.93789999999999996</v>
      </c>
      <c r="E238" s="797">
        <v>0.93789999999999996</v>
      </c>
      <c r="F238" s="797">
        <v>0.93789999999999996</v>
      </c>
      <c r="G238" s="797">
        <v>0.93789999999999996</v>
      </c>
      <c r="H238" s="797">
        <v>0.93789999999999996</v>
      </c>
      <c r="I238" s="797">
        <v>0.80530000000000002</v>
      </c>
      <c r="J238" s="797">
        <v>0.80530000000000002</v>
      </c>
      <c r="K238" s="797">
        <v>0.80530000000000002</v>
      </c>
      <c r="L238" s="797">
        <v>0.80530000000000002</v>
      </c>
      <c r="M238" s="797">
        <v>0.80530000000000002</v>
      </c>
    </row>
    <row r="239" spans="1:13">
      <c r="A239" s="804">
        <v>3.3</v>
      </c>
      <c r="B239" s="797">
        <v>0.93540000000000001</v>
      </c>
      <c r="C239" s="797">
        <v>0.93540000000000001</v>
      </c>
      <c r="D239" s="797">
        <v>0.93069999999999997</v>
      </c>
      <c r="E239" s="797">
        <v>0.93069999999999997</v>
      </c>
      <c r="F239" s="797">
        <v>0.93069999999999997</v>
      </c>
      <c r="G239" s="797">
        <v>0.93069999999999997</v>
      </c>
      <c r="H239" s="797">
        <v>0.93069999999999997</v>
      </c>
      <c r="I239" s="797">
        <v>0.79820000000000002</v>
      </c>
      <c r="J239" s="797">
        <v>0.79820000000000002</v>
      </c>
      <c r="K239" s="797">
        <v>0.79820000000000002</v>
      </c>
      <c r="L239" s="797">
        <v>0.79820000000000002</v>
      </c>
      <c r="M239" s="797">
        <v>0.79820000000000002</v>
      </c>
    </row>
    <row r="240" spans="1:13">
      <c r="A240" s="804">
        <v>3.4</v>
      </c>
      <c r="B240" s="797">
        <v>0.92920000000000003</v>
      </c>
      <c r="C240" s="797">
        <v>0.92920000000000003</v>
      </c>
      <c r="D240" s="797">
        <v>0.92390000000000005</v>
      </c>
      <c r="E240" s="797">
        <v>0.92390000000000005</v>
      </c>
      <c r="F240" s="797">
        <v>0.92390000000000005</v>
      </c>
      <c r="G240" s="797">
        <v>0.92390000000000005</v>
      </c>
      <c r="H240" s="797">
        <v>0.92390000000000005</v>
      </c>
      <c r="I240" s="797">
        <v>0.79139999999999999</v>
      </c>
      <c r="J240" s="797">
        <v>0.79139999999999999</v>
      </c>
      <c r="K240" s="797">
        <v>0.79139999999999999</v>
      </c>
      <c r="L240" s="797">
        <v>0.79139999999999999</v>
      </c>
      <c r="M240" s="797">
        <v>0.79139999999999999</v>
      </c>
    </row>
    <row r="241" spans="1:13">
      <c r="A241" s="804">
        <v>3.5</v>
      </c>
      <c r="B241" s="797">
        <v>0.9234</v>
      </c>
      <c r="C241" s="797">
        <v>0.9234</v>
      </c>
      <c r="D241" s="797">
        <v>0.91749999999999998</v>
      </c>
      <c r="E241" s="797">
        <v>0.91749999999999998</v>
      </c>
      <c r="F241" s="797">
        <v>0.91749999999999998</v>
      </c>
      <c r="G241" s="797">
        <v>0.91749999999999998</v>
      </c>
      <c r="H241" s="797">
        <v>0.91749999999999998</v>
      </c>
      <c r="I241" s="797">
        <v>0.78490000000000004</v>
      </c>
      <c r="J241" s="797">
        <v>0.78490000000000004</v>
      </c>
      <c r="K241" s="797">
        <v>0.78490000000000004</v>
      </c>
      <c r="L241" s="797">
        <v>0.78490000000000004</v>
      </c>
      <c r="M241" s="797">
        <v>0.78490000000000004</v>
      </c>
    </row>
    <row r="242" spans="1:13">
      <c r="A242" s="804">
        <v>3.6</v>
      </c>
      <c r="B242" s="797">
        <v>0.91790000000000005</v>
      </c>
      <c r="C242" s="797">
        <v>0.91790000000000005</v>
      </c>
      <c r="D242" s="797">
        <v>0.91139999999999999</v>
      </c>
      <c r="E242" s="797">
        <v>0.91139999999999999</v>
      </c>
      <c r="F242" s="797">
        <v>0.91139999999999999</v>
      </c>
      <c r="G242" s="797">
        <v>0.91139999999999999</v>
      </c>
      <c r="H242" s="797">
        <v>0.91139999999999999</v>
      </c>
      <c r="I242" s="797">
        <v>0.77880000000000005</v>
      </c>
      <c r="J242" s="797">
        <v>0.77880000000000005</v>
      </c>
      <c r="K242" s="797">
        <v>0.77880000000000005</v>
      </c>
      <c r="L242" s="797">
        <v>0.77880000000000005</v>
      </c>
      <c r="M242" s="797">
        <v>0.77880000000000005</v>
      </c>
    </row>
    <row r="243" spans="1:13">
      <c r="A243" s="804">
        <v>3.7</v>
      </c>
      <c r="B243" s="797">
        <v>0.91269999999999996</v>
      </c>
      <c r="C243" s="797">
        <v>0.91269999999999996</v>
      </c>
      <c r="D243" s="797">
        <v>0.90559999999999996</v>
      </c>
      <c r="E243" s="797">
        <v>0.90559999999999996</v>
      </c>
      <c r="F243" s="797">
        <v>0.90559999999999996</v>
      </c>
      <c r="G243" s="797">
        <v>0.90559999999999996</v>
      </c>
      <c r="H243" s="797">
        <v>0.90559999999999996</v>
      </c>
      <c r="I243" s="797">
        <v>0.77300000000000002</v>
      </c>
      <c r="J243" s="797">
        <v>0.77300000000000002</v>
      </c>
      <c r="K243" s="797">
        <v>0.77300000000000002</v>
      </c>
      <c r="L243" s="797">
        <v>0.77300000000000002</v>
      </c>
      <c r="M243" s="797">
        <v>0.77300000000000002</v>
      </c>
    </row>
    <row r="244" spans="1:13">
      <c r="A244" s="804">
        <v>3.8</v>
      </c>
      <c r="B244" s="797">
        <v>0.90780000000000005</v>
      </c>
      <c r="C244" s="797">
        <v>0.90780000000000005</v>
      </c>
      <c r="D244" s="797">
        <v>0.90010000000000001</v>
      </c>
      <c r="E244" s="797">
        <v>0.90010000000000001</v>
      </c>
      <c r="F244" s="797">
        <v>0.90010000000000001</v>
      </c>
      <c r="G244" s="797">
        <v>0.90010000000000001</v>
      </c>
      <c r="H244" s="797">
        <v>0.90010000000000001</v>
      </c>
      <c r="I244" s="797">
        <v>0.76739999999999997</v>
      </c>
      <c r="J244" s="797">
        <v>0.76739999999999997</v>
      </c>
      <c r="K244" s="797">
        <v>0.76739999999999997</v>
      </c>
      <c r="L244" s="797">
        <v>0.76739999999999997</v>
      </c>
      <c r="M244" s="797">
        <v>0.76739999999999997</v>
      </c>
    </row>
    <row r="245" spans="1:13">
      <c r="A245" s="804">
        <v>3.9</v>
      </c>
      <c r="B245" s="797">
        <v>0.9032</v>
      </c>
      <c r="C245" s="797">
        <v>0.9032</v>
      </c>
      <c r="D245" s="797">
        <v>0.89490000000000003</v>
      </c>
      <c r="E245" s="797">
        <v>0.89490000000000003</v>
      </c>
      <c r="F245" s="797">
        <v>0.89490000000000003</v>
      </c>
      <c r="G245" s="797">
        <v>0.89490000000000003</v>
      </c>
      <c r="H245" s="797">
        <v>0.89490000000000003</v>
      </c>
      <c r="I245" s="797">
        <v>0.7621</v>
      </c>
      <c r="J245" s="797">
        <v>0.7621</v>
      </c>
      <c r="K245" s="797">
        <v>0.7621</v>
      </c>
      <c r="L245" s="797">
        <v>0.7621</v>
      </c>
      <c r="M245" s="797">
        <v>0.7621</v>
      </c>
    </row>
    <row r="246" spans="1:13">
      <c r="A246" s="804">
        <v>4</v>
      </c>
      <c r="B246" s="797">
        <v>0.89890000000000003</v>
      </c>
      <c r="C246" s="797">
        <v>0.89890000000000003</v>
      </c>
      <c r="D246" s="797">
        <v>0.89</v>
      </c>
      <c r="E246" s="797">
        <v>0.89</v>
      </c>
      <c r="F246" s="797">
        <v>0.89</v>
      </c>
      <c r="G246" s="797">
        <v>0.89</v>
      </c>
      <c r="H246" s="797">
        <v>0.89</v>
      </c>
      <c r="I246" s="797">
        <v>0.7571</v>
      </c>
      <c r="J246" s="797">
        <v>0.7571</v>
      </c>
      <c r="K246" s="797">
        <v>0.7571</v>
      </c>
      <c r="L246" s="797">
        <v>0.7571</v>
      </c>
      <c r="M246" s="797">
        <v>0.7571</v>
      </c>
    </row>
    <row r="247" spans="1:13">
      <c r="A247" s="804">
        <v>4.0999999999999996</v>
      </c>
      <c r="B247" s="797">
        <v>0.89480000000000004</v>
      </c>
      <c r="C247" s="797">
        <v>0.89480000000000004</v>
      </c>
      <c r="D247" s="797">
        <v>0.88539999999999996</v>
      </c>
      <c r="E247" s="797">
        <v>0.88539999999999996</v>
      </c>
      <c r="F247" s="797">
        <v>0.88539999999999996</v>
      </c>
      <c r="G247" s="797">
        <v>0.88539999999999996</v>
      </c>
      <c r="H247" s="797">
        <v>0.88539999999999996</v>
      </c>
      <c r="I247" s="797">
        <v>0.75229999999999997</v>
      </c>
      <c r="J247" s="797">
        <v>0.75229999999999997</v>
      </c>
      <c r="K247" s="797">
        <v>0.75229999999999997</v>
      </c>
      <c r="L247" s="797">
        <v>0.75229999999999997</v>
      </c>
      <c r="M247" s="797">
        <v>0.75229999999999997</v>
      </c>
    </row>
    <row r="248" spans="1:13">
      <c r="A248" s="804">
        <v>4.2</v>
      </c>
      <c r="B248" s="797">
        <v>0.89100000000000001</v>
      </c>
      <c r="C248" s="797">
        <v>0.89100000000000001</v>
      </c>
      <c r="D248" s="797">
        <v>0.88109999999999999</v>
      </c>
      <c r="E248" s="797">
        <v>0.88109999999999999</v>
      </c>
      <c r="F248" s="797">
        <v>0.88109999999999999</v>
      </c>
      <c r="G248" s="797">
        <v>0.88109999999999999</v>
      </c>
      <c r="H248" s="797">
        <v>0.88109999999999999</v>
      </c>
      <c r="I248" s="797">
        <v>0.74780000000000002</v>
      </c>
      <c r="J248" s="797">
        <v>0.74780000000000002</v>
      </c>
      <c r="K248" s="797">
        <v>0.74780000000000002</v>
      </c>
      <c r="L248" s="797">
        <v>0.74780000000000002</v>
      </c>
      <c r="M248" s="797">
        <v>0.74780000000000002</v>
      </c>
    </row>
    <row r="249" spans="1:13">
      <c r="A249" s="804">
        <v>4.3</v>
      </c>
      <c r="B249" s="797">
        <v>0.88739999999999997</v>
      </c>
      <c r="C249" s="797">
        <v>0.88739999999999997</v>
      </c>
      <c r="D249" s="797">
        <v>0.877</v>
      </c>
      <c r="E249" s="797">
        <v>0.877</v>
      </c>
      <c r="F249" s="797">
        <v>0.877</v>
      </c>
      <c r="G249" s="797">
        <v>0.877</v>
      </c>
      <c r="H249" s="797">
        <v>0.877</v>
      </c>
      <c r="I249" s="797">
        <v>0.74329999999999996</v>
      </c>
      <c r="J249" s="797">
        <v>0.74329999999999996</v>
      </c>
      <c r="K249" s="797">
        <v>0.74329999999999996</v>
      </c>
      <c r="L249" s="797">
        <v>0.74329999999999996</v>
      </c>
      <c r="M249" s="797">
        <v>0.74329999999999996</v>
      </c>
    </row>
    <row r="250" spans="1:13">
      <c r="A250" s="804">
        <v>4.4000000000000004</v>
      </c>
      <c r="B250" s="797">
        <v>0.88400000000000001</v>
      </c>
      <c r="C250" s="797">
        <v>0.88400000000000001</v>
      </c>
      <c r="D250" s="797">
        <v>0.87309999999999999</v>
      </c>
      <c r="E250" s="797">
        <v>0.87309999999999999</v>
      </c>
      <c r="F250" s="797">
        <v>0.87309999999999999</v>
      </c>
      <c r="G250" s="797">
        <v>0.87309999999999999</v>
      </c>
      <c r="H250" s="797">
        <v>0.87309999999999999</v>
      </c>
      <c r="I250" s="797">
        <v>0.73909999999999998</v>
      </c>
      <c r="J250" s="797">
        <v>0.73909999999999998</v>
      </c>
      <c r="K250" s="797">
        <v>0.73909999999999998</v>
      </c>
      <c r="L250" s="797">
        <v>0.73909999999999998</v>
      </c>
      <c r="M250" s="797">
        <v>0.73909999999999998</v>
      </c>
    </row>
    <row r="251" spans="1:13">
      <c r="A251" s="804">
        <v>4.5</v>
      </c>
      <c r="B251" s="797">
        <v>0.88080000000000003</v>
      </c>
      <c r="C251" s="797">
        <v>0.88080000000000003</v>
      </c>
      <c r="D251" s="797">
        <v>0.86939999999999995</v>
      </c>
      <c r="E251" s="797">
        <v>0.86939999999999995</v>
      </c>
      <c r="F251" s="797">
        <v>0.86939999999999995</v>
      </c>
      <c r="G251" s="797">
        <v>0.86939999999999995</v>
      </c>
      <c r="H251" s="797">
        <v>0.86939999999999995</v>
      </c>
      <c r="I251" s="797">
        <v>0.73499999999999999</v>
      </c>
      <c r="J251" s="797">
        <v>0.73499999999999999</v>
      </c>
      <c r="K251" s="797">
        <v>0.73499999999999999</v>
      </c>
      <c r="L251" s="797">
        <v>0.73499999999999999</v>
      </c>
      <c r="M251" s="797">
        <v>0.73499999999999999</v>
      </c>
    </row>
    <row r="252" spans="1:13">
      <c r="A252" s="804">
        <v>4.5999999999999996</v>
      </c>
      <c r="B252" s="797">
        <v>0.87780000000000002</v>
      </c>
      <c r="C252" s="797">
        <v>0.87780000000000002</v>
      </c>
      <c r="D252" s="797">
        <v>0.8659</v>
      </c>
      <c r="E252" s="797">
        <v>0.8659</v>
      </c>
      <c r="F252" s="797">
        <v>0.8659</v>
      </c>
      <c r="G252" s="797">
        <v>0.8659</v>
      </c>
      <c r="H252" s="797">
        <v>0.8659</v>
      </c>
      <c r="I252" s="797">
        <v>0.73109999999999997</v>
      </c>
      <c r="J252" s="797">
        <v>0.73109999999999997</v>
      </c>
      <c r="K252" s="797">
        <v>0.73109999999999997</v>
      </c>
      <c r="L252" s="797">
        <v>0.73109999999999997</v>
      </c>
      <c r="M252" s="797">
        <v>0.73109999999999997</v>
      </c>
    </row>
    <row r="253" spans="1:13">
      <c r="A253" s="804">
        <v>4.7</v>
      </c>
      <c r="B253" s="797">
        <v>0.875</v>
      </c>
      <c r="C253" s="797">
        <v>0.875</v>
      </c>
      <c r="D253" s="797">
        <v>0.86260000000000003</v>
      </c>
      <c r="E253" s="797">
        <v>0.86260000000000003</v>
      </c>
      <c r="F253" s="797">
        <v>0.86260000000000003</v>
      </c>
      <c r="G253" s="797">
        <v>0.86260000000000003</v>
      </c>
      <c r="H253" s="797">
        <v>0.86260000000000003</v>
      </c>
      <c r="I253" s="797">
        <v>0.72750000000000004</v>
      </c>
      <c r="J253" s="797">
        <v>0.72750000000000004</v>
      </c>
      <c r="K253" s="797">
        <v>0.72750000000000004</v>
      </c>
      <c r="L253" s="797">
        <v>0.72750000000000004</v>
      </c>
      <c r="M253" s="797">
        <v>0.72750000000000004</v>
      </c>
    </row>
    <row r="254" spans="1:13">
      <c r="A254" s="804">
        <v>4.8</v>
      </c>
      <c r="B254" s="797">
        <v>0.87229999999999996</v>
      </c>
      <c r="C254" s="797">
        <v>0.87229999999999996</v>
      </c>
      <c r="D254" s="797">
        <v>0.85950000000000004</v>
      </c>
      <c r="E254" s="797">
        <v>0.85950000000000004</v>
      </c>
      <c r="F254" s="797">
        <v>0.85950000000000004</v>
      </c>
      <c r="G254" s="797">
        <v>0.85950000000000004</v>
      </c>
      <c r="H254" s="797">
        <v>0.85950000000000004</v>
      </c>
      <c r="I254" s="797">
        <v>0.72399999999999998</v>
      </c>
      <c r="J254" s="797">
        <v>0.72399999999999998</v>
      </c>
      <c r="K254" s="797">
        <v>0.72399999999999998</v>
      </c>
      <c r="L254" s="797">
        <v>0.72399999999999998</v>
      </c>
      <c r="M254" s="797">
        <v>0.72399999999999998</v>
      </c>
    </row>
    <row r="255" spans="1:13">
      <c r="A255" s="804">
        <v>4.9000000000000004</v>
      </c>
      <c r="B255" s="797">
        <v>0.86980000000000002</v>
      </c>
      <c r="C255" s="797">
        <v>0.86980000000000002</v>
      </c>
      <c r="D255" s="797">
        <v>0.85660000000000003</v>
      </c>
      <c r="E255" s="797">
        <v>0.85660000000000003</v>
      </c>
      <c r="F255" s="797">
        <v>0.85660000000000003</v>
      </c>
      <c r="G255" s="797">
        <v>0.85660000000000003</v>
      </c>
      <c r="H255" s="797">
        <v>0.85660000000000003</v>
      </c>
      <c r="I255" s="797">
        <v>0.7208</v>
      </c>
      <c r="J255" s="797">
        <v>0.7208</v>
      </c>
      <c r="K255" s="797">
        <v>0.7208</v>
      </c>
      <c r="L255" s="797">
        <v>0.7208</v>
      </c>
      <c r="M255" s="797">
        <v>0.7208</v>
      </c>
    </row>
    <row r="256" spans="1:13">
      <c r="A256" s="804">
        <v>5</v>
      </c>
      <c r="B256" s="797">
        <v>0.86739999999999995</v>
      </c>
      <c r="C256" s="797">
        <v>0.86739999999999995</v>
      </c>
      <c r="D256" s="797">
        <v>0.8538</v>
      </c>
      <c r="E256" s="797">
        <v>0.8538</v>
      </c>
      <c r="F256" s="797">
        <v>0.8538</v>
      </c>
      <c r="G256" s="797">
        <v>0.8538</v>
      </c>
      <c r="H256" s="797">
        <v>0.8538</v>
      </c>
      <c r="I256" s="797">
        <v>0.71760000000000002</v>
      </c>
      <c r="J256" s="797">
        <v>0.71760000000000002</v>
      </c>
      <c r="K256" s="797">
        <v>0.71760000000000002</v>
      </c>
      <c r="L256" s="797">
        <v>0.71760000000000002</v>
      </c>
      <c r="M256" s="797">
        <v>0.71760000000000002</v>
      </c>
    </row>
    <row r="257" spans="1:13">
      <c r="A257" s="790">
        <v>5.0999999999999996</v>
      </c>
      <c r="B257" s="797">
        <v>0.86519999999999997</v>
      </c>
      <c r="C257" s="797">
        <v>0.86519999999999997</v>
      </c>
      <c r="D257" s="797">
        <v>0.85109999999999997</v>
      </c>
      <c r="E257" s="797">
        <v>0.85109999999999997</v>
      </c>
      <c r="F257" s="797">
        <v>0.85109999999999997</v>
      </c>
      <c r="G257" s="797">
        <v>0.85109999999999997</v>
      </c>
      <c r="H257" s="797">
        <v>0.85109999999999997</v>
      </c>
      <c r="I257" s="797">
        <v>0.7147</v>
      </c>
      <c r="J257" s="797">
        <v>0.7147</v>
      </c>
      <c r="K257" s="797">
        <v>0.7147</v>
      </c>
      <c r="L257" s="797">
        <v>0.7147</v>
      </c>
      <c r="M257" s="797">
        <v>0.7147</v>
      </c>
    </row>
    <row r="258" spans="1:13">
      <c r="A258" s="790">
        <v>5.2</v>
      </c>
      <c r="B258" s="797">
        <v>0.86309999999999998</v>
      </c>
      <c r="C258" s="797">
        <v>0.86309999999999998</v>
      </c>
      <c r="D258" s="797">
        <v>0.84860000000000002</v>
      </c>
      <c r="E258" s="797">
        <v>0.84860000000000002</v>
      </c>
      <c r="F258" s="797">
        <v>0.84860000000000002</v>
      </c>
      <c r="G258" s="797">
        <v>0.84860000000000002</v>
      </c>
      <c r="H258" s="797">
        <v>0.84860000000000002</v>
      </c>
      <c r="I258" s="797">
        <v>0.71189999999999998</v>
      </c>
      <c r="J258" s="797">
        <v>0.71189999999999998</v>
      </c>
      <c r="K258" s="797">
        <v>0.71189999999999998</v>
      </c>
      <c r="L258" s="797">
        <v>0.71189999999999998</v>
      </c>
      <c r="M258" s="797">
        <v>0.71189999999999998</v>
      </c>
    </row>
    <row r="259" spans="1:13">
      <c r="A259" s="790">
        <v>5.3</v>
      </c>
      <c r="B259" s="797">
        <v>0.86119999999999997</v>
      </c>
      <c r="C259" s="797">
        <v>0.86119999999999997</v>
      </c>
      <c r="D259" s="797">
        <v>0.84619999999999995</v>
      </c>
      <c r="E259" s="797">
        <v>0.84619999999999995</v>
      </c>
      <c r="F259" s="797">
        <v>0.84619999999999995</v>
      </c>
      <c r="G259" s="797">
        <v>0.84619999999999995</v>
      </c>
      <c r="H259" s="797">
        <v>0.84619999999999995</v>
      </c>
      <c r="I259" s="797">
        <v>0.70909999999999995</v>
      </c>
      <c r="J259" s="797">
        <v>0.70909999999999995</v>
      </c>
      <c r="K259" s="797">
        <v>0.70909999999999995</v>
      </c>
      <c r="L259" s="797">
        <v>0.70909999999999995</v>
      </c>
      <c r="M259" s="797">
        <v>0.70909999999999995</v>
      </c>
    </row>
    <row r="260" spans="1:13">
      <c r="A260" s="790">
        <v>5.4</v>
      </c>
      <c r="B260" s="797">
        <v>0.85940000000000005</v>
      </c>
      <c r="C260" s="797">
        <v>0.85940000000000005</v>
      </c>
      <c r="D260" s="797">
        <v>0.84389999999999998</v>
      </c>
      <c r="E260" s="797">
        <v>0.84389999999999998</v>
      </c>
      <c r="F260" s="797">
        <v>0.84389999999999998</v>
      </c>
      <c r="G260" s="797">
        <v>0.84389999999999998</v>
      </c>
      <c r="H260" s="797">
        <v>0.84389999999999998</v>
      </c>
      <c r="I260" s="797">
        <v>0.70650000000000002</v>
      </c>
      <c r="J260" s="797">
        <v>0.70650000000000002</v>
      </c>
      <c r="K260" s="797">
        <v>0.70650000000000002</v>
      </c>
      <c r="L260" s="797">
        <v>0.70650000000000002</v>
      </c>
      <c r="M260" s="797">
        <v>0.70650000000000002</v>
      </c>
    </row>
    <row r="261" spans="1:13">
      <c r="A261" s="790">
        <v>5.5</v>
      </c>
      <c r="B261" s="797">
        <v>0.85770000000000002</v>
      </c>
      <c r="C261" s="797">
        <v>0.85770000000000002</v>
      </c>
      <c r="D261" s="797">
        <v>0.84179999999999999</v>
      </c>
      <c r="E261" s="797">
        <v>0.84179999999999999</v>
      </c>
      <c r="F261" s="797">
        <v>0.84179999999999999</v>
      </c>
      <c r="G261" s="797">
        <v>0.84179999999999999</v>
      </c>
      <c r="H261" s="797">
        <v>0.84179999999999999</v>
      </c>
      <c r="I261" s="797">
        <v>0.70399999999999996</v>
      </c>
      <c r="J261" s="797">
        <v>0.70399999999999996</v>
      </c>
      <c r="K261" s="797">
        <v>0.70399999999999996</v>
      </c>
      <c r="L261" s="797">
        <v>0.70399999999999996</v>
      </c>
      <c r="M261" s="797">
        <v>0.70399999999999996</v>
      </c>
    </row>
    <row r="262" spans="1:13">
      <c r="A262" s="790">
        <v>5.6</v>
      </c>
      <c r="B262" s="797">
        <v>0.85599999999999998</v>
      </c>
      <c r="C262" s="797">
        <v>0.85599999999999998</v>
      </c>
      <c r="D262" s="797">
        <v>0.83979999999999999</v>
      </c>
      <c r="E262" s="797">
        <v>0.83979999999999999</v>
      </c>
      <c r="F262" s="797">
        <v>0.83979999999999999</v>
      </c>
      <c r="G262" s="797">
        <v>0.83979999999999999</v>
      </c>
      <c r="H262" s="797">
        <v>0.83979999999999999</v>
      </c>
      <c r="I262" s="797">
        <v>0.7016</v>
      </c>
      <c r="J262" s="797">
        <v>0.7016</v>
      </c>
      <c r="K262" s="797">
        <v>0.7016</v>
      </c>
      <c r="L262" s="797">
        <v>0.7016</v>
      </c>
      <c r="M262" s="797">
        <v>0.7016</v>
      </c>
    </row>
    <row r="263" spans="1:13">
      <c r="A263" s="804">
        <v>5.7</v>
      </c>
      <c r="B263" s="797">
        <v>0.85440000000000005</v>
      </c>
      <c r="C263" s="797">
        <v>0.85440000000000005</v>
      </c>
      <c r="D263" s="797">
        <v>0.83789999999999998</v>
      </c>
      <c r="E263" s="797">
        <v>0.83789999999999998</v>
      </c>
      <c r="F263" s="797">
        <v>0.83789999999999998</v>
      </c>
      <c r="G263" s="797">
        <v>0.83789999999999998</v>
      </c>
      <c r="H263" s="797">
        <v>0.83789999999999998</v>
      </c>
      <c r="I263" s="797">
        <v>0.69940000000000002</v>
      </c>
      <c r="J263" s="797">
        <v>0.69940000000000002</v>
      </c>
      <c r="K263" s="797">
        <v>0.69940000000000002</v>
      </c>
      <c r="L263" s="797">
        <v>0.69940000000000002</v>
      </c>
      <c r="M263" s="797">
        <v>0.69940000000000002</v>
      </c>
    </row>
    <row r="264" spans="1:13">
      <c r="A264" s="790">
        <v>5.8</v>
      </c>
      <c r="B264" s="797">
        <v>0.85289999999999999</v>
      </c>
      <c r="C264" s="797">
        <v>0.85289999999999999</v>
      </c>
      <c r="D264" s="797">
        <v>0.83599999999999997</v>
      </c>
      <c r="E264" s="797">
        <v>0.83599999999999997</v>
      </c>
      <c r="F264" s="797">
        <v>0.83599999999999997</v>
      </c>
      <c r="G264" s="797">
        <v>0.83599999999999997</v>
      </c>
      <c r="H264" s="797">
        <v>0.83599999999999997</v>
      </c>
      <c r="I264" s="797">
        <v>0.69720000000000004</v>
      </c>
      <c r="J264" s="797">
        <v>0.69720000000000004</v>
      </c>
      <c r="K264" s="797">
        <v>0.69720000000000004</v>
      </c>
      <c r="L264" s="797">
        <v>0.69720000000000004</v>
      </c>
      <c r="M264" s="797">
        <v>0.69720000000000004</v>
      </c>
    </row>
    <row r="265" spans="1:13">
      <c r="A265" s="790">
        <v>5.9</v>
      </c>
      <c r="B265" s="797">
        <v>0.85150000000000003</v>
      </c>
      <c r="C265" s="797">
        <v>0.85150000000000003</v>
      </c>
      <c r="D265" s="797">
        <v>0.83430000000000004</v>
      </c>
      <c r="E265" s="797">
        <v>0.83430000000000004</v>
      </c>
      <c r="F265" s="797">
        <v>0.83430000000000004</v>
      </c>
      <c r="G265" s="797">
        <v>0.83430000000000004</v>
      </c>
      <c r="H265" s="797">
        <v>0.83430000000000004</v>
      </c>
      <c r="I265" s="797">
        <v>0.69520000000000004</v>
      </c>
      <c r="J265" s="797">
        <v>0.69520000000000004</v>
      </c>
      <c r="K265" s="797">
        <v>0.69520000000000004</v>
      </c>
      <c r="L265" s="797">
        <v>0.69520000000000004</v>
      </c>
      <c r="M265" s="797">
        <v>0.69520000000000004</v>
      </c>
    </row>
    <row r="266" spans="1:13">
      <c r="A266" s="790">
        <v>6</v>
      </c>
      <c r="B266" s="797">
        <v>0.85019999999999996</v>
      </c>
      <c r="C266" s="797">
        <v>0.85019999999999996</v>
      </c>
      <c r="D266" s="797">
        <v>0.8327</v>
      </c>
      <c r="E266" s="797">
        <v>0.8327</v>
      </c>
      <c r="F266" s="797">
        <v>0.8327</v>
      </c>
      <c r="G266" s="797">
        <v>0.8327</v>
      </c>
      <c r="H266" s="797">
        <v>0.8327</v>
      </c>
      <c r="I266" s="797">
        <v>0.69320000000000004</v>
      </c>
      <c r="J266" s="797">
        <v>0.69320000000000004</v>
      </c>
      <c r="K266" s="797">
        <v>0.69320000000000004</v>
      </c>
      <c r="L266" s="797">
        <v>0.69320000000000004</v>
      </c>
      <c r="M266" s="797">
        <v>0.69320000000000004</v>
      </c>
    </row>
    <row r="267" spans="1:13">
      <c r="A267" s="790">
        <v>6.1</v>
      </c>
      <c r="B267" s="797">
        <v>0.84899999999999998</v>
      </c>
      <c r="C267" s="797">
        <v>0.84899999999999998</v>
      </c>
      <c r="D267" s="797">
        <v>0.83109999999999995</v>
      </c>
      <c r="E267" s="797">
        <v>0.83109999999999995</v>
      </c>
      <c r="F267" s="797">
        <v>0.83109999999999995</v>
      </c>
      <c r="G267" s="797">
        <v>0.83109999999999995</v>
      </c>
      <c r="H267" s="797">
        <v>0.83109999999999995</v>
      </c>
      <c r="I267" s="797">
        <v>0.69130000000000003</v>
      </c>
      <c r="J267" s="797">
        <v>0.69130000000000003</v>
      </c>
      <c r="K267" s="797">
        <v>0.69130000000000003</v>
      </c>
      <c r="L267" s="797">
        <v>0.69130000000000003</v>
      </c>
      <c r="M267" s="797">
        <v>0.69130000000000003</v>
      </c>
    </row>
    <row r="268" spans="1:13">
      <c r="A268" s="790">
        <v>6.2</v>
      </c>
      <c r="B268" s="797">
        <v>0.8478</v>
      </c>
      <c r="C268" s="797">
        <v>0.8478</v>
      </c>
      <c r="D268" s="797">
        <v>0.8296</v>
      </c>
      <c r="E268" s="797">
        <v>0.8296</v>
      </c>
      <c r="F268" s="797">
        <v>0.8296</v>
      </c>
      <c r="G268" s="797">
        <v>0.8296</v>
      </c>
      <c r="H268" s="797">
        <v>0.8296</v>
      </c>
      <c r="I268" s="797">
        <v>0.68940000000000001</v>
      </c>
      <c r="J268" s="797">
        <v>0.68940000000000001</v>
      </c>
      <c r="K268" s="797">
        <v>0.68940000000000001</v>
      </c>
      <c r="L268" s="797">
        <v>0.68940000000000001</v>
      </c>
      <c r="M268" s="797">
        <v>0.68940000000000001</v>
      </c>
    </row>
    <row r="269" spans="1:13">
      <c r="A269" s="790">
        <v>6.3</v>
      </c>
      <c r="B269" s="797">
        <v>0.84670000000000001</v>
      </c>
      <c r="C269" s="797">
        <v>0.84670000000000001</v>
      </c>
      <c r="D269" s="797">
        <v>0.82820000000000005</v>
      </c>
      <c r="E269" s="797">
        <v>0.82820000000000005</v>
      </c>
      <c r="F269" s="797">
        <v>0.82820000000000005</v>
      </c>
      <c r="G269" s="797">
        <v>0.82820000000000005</v>
      </c>
      <c r="H269" s="797">
        <v>0.82820000000000005</v>
      </c>
      <c r="I269" s="797">
        <v>0.68769999999999998</v>
      </c>
      <c r="J269" s="797">
        <v>0.68769999999999998</v>
      </c>
      <c r="K269" s="797">
        <v>0.68769999999999998</v>
      </c>
      <c r="L269" s="797">
        <v>0.68769999999999998</v>
      </c>
      <c r="M269" s="797">
        <v>0.68769999999999998</v>
      </c>
    </row>
    <row r="270" spans="1:13">
      <c r="A270" s="790">
        <v>6.4</v>
      </c>
      <c r="B270" s="797">
        <v>0.84570000000000001</v>
      </c>
      <c r="C270" s="797">
        <v>0.84570000000000001</v>
      </c>
      <c r="D270" s="797">
        <v>0.82689999999999997</v>
      </c>
      <c r="E270" s="797">
        <v>0.82689999999999997</v>
      </c>
      <c r="F270" s="797">
        <v>0.82689999999999997</v>
      </c>
      <c r="G270" s="797">
        <v>0.82689999999999997</v>
      </c>
      <c r="H270" s="797">
        <v>0.82689999999999997</v>
      </c>
      <c r="I270" s="797">
        <v>0.68610000000000004</v>
      </c>
      <c r="J270" s="797">
        <v>0.68610000000000004</v>
      </c>
      <c r="K270" s="797">
        <v>0.68610000000000004</v>
      </c>
      <c r="L270" s="797">
        <v>0.68610000000000004</v>
      </c>
      <c r="M270" s="797">
        <v>0.68610000000000004</v>
      </c>
    </row>
    <row r="271" spans="1:13">
      <c r="A271" s="790">
        <v>6.5</v>
      </c>
      <c r="B271" s="797">
        <v>0.84470000000000001</v>
      </c>
      <c r="C271" s="797">
        <v>0.84470000000000001</v>
      </c>
      <c r="D271" s="797">
        <v>0.82569999999999999</v>
      </c>
      <c r="E271" s="797">
        <v>0.82569999999999999</v>
      </c>
      <c r="F271" s="797">
        <v>0.82569999999999999</v>
      </c>
      <c r="G271" s="797">
        <v>0.82569999999999999</v>
      </c>
      <c r="H271" s="797">
        <v>0.82569999999999999</v>
      </c>
      <c r="I271" s="797">
        <v>0.68440000000000001</v>
      </c>
      <c r="J271" s="797">
        <v>0.68440000000000001</v>
      </c>
      <c r="K271" s="797">
        <v>0.68440000000000001</v>
      </c>
      <c r="L271" s="797">
        <v>0.68440000000000001</v>
      </c>
      <c r="M271" s="797">
        <v>0.68440000000000001</v>
      </c>
    </row>
    <row r="272" spans="1:13">
      <c r="A272" s="790">
        <v>6.6</v>
      </c>
      <c r="B272" s="797">
        <v>0.84370000000000001</v>
      </c>
      <c r="C272" s="797">
        <v>0.84370000000000001</v>
      </c>
      <c r="D272" s="797">
        <v>0.82450000000000001</v>
      </c>
      <c r="E272" s="797">
        <v>0.82450000000000001</v>
      </c>
      <c r="F272" s="797">
        <v>0.82450000000000001</v>
      </c>
      <c r="G272" s="797">
        <v>0.82450000000000001</v>
      </c>
      <c r="H272" s="797">
        <v>0.82450000000000001</v>
      </c>
      <c r="I272" s="797">
        <v>0.68289999999999995</v>
      </c>
      <c r="J272" s="797">
        <v>0.68289999999999995</v>
      </c>
      <c r="K272" s="797">
        <v>0.68289999999999995</v>
      </c>
      <c r="L272" s="797">
        <v>0.68289999999999995</v>
      </c>
      <c r="M272" s="797">
        <v>0.68289999999999995</v>
      </c>
    </row>
    <row r="273" spans="1:13">
      <c r="A273" s="790">
        <v>6.7</v>
      </c>
      <c r="B273" s="797">
        <v>0.8427</v>
      </c>
      <c r="C273" s="797">
        <v>0.8427</v>
      </c>
      <c r="D273" s="797">
        <v>0.82330000000000003</v>
      </c>
      <c r="E273" s="797">
        <v>0.82330000000000003</v>
      </c>
      <c r="F273" s="797">
        <v>0.82330000000000003</v>
      </c>
      <c r="G273" s="797">
        <v>0.82330000000000003</v>
      </c>
      <c r="H273" s="797">
        <v>0.82330000000000003</v>
      </c>
      <c r="I273" s="797">
        <v>0.68130000000000002</v>
      </c>
      <c r="J273" s="797">
        <v>0.68130000000000002</v>
      </c>
      <c r="K273" s="797">
        <v>0.68130000000000002</v>
      </c>
      <c r="L273" s="797">
        <v>0.68130000000000002</v>
      </c>
      <c r="M273" s="797">
        <v>0.68130000000000002</v>
      </c>
    </row>
    <row r="274" spans="1:13">
      <c r="A274" s="790">
        <v>6.8</v>
      </c>
      <c r="B274" s="797">
        <v>0.84179999999999999</v>
      </c>
      <c r="C274" s="797">
        <v>0.84179999999999999</v>
      </c>
      <c r="D274" s="797">
        <v>0.82210000000000005</v>
      </c>
      <c r="E274" s="797">
        <v>0.82210000000000005</v>
      </c>
      <c r="F274" s="797">
        <v>0.82210000000000005</v>
      </c>
      <c r="G274" s="797">
        <v>0.82210000000000005</v>
      </c>
      <c r="H274" s="797">
        <v>0.82210000000000005</v>
      </c>
      <c r="I274" s="797">
        <v>0.67979999999999996</v>
      </c>
      <c r="J274" s="797">
        <v>0.67979999999999996</v>
      </c>
      <c r="K274" s="797">
        <v>0.67979999999999996</v>
      </c>
      <c r="L274" s="797">
        <v>0.67979999999999996</v>
      </c>
      <c r="M274" s="797">
        <v>0.67979999999999996</v>
      </c>
    </row>
    <row r="275" spans="1:13">
      <c r="A275" s="790">
        <v>6.9</v>
      </c>
      <c r="B275" s="797">
        <v>0.84089999999999998</v>
      </c>
      <c r="C275" s="797">
        <v>0.84089999999999998</v>
      </c>
      <c r="D275" s="797">
        <v>0.82099999999999995</v>
      </c>
      <c r="E275" s="797">
        <v>0.82099999999999995</v>
      </c>
      <c r="F275" s="797">
        <v>0.82099999999999995</v>
      </c>
      <c r="G275" s="797">
        <v>0.82099999999999995</v>
      </c>
      <c r="H275" s="797">
        <v>0.82099999999999995</v>
      </c>
      <c r="I275" s="797">
        <v>0.67849999999999999</v>
      </c>
      <c r="J275" s="797">
        <v>0.67849999999999999</v>
      </c>
      <c r="K275" s="797">
        <v>0.67849999999999999</v>
      </c>
      <c r="L275" s="797">
        <v>0.67849999999999999</v>
      </c>
      <c r="M275" s="797">
        <v>0.67849999999999999</v>
      </c>
    </row>
    <row r="276" spans="1:13">
      <c r="A276" s="790">
        <v>7</v>
      </c>
      <c r="B276" s="797">
        <v>0.84009999999999996</v>
      </c>
      <c r="C276" s="797">
        <v>0.84009999999999996</v>
      </c>
      <c r="D276" s="797">
        <v>0.81989999999999996</v>
      </c>
      <c r="E276" s="797">
        <v>0.81989999999999996</v>
      </c>
      <c r="F276" s="797">
        <v>0.81989999999999996</v>
      </c>
      <c r="G276" s="797">
        <v>0.81989999999999996</v>
      </c>
      <c r="H276" s="797">
        <v>0.81989999999999996</v>
      </c>
      <c r="I276" s="797">
        <v>0.67720000000000002</v>
      </c>
      <c r="J276" s="797">
        <v>0.67720000000000002</v>
      </c>
      <c r="K276" s="797">
        <v>0.67720000000000002</v>
      </c>
      <c r="L276" s="797">
        <v>0.67720000000000002</v>
      </c>
      <c r="M276" s="797">
        <v>0.67720000000000002</v>
      </c>
    </row>
    <row r="277" spans="1:13">
      <c r="A277" s="790">
        <v>7.1</v>
      </c>
      <c r="B277" s="797">
        <v>0.83930000000000005</v>
      </c>
      <c r="C277" s="797">
        <v>0.83930000000000005</v>
      </c>
      <c r="D277" s="797">
        <v>0.81889999999999996</v>
      </c>
      <c r="E277" s="797">
        <v>0.81889999999999996</v>
      </c>
      <c r="F277" s="797">
        <v>0.81889999999999996</v>
      </c>
      <c r="G277" s="797">
        <v>0.81889999999999996</v>
      </c>
      <c r="H277" s="797">
        <v>0.81889999999999996</v>
      </c>
      <c r="I277" s="797">
        <v>0.67589999999999995</v>
      </c>
      <c r="J277" s="797">
        <v>0.67589999999999995</v>
      </c>
      <c r="K277" s="797">
        <v>0.67589999999999995</v>
      </c>
      <c r="L277" s="797">
        <v>0.67589999999999995</v>
      </c>
      <c r="M277" s="797">
        <v>0.67589999999999995</v>
      </c>
    </row>
    <row r="278" spans="1:13">
      <c r="A278" s="790">
        <v>7.2</v>
      </c>
      <c r="B278" s="797">
        <v>0.83850000000000002</v>
      </c>
      <c r="C278" s="797">
        <v>0.83850000000000002</v>
      </c>
      <c r="D278" s="797">
        <v>0.81789999999999996</v>
      </c>
      <c r="E278" s="797">
        <v>0.81789999999999996</v>
      </c>
      <c r="F278" s="797">
        <v>0.81789999999999996</v>
      </c>
      <c r="G278" s="797">
        <v>0.81789999999999996</v>
      </c>
      <c r="H278" s="797">
        <v>0.81789999999999996</v>
      </c>
      <c r="I278" s="797">
        <v>0.67459999999999998</v>
      </c>
      <c r="J278" s="797">
        <v>0.67459999999999998</v>
      </c>
      <c r="K278" s="797">
        <v>0.67459999999999998</v>
      </c>
      <c r="L278" s="797">
        <v>0.67459999999999998</v>
      </c>
      <c r="M278" s="797">
        <v>0.67459999999999998</v>
      </c>
    </row>
    <row r="279" spans="1:13">
      <c r="A279" s="790">
        <v>7.3</v>
      </c>
      <c r="B279" s="797">
        <v>0.8377</v>
      </c>
      <c r="C279" s="797">
        <v>0.8377</v>
      </c>
      <c r="D279" s="797">
        <v>0.81689999999999996</v>
      </c>
      <c r="E279" s="797">
        <v>0.81689999999999996</v>
      </c>
      <c r="F279" s="797">
        <v>0.81689999999999996</v>
      </c>
      <c r="G279" s="797">
        <v>0.81689999999999996</v>
      </c>
      <c r="H279" s="797">
        <v>0.81689999999999996</v>
      </c>
      <c r="I279" s="797">
        <v>0.6734</v>
      </c>
      <c r="J279" s="797">
        <v>0.6734</v>
      </c>
      <c r="K279" s="797">
        <v>0.6734</v>
      </c>
      <c r="L279" s="797">
        <v>0.6734</v>
      </c>
      <c r="M279" s="797">
        <v>0.6734</v>
      </c>
    </row>
    <row r="280" spans="1:13">
      <c r="A280" s="790">
        <v>7.4</v>
      </c>
      <c r="B280" s="797">
        <v>0.83699999999999997</v>
      </c>
      <c r="C280" s="797">
        <v>0.83699999999999997</v>
      </c>
      <c r="D280" s="797">
        <v>0.81599999999999995</v>
      </c>
      <c r="E280" s="797">
        <v>0.81599999999999995</v>
      </c>
      <c r="F280" s="797">
        <v>0.81599999999999995</v>
      </c>
      <c r="G280" s="797">
        <v>0.81599999999999995</v>
      </c>
      <c r="H280" s="797">
        <v>0.81599999999999995</v>
      </c>
      <c r="I280" s="797">
        <v>0.67210000000000003</v>
      </c>
      <c r="J280" s="797">
        <v>0.67210000000000003</v>
      </c>
      <c r="K280" s="797">
        <v>0.67210000000000003</v>
      </c>
      <c r="L280" s="797">
        <v>0.67210000000000003</v>
      </c>
      <c r="M280" s="797">
        <v>0.67210000000000003</v>
      </c>
    </row>
    <row r="281" spans="1:13">
      <c r="A281" s="790">
        <v>7.5</v>
      </c>
      <c r="B281" s="797">
        <v>0.83630000000000004</v>
      </c>
      <c r="C281" s="797">
        <v>0.83630000000000004</v>
      </c>
      <c r="D281" s="797">
        <v>0.81510000000000005</v>
      </c>
      <c r="E281" s="797">
        <v>0.81510000000000005</v>
      </c>
      <c r="F281" s="797">
        <v>0.81510000000000005</v>
      </c>
      <c r="G281" s="797">
        <v>0.81510000000000005</v>
      </c>
      <c r="H281" s="797">
        <v>0.81510000000000005</v>
      </c>
      <c r="I281" s="797">
        <v>0.67090000000000005</v>
      </c>
      <c r="J281" s="797">
        <v>0.67090000000000005</v>
      </c>
      <c r="K281" s="797">
        <v>0.67090000000000005</v>
      </c>
      <c r="L281" s="797">
        <v>0.67090000000000005</v>
      </c>
      <c r="M281" s="797">
        <v>0.67090000000000005</v>
      </c>
    </row>
    <row r="282" spans="1:13">
      <c r="A282" s="790">
        <v>7.6</v>
      </c>
      <c r="B282" s="797">
        <v>0.83560000000000001</v>
      </c>
      <c r="C282" s="797">
        <v>0.83560000000000001</v>
      </c>
      <c r="D282" s="797">
        <v>0.81420000000000003</v>
      </c>
      <c r="E282" s="797">
        <v>0.81420000000000003</v>
      </c>
      <c r="F282" s="797">
        <v>0.81420000000000003</v>
      </c>
      <c r="G282" s="797">
        <v>0.81420000000000003</v>
      </c>
      <c r="H282" s="797">
        <v>0.81420000000000003</v>
      </c>
      <c r="I282" s="797">
        <v>0.66979999999999995</v>
      </c>
      <c r="J282" s="797">
        <v>0.66979999999999995</v>
      </c>
      <c r="K282" s="797">
        <v>0.66979999999999995</v>
      </c>
      <c r="L282" s="797">
        <v>0.66979999999999995</v>
      </c>
      <c r="M282" s="797">
        <v>0.66979999999999995</v>
      </c>
    </row>
    <row r="283" spans="1:13">
      <c r="A283" s="790">
        <v>7.7</v>
      </c>
      <c r="B283" s="797">
        <v>0.83489999999999998</v>
      </c>
      <c r="C283" s="797">
        <v>0.83489999999999998</v>
      </c>
      <c r="D283" s="797">
        <v>0.81330000000000002</v>
      </c>
      <c r="E283" s="797">
        <v>0.81330000000000002</v>
      </c>
      <c r="F283" s="797">
        <v>0.81330000000000002</v>
      </c>
      <c r="G283" s="797">
        <v>0.81330000000000002</v>
      </c>
      <c r="H283" s="797">
        <v>0.81330000000000002</v>
      </c>
      <c r="I283" s="797">
        <v>0.66869999999999996</v>
      </c>
      <c r="J283" s="797">
        <v>0.66869999999999996</v>
      </c>
      <c r="K283" s="797">
        <v>0.66869999999999996</v>
      </c>
      <c r="L283" s="797">
        <v>0.66869999999999996</v>
      </c>
      <c r="M283" s="797">
        <v>0.66869999999999996</v>
      </c>
    </row>
    <row r="284" spans="1:13">
      <c r="A284" s="790">
        <v>7.8</v>
      </c>
      <c r="B284" s="797">
        <v>0.83420000000000005</v>
      </c>
      <c r="C284" s="797">
        <v>0.83420000000000005</v>
      </c>
      <c r="D284" s="797">
        <v>0.81240000000000001</v>
      </c>
      <c r="E284" s="797">
        <v>0.81240000000000001</v>
      </c>
      <c r="F284" s="797">
        <v>0.81240000000000001</v>
      </c>
      <c r="G284" s="797">
        <v>0.81240000000000001</v>
      </c>
      <c r="H284" s="797">
        <v>0.81240000000000001</v>
      </c>
      <c r="I284" s="797">
        <v>0.66759999999999997</v>
      </c>
      <c r="J284" s="797">
        <v>0.66759999999999997</v>
      </c>
      <c r="K284" s="797">
        <v>0.66759999999999997</v>
      </c>
      <c r="L284" s="797">
        <v>0.66759999999999997</v>
      </c>
      <c r="M284" s="797">
        <v>0.66759999999999997</v>
      </c>
    </row>
    <row r="285" spans="1:13">
      <c r="A285" s="790">
        <v>7.9</v>
      </c>
      <c r="B285" s="797">
        <v>0.83350000000000002</v>
      </c>
      <c r="C285" s="797">
        <v>0.83350000000000002</v>
      </c>
      <c r="D285" s="797">
        <v>0.81159999999999999</v>
      </c>
      <c r="E285" s="797">
        <v>0.81159999999999999</v>
      </c>
      <c r="F285" s="797">
        <v>0.81159999999999999</v>
      </c>
      <c r="G285" s="797">
        <v>0.81159999999999999</v>
      </c>
      <c r="H285" s="797">
        <v>0.81159999999999999</v>
      </c>
      <c r="I285" s="797">
        <v>0.66649999999999998</v>
      </c>
      <c r="J285" s="797">
        <v>0.66649999999999998</v>
      </c>
      <c r="K285" s="797">
        <v>0.66649999999999998</v>
      </c>
      <c r="L285" s="797">
        <v>0.66649999999999998</v>
      </c>
      <c r="M285" s="797">
        <v>0.66649999999999998</v>
      </c>
    </row>
    <row r="286" spans="1:13">
      <c r="A286" s="790">
        <v>8</v>
      </c>
      <c r="B286" s="797">
        <v>0.83279999999999998</v>
      </c>
      <c r="C286" s="797">
        <v>0.83279999999999998</v>
      </c>
      <c r="D286" s="797">
        <v>0.81079999999999997</v>
      </c>
      <c r="E286" s="797">
        <v>0.81079999999999997</v>
      </c>
      <c r="F286" s="797">
        <v>0.81079999999999997</v>
      </c>
      <c r="G286" s="797">
        <v>0.81079999999999997</v>
      </c>
      <c r="H286" s="797">
        <v>0.81079999999999997</v>
      </c>
      <c r="I286" s="797">
        <v>0.66549999999999998</v>
      </c>
      <c r="J286" s="797">
        <v>0.66549999999999998</v>
      </c>
      <c r="K286" s="797">
        <v>0.66549999999999998</v>
      </c>
      <c r="L286" s="797">
        <v>0.66549999999999998</v>
      </c>
      <c r="M286" s="797">
        <v>0.66549999999999998</v>
      </c>
    </row>
    <row r="287" spans="1:13">
      <c r="A287" s="790">
        <v>8.1</v>
      </c>
      <c r="B287" s="797">
        <v>0.83220000000000005</v>
      </c>
      <c r="C287" s="797">
        <v>0.83220000000000005</v>
      </c>
      <c r="D287" s="797">
        <v>0.81</v>
      </c>
      <c r="E287" s="797">
        <v>0.81</v>
      </c>
      <c r="F287" s="797">
        <v>0.81</v>
      </c>
      <c r="G287" s="797">
        <v>0.81</v>
      </c>
      <c r="H287" s="797">
        <v>0.81</v>
      </c>
      <c r="I287" s="797">
        <v>0.66439999999999999</v>
      </c>
      <c r="J287" s="797">
        <v>0.66439999999999999</v>
      </c>
      <c r="K287" s="797">
        <v>0.66439999999999999</v>
      </c>
      <c r="L287" s="797">
        <v>0.66439999999999999</v>
      </c>
      <c r="M287" s="797">
        <v>0.66439999999999999</v>
      </c>
    </row>
    <row r="288" spans="1:13">
      <c r="A288" s="790">
        <v>8.1999999999999993</v>
      </c>
      <c r="B288" s="797">
        <v>0.83160000000000001</v>
      </c>
      <c r="C288" s="797">
        <v>0.83160000000000001</v>
      </c>
      <c r="D288" s="797">
        <v>0.80920000000000003</v>
      </c>
      <c r="E288" s="797">
        <v>0.80920000000000003</v>
      </c>
      <c r="F288" s="797">
        <v>0.80920000000000003</v>
      </c>
      <c r="G288" s="797">
        <v>0.80920000000000003</v>
      </c>
      <c r="H288" s="797">
        <v>0.80920000000000003</v>
      </c>
      <c r="I288" s="797">
        <v>0.66339999999999999</v>
      </c>
      <c r="J288" s="797">
        <v>0.66339999999999999</v>
      </c>
      <c r="K288" s="797">
        <v>0.66339999999999999</v>
      </c>
      <c r="L288" s="797">
        <v>0.66339999999999999</v>
      </c>
      <c r="M288" s="797">
        <v>0.66339999999999999</v>
      </c>
    </row>
    <row r="289" spans="1:13">
      <c r="A289" s="790">
        <v>8.3000000000000007</v>
      </c>
      <c r="B289" s="797">
        <v>0.83099999999999996</v>
      </c>
      <c r="C289" s="797">
        <v>0.83099999999999996</v>
      </c>
      <c r="D289" s="797">
        <v>0.80840000000000001</v>
      </c>
      <c r="E289" s="797">
        <v>0.80840000000000001</v>
      </c>
      <c r="F289" s="797">
        <v>0.80840000000000001</v>
      </c>
      <c r="G289" s="797">
        <v>0.80840000000000001</v>
      </c>
      <c r="H289" s="797">
        <v>0.80840000000000001</v>
      </c>
      <c r="I289" s="797">
        <v>0.66239999999999999</v>
      </c>
      <c r="J289" s="797">
        <v>0.66239999999999999</v>
      </c>
      <c r="K289" s="797">
        <v>0.66239999999999999</v>
      </c>
      <c r="L289" s="797">
        <v>0.66239999999999999</v>
      </c>
      <c r="M289" s="797">
        <v>0.66239999999999999</v>
      </c>
    </row>
    <row r="290" spans="1:13">
      <c r="A290" s="790">
        <v>8.4</v>
      </c>
      <c r="B290" s="797">
        <v>0.83040000000000003</v>
      </c>
      <c r="C290" s="797">
        <v>0.83040000000000003</v>
      </c>
      <c r="D290" s="797">
        <v>0.80759999999999998</v>
      </c>
      <c r="E290" s="797">
        <v>0.80759999999999998</v>
      </c>
      <c r="F290" s="797">
        <v>0.80759999999999998</v>
      </c>
      <c r="G290" s="797">
        <v>0.80759999999999998</v>
      </c>
      <c r="H290" s="797">
        <v>0.80759999999999998</v>
      </c>
      <c r="I290" s="797">
        <v>0.66139999999999999</v>
      </c>
      <c r="J290" s="797">
        <v>0.66139999999999999</v>
      </c>
      <c r="K290" s="797">
        <v>0.66139999999999999</v>
      </c>
      <c r="L290" s="797">
        <v>0.66139999999999999</v>
      </c>
      <c r="M290" s="797">
        <v>0.66139999999999999</v>
      </c>
    </row>
    <row r="291" spans="1:13">
      <c r="A291" s="790">
        <v>8.5</v>
      </c>
      <c r="B291" s="797">
        <v>0.82979999999999998</v>
      </c>
      <c r="C291" s="797">
        <v>0.82979999999999998</v>
      </c>
      <c r="D291" s="797">
        <v>0.80679999999999996</v>
      </c>
      <c r="E291" s="797">
        <v>0.80679999999999996</v>
      </c>
      <c r="F291" s="797">
        <v>0.80679999999999996</v>
      </c>
      <c r="G291" s="797">
        <v>0.80679999999999996</v>
      </c>
      <c r="H291" s="797">
        <v>0.80679999999999996</v>
      </c>
      <c r="I291" s="797">
        <v>0.66049999999999998</v>
      </c>
      <c r="J291" s="797">
        <v>0.66049999999999998</v>
      </c>
      <c r="K291" s="797">
        <v>0.66049999999999998</v>
      </c>
      <c r="L291" s="797">
        <v>0.66049999999999998</v>
      </c>
      <c r="M291" s="797">
        <v>0.66049999999999998</v>
      </c>
    </row>
    <row r="292" spans="1:13">
      <c r="A292" s="790">
        <v>8.6</v>
      </c>
      <c r="B292" s="797">
        <v>0.82920000000000005</v>
      </c>
      <c r="C292" s="797">
        <v>0.82920000000000005</v>
      </c>
      <c r="D292" s="797">
        <v>0.80600000000000005</v>
      </c>
      <c r="E292" s="797">
        <v>0.80600000000000005</v>
      </c>
      <c r="F292" s="797">
        <v>0.80600000000000005</v>
      </c>
      <c r="G292" s="797">
        <v>0.80600000000000005</v>
      </c>
      <c r="H292" s="797">
        <v>0.80600000000000005</v>
      </c>
      <c r="I292" s="797">
        <v>0.65949999999999998</v>
      </c>
      <c r="J292" s="797">
        <v>0.65949999999999998</v>
      </c>
      <c r="K292" s="797">
        <v>0.65949999999999998</v>
      </c>
      <c r="L292" s="797">
        <v>0.65949999999999998</v>
      </c>
      <c r="M292" s="797">
        <v>0.65949999999999998</v>
      </c>
    </row>
    <row r="293" spans="1:13">
      <c r="A293" s="790">
        <v>8.6999999999999993</v>
      </c>
      <c r="B293" s="797">
        <v>0.8286</v>
      </c>
      <c r="C293" s="797">
        <v>0.8286</v>
      </c>
      <c r="D293" s="797">
        <v>0.80520000000000003</v>
      </c>
      <c r="E293" s="797">
        <v>0.80520000000000003</v>
      </c>
      <c r="F293" s="797">
        <v>0.80520000000000003</v>
      </c>
      <c r="G293" s="797">
        <v>0.80520000000000003</v>
      </c>
      <c r="H293" s="797">
        <v>0.80520000000000003</v>
      </c>
      <c r="I293" s="797">
        <v>0.65859999999999996</v>
      </c>
      <c r="J293" s="797">
        <v>0.65859999999999996</v>
      </c>
      <c r="K293" s="797">
        <v>0.65859999999999996</v>
      </c>
      <c r="L293" s="797">
        <v>0.65859999999999996</v>
      </c>
      <c r="M293" s="797">
        <v>0.65859999999999996</v>
      </c>
    </row>
    <row r="294" spans="1:13">
      <c r="A294" s="790">
        <v>8.8000000000000007</v>
      </c>
      <c r="B294" s="797">
        <v>0.82799999999999996</v>
      </c>
      <c r="C294" s="797">
        <v>0.82799999999999996</v>
      </c>
      <c r="D294" s="797">
        <v>0.8044</v>
      </c>
      <c r="E294" s="797">
        <v>0.8044</v>
      </c>
      <c r="F294" s="797">
        <v>0.8044</v>
      </c>
      <c r="G294" s="797">
        <v>0.8044</v>
      </c>
      <c r="H294" s="797">
        <v>0.8044</v>
      </c>
      <c r="I294" s="797">
        <v>0.65759999999999996</v>
      </c>
      <c r="J294" s="797">
        <v>0.65759999999999996</v>
      </c>
      <c r="K294" s="797">
        <v>0.65759999999999996</v>
      </c>
      <c r="L294" s="797">
        <v>0.65759999999999996</v>
      </c>
      <c r="M294" s="797">
        <v>0.65759999999999996</v>
      </c>
    </row>
    <row r="295" spans="1:13">
      <c r="A295" s="790">
        <v>8.9</v>
      </c>
      <c r="B295" s="797">
        <v>0.82740000000000002</v>
      </c>
      <c r="C295" s="797">
        <v>0.82740000000000002</v>
      </c>
      <c r="D295" s="797">
        <v>0.80359999999999998</v>
      </c>
      <c r="E295" s="797">
        <v>0.80359999999999998</v>
      </c>
      <c r="F295" s="797">
        <v>0.80359999999999998</v>
      </c>
      <c r="G295" s="797">
        <v>0.80359999999999998</v>
      </c>
      <c r="H295" s="797">
        <v>0.80359999999999998</v>
      </c>
      <c r="I295" s="797">
        <v>0.65669999999999995</v>
      </c>
      <c r="J295" s="797">
        <v>0.65669999999999995</v>
      </c>
      <c r="K295" s="797">
        <v>0.65669999999999995</v>
      </c>
      <c r="L295" s="797">
        <v>0.65669999999999995</v>
      </c>
      <c r="M295" s="797">
        <v>0.65669999999999995</v>
      </c>
    </row>
    <row r="296" spans="1:13">
      <c r="A296" s="804">
        <v>9</v>
      </c>
      <c r="B296" s="797">
        <v>0.82679999999999998</v>
      </c>
      <c r="C296" s="797">
        <v>0.82679999999999998</v>
      </c>
      <c r="D296" s="797">
        <v>0.80279999999999996</v>
      </c>
      <c r="E296" s="797">
        <v>0.80279999999999996</v>
      </c>
      <c r="F296" s="797">
        <v>0.80279999999999996</v>
      </c>
      <c r="G296" s="797">
        <v>0.80279999999999996</v>
      </c>
      <c r="H296" s="797">
        <v>0.80279999999999996</v>
      </c>
      <c r="I296" s="797">
        <v>0.65569999999999995</v>
      </c>
      <c r="J296" s="797">
        <v>0.65569999999999995</v>
      </c>
      <c r="K296" s="797">
        <v>0.65569999999999995</v>
      </c>
      <c r="L296" s="797">
        <v>0.65569999999999995</v>
      </c>
      <c r="M296" s="797">
        <v>0.65569999999999995</v>
      </c>
    </row>
    <row r="297" spans="1:13">
      <c r="A297" s="804">
        <v>9.1</v>
      </c>
      <c r="B297" s="797">
        <v>0.82620000000000005</v>
      </c>
      <c r="C297" s="797">
        <v>0.82620000000000005</v>
      </c>
      <c r="D297" s="797">
        <v>0.80200000000000005</v>
      </c>
      <c r="E297" s="797">
        <v>0.80200000000000005</v>
      </c>
      <c r="F297" s="797">
        <v>0.80200000000000005</v>
      </c>
      <c r="G297" s="797">
        <v>0.80200000000000005</v>
      </c>
      <c r="H297" s="797">
        <v>0.80200000000000005</v>
      </c>
      <c r="I297" s="797">
        <v>0.65480000000000005</v>
      </c>
      <c r="J297" s="797">
        <v>0.65480000000000005</v>
      </c>
      <c r="K297" s="797">
        <v>0.65480000000000005</v>
      </c>
      <c r="L297" s="797">
        <v>0.65480000000000005</v>
      </c>
      <c r="M297" s="797">
        <v>0.65480000000000005</v>
      </c>
    </row>
    <row r="298" spans="1:13">
      <c r="A298" s="804">
        <v>9.1999999999999993</v>
      </c>
      <c r="B298" s="797">
        <v>0.8256</v>
      </c>
      <c r="C298" s="797">
        <v>0.8256</v>
      </c>
      <c r="D298" s="797">
        <v>0.80120000000000002</v>
      </c>
      <c r="E298" s="797">
        <v>0.80120000000000002</v>
      </c>
      <c r="F298" s="797">
        <v>0.80120000000000002</v>
      </c>
      <c r="G298" s="797">
        <v>0.80120000000000002</v>
      </c>
      <c r="H298" s="797">
        <v>0.80120000000000002</v>
      </c>
      <c r="I298" s="797">
        <v>0.65380000000000005</v>
      </c>
      <c r="J298" s="797">
        <v>0.65380000000000005</v>
      </c>
      <c r="K298" s="797">
        <v>0.65380000000000005</v>
      </c>
      <c r="L298" s="797">
        <v>0.65380000000000005</v>
      </c>
      <c r="M298" s="797">
        <v>0.65380000000000005</v>
      </c>
    </row>
    <row r="299" spans="1:13">
      <c r="A299" s="804">
        <v>9.3000000000000007</v>
      </c>
      <c r="B299" s="797">
        <v>0.82499999999999996</v>
      </c>
      <c r="C299" s="797">
        <v>0.82499999999999996</v>
      </c>
      <c r="D299" s="797">
        <v>0.8004</v>
      </c>
      <c r="E299" s="797">
        <v>0.8004</v>
      </c>
      <c r="F299" s="797">
        <v>0.8004</v>
      </c>
      <c r="G299" s="797">
        <v>0.8004</v>
      </c>
      <c r="H299" s="797">
        <v>0.8004</v>
      </c>
      <c r="I299" s="797">
        <v>0.65290000000000004</v>
      </c>
      <c r="J299" s="797">
        <v>0.65290000000000004</v>
      </c>
      <c r="K299" s="797">
        <v>0.65290000000000004</v>
      </c>
      <c r="L299" s="797">
        <v>0.65290000000000004</v>
      </c>
      <c r="M299" s="797">
        <v>0.65290000000000004</v>
      </c>
    </row>
    <row r="300" spans="1:13">
      <c r="A300" s="804">
        <v>9.4</v>
      </c>
      <c r="B300" s="797">
        <v>0.82440000000000002</v>
      </c>
      <c r="C300" s="797">
        <v>0.82440000000000002</v>
      </c>
      <c r="D300" s="797">
        <v>0.79959999999999998</v>
      </c>
      <c r="E300" s="797">
        <v>0.79959999999999998</v>
      </c>
      <c r="F300" s="797">
        <v>0.79959999999999998</v>
      </c>
      <c r="G300" s="797">
        <v>0.79959999999999998</v>
      </c>
      <c r="H300" s="797">
        <v>0.79959999999999998</v>
      </c>
      <c r="I300" s="797">
        <v>0.65190000000000003</v>
      </c>
      <c r="J300" s="797">
        <v>0.65190000000000003</v>
      </c>
      <c r="K300" s="797">
        <v>0.65190000000000003</v>
      </c>
      <c r="L300" s="797">
        <v>0.65190000000000003</v>
      </c>
      <c r="M300" s="797">
        <v>0.65190000000000003</v>
      </c>
    </row>
    <row r="301" spans="1:13">
      <c r="A301" s="804">
        <v>9.5</v>
      </c>
      <c r="B301" s="797">
        <v>0.82379999999999998</v>
      </c>
      <c r="C301" s="797">
        <v>0.82379999999999998</v>
      </c>
      <c r="D301" s="797">
        <v>0.79879999999999995</v>
      </c>
      <c r="E301" s="797">
        <v>0.79879999999999995</v>
      </c>
      <c r="F301" s="797">
        <v>0.79879999999999995</v>
      </c>
      <c r="G301" s="797">
        <v>0.79879999999999995</v>
      </c>
      <c r="H301" s="797">
        <v>0.79879999999999995</v>
      </c>
      <c r="I301" s="797">
        <v>0.65100000000000002</v>
      </c>
      <c r="J301" s="797">
        <v>0.65100000000000002</v>
      </c>
      <c r="K301" s="797">
        <v>0.65100000000000002</v>
      </c>
      <c r="L301" s="797">
        <v>0.65100000000000002</v>
      </c>
      <c r="M301" s="797">
        <v>0.65100000000000002</v>
      </c>
    </row>
    <row r="302" spans="1:13">
      <c r="A302" s="804">
        <v>9.6</v>
      </c>
      <c r="B302" s="797">
        <v>0.82320000000000004</v>
      </c>
      <c r="C302" s="797">
        <v>0.82320000000000004</v>
      </c>
      <c r="D302" s="797">
        <v>0.79800000000000004</v>
      </c>
      <c r="E302" s="797">
        <v>0.79800000000000004</v>
      </c>
      <c r="F302" s="797">
        <v>0.79800000000000004</v>
      </c>
      <c r="G302" s="797">
        <v>0.79800000000000004</v>
      </c>
      <c r="H302" s="797">
        <v>0.79800000000000004</v>
      </c>
      <c r="I302" s="797">
        <v>0.65</v>
      </c>
      <c r="J302" s="797">
        <v>0.65</v>
      </c>
      <c r="K302" s="797">
        <v>0.65</v>
      </c>
      <c r="L302" s="797">
        <v>0.65</v>
      </c>
      <c r="M302" s="797">
        <v>0.65</v>
      </c>
    </row>
    <row r="303" spans="1:13">
      <c r="A303" s="804">
        <v>9.6999999999999993</v>
      </c>
      <c r="B303" s="797">
        <v>0.8226</v>
      </c>
      <c r="C303" s="797">
        <v>0.8226</v>
      </c>
      <c r="D303" s="797">
        <v>0.79720000000000002</v>
      </c>
      <c r="E303" s="797">
        <v>0.79720000000000002</v>
      </c>
      <c r="F303" s="797">
        <v>0.79720000000000002</v>
      </c>
      <c r="G303" s="797">
        <v>0.79720000000000002</v>
      </c>
      <c r="H303" s="797">
        <v>0.79720000000000002</v>
      </c>
      <c r="I303" s="797">
        <v>0.64900000000000002</v>
      </c>
      <c r="J303" s="797">
        <v>0.64900000000000002</v>
      </c>
      <c r="K303" s="797">
        <v>0.64900000000000002</v>
      </c>
      <c r="L303" s="797">
        <v>0.64900000000000002</v>
      </c>
      <c r="M303" s="797">
        <v>0.64900000000000002</v>
      </c>
    </row>
    <row r="304" spans="1:13">
      <c r="A304" s="804">
        <v>9.8000000000000007</v>
      </c>
      <c r="B304" s="797">
        <v>0.82199999999999995</v>
      </c>
      <c r="C304" s="797">
        <v>0.82199999999999995</v>
      </c>
      <c r="D304" s="797">
        <v>0.7964</v>
      </c>
      <c r="E304" s="797">
        <v>0.7964</v>
      </c>
      <c r="F304" s="797">
        <v>0.7964</v>
      </c>
      <c r="G304" s="797">
        <v>0.7964</v>
      </c>
      <c r="H304" s="797">
        <v>0.7964</v>
      </c>
      <c r="I304" s="797">
        <v>0.64810000000000001</v>
      </c>
      <c r="J304" s="797">
        <v>0.64810000000000001</v>
      </c>
      <c r="K304" s="797">
        <v>0.64810000000000001</v>
      </c>
      <c r="L304" s="797">
        <v>0.64810000000000001</v>
      </c>
      <c r="M304" s="797">
        <v>0.64810000000000001</v>
      </c>
    </row>
    <row r="305" spans="1:13">
      <c r="A305" s="804">
        <v>9.9</v>
      </c>
      <c r="B305" s="797">
        <v>0.82140000000000002</v>
      </c>
      <c r="C305" s="797">
        <v>0.82140000000000002</v>
      </c>
      <c r="D305" s="797">
        <v>0.79559999999999997</v>
      </c>
      <c r="E305" s="797">
        <v>0.79559999999999997</v>
      </c>
      <c r="F305" s="797">
        <v>0.79559999999999997</v>
      </c>
      <c r="G305" s="797">
        <v>0.79559999999999997</v>
      </c>
      <c r="H305" s="797">
        <v>0.79559999999999997</v>
      </c>
      <c r="I305" s="797">
        <v>0.64710000000000001</v>
      </c>
      <c r="J305" s="797">
        <v>0.64710000000000001</v>
      </c>
      <c r="K305" s="797">
        <v>0.64710000000000001</v>
      </c>
      <c r="L305" s="797">
        <v>0.64710000000000001</v>
      </c>
      <c r="M305" s="797">
        <v>0.64710000000000001</v>
      </c>
    </row>
    <row r="306" spans="1:13">
      <c r="A306" s="804">
        <v>10</v>
      </c>
      <c r="B306" s="797">
        <v>0.82079999999999997</v>
      </c>
      <c r="C306" s="797">
        <v>0.82079999999999997</v>
      </c>
      <c r="D306" s="797">
        <v>0.79479999999999995</v>
      </c>
      <c r="E306" s="797">
        <v>0.79479999999999995</v>
      </c>
      <c r="F306" s="797">
        <v>0.79479999999999995</v>
      </c>
      <c r="G306" s="797">
        <v>0.79479999999999995</v>
      </c>
      <c r="H306" s="797">
        <v>0.79479999999999995</v>
      </c>
      <c r="I306" s="797">
        <v>0.6462</v>
      </c>
      <c r="J306" s="797">
        <v>0.6462</v>
      </c>
      <c r="K306" s="797">
        <v>0.6462</v>
      </c>
      <c r="L306" s="797">
        <v>0.6462</v>
      </c>
      <c r="M306" s="797">
        <v>0.6462</v>
      </c>
    </row>
    <row r="307" spans="1:13" ht="14.25">
      <c r="A307" s="788" t="s">
        <v>750</v>
      </c>
      <c r="B307" s="789"/>
      <c r="C307" s="789"/>
      <c r="D307" s="789"/>
      <c r="E307" s="789"/>
      <c r="F307" s="789"/>
      <c r="G307" s="789"/>
      <c r="H307" s="789"/>
      <c r="I307" s="789"/>
      <c r="J307" s="789"/>
      <c r="K307" s="789"/>
      <c r="L307" s="789"/>
      <c r="M307" s="789"/>
    </row>
    <row r="308" spans="1:13">
      <c r="A308" s="790" t="s">
        <v>746</v>
      </c>
      <c r="B308" s="791" t="s">
        <v>157</v>
      </c>
      <c r="C308" s="791" t="s">
        <v>158</v>
      </c>
      <c r="D308" s="791" t="s">
        <v>159</v>
      </c>
      <c r="E308" s="791" t="s">
        <v>160</v>
      </c>
      <c r="F308" s="791" t="s">
        <v>161</v>
      </c>
      <c r="G308" s="791" t="s">
        <v>162</v>
      </c>
      <c r="H308" s="792" t="s">
        <v>163</v>
      </c>
      <c r="I308" s="792" t="s">
        <v>164</v>
      </c>
      <c r="J308" s="793" t="s">
        <v>165</v>
      </c>
      <c r="K308" s="793" t="s">
        <v>166</v>
      </c>
      <c r="L308" s="793" t="s">
        <v>167</v>
      </c>
      <c r="M308" s="793" t="s">
        <v>168</v>
      </c>
    </row>
    <row r="309" spans="1:13">
      <c r="A309" s="790">
        <v>0.1</v>
      </c>
      <c r="B309" s="797">
        <v>11.506</v>
      </c>
      <c r="C309" s="797">
        <v>11.506</v>
      </c>
      <c r="D309" s="797">
        <v>12.015000000000001</v>
      </c>
      <c r="E309" s="797">
        <v>12.015000000000001</v>
      </c>
      <c r="F309" s="797">
        <v>12.015000000000001</v>
      </c>
      <c r="G309" s="797">
        <v>11.118</v>
      </c>
      <c r="H309" s="797">
        <v>11.118</v>
      </c>
      <c r="I309" s="797">
        <v>10</v>
      </c>
      <c r="J309" s="797">
        <v>10</v>
      </c>
      <c r="K309" s="797">
        <v>10</v>
      </c>
      <c r="L309" s="797">
        <v>10</v>
      </c>
      <c r="M309" s="797">
        <v>10</v>
      </c>
    </row>
    <row r="310" spans="1:13">
      <c r="A310" s="790">
        <v>0.2</v>
      </c>
      <c r="B310" s="797">
        <v>5.7530000000000001</v>
      </c>
      <c r="C310" s="797">
        <v>5.7530000000000001</v>
      </c>
      <c r="D310" s="797">
        <v>6.0075000000000003</v>
      </c>
      <c r="E310" s="797">
        <v>6.0075000000000003</v>
      </c>
      <c r="F310" s="797">
        <v>6.0075000000000003</v>
      </c>
      <c r="G310" s="797">
        <v>5.5590000000000002</v>
      </c>
      <c r="H310" s="797">
        <v>5.5590000000000002</v>
      </c>
      <c r="I310" s="797">
        <v>5</v>
      </c>
      <c r="J310" s="797">
        <v>5</v>
      </c>
      <c r="K310" s="797">
        <v>5</v>
      </c>
      <c r="L310" s="797">
        <v>5</v>
      </c>
      <c r="M310" s="797">
        <v>5</v>
      </c>
    </row>
    <row r="311" spans="1:13">
      <c r="A311" s="790">
        <v>0.3</v>
      </c>
      <c r="B311" s="797">
        <v>3.8353000000000002</v>
      </c>
      <c r="C311" s="797">
        <v>3.8353000000000002</v>
      </c>
      <c r="D311" s="797">
        <v>4.0049999999999999</v>
      </c>
      <c r="E311" s="797">
        <v>4.0049999999999999</v>
      </c>
      <c r="F311" s="797">
        <v>4.0049999999999999</v>
      </c>
      <c r="G311" s="797">
        <v>3.706</v>
      </c>
      <c r="H311" s="797">
        <v>3.706</v>
      </c>
      <c r="I311" s="797">
        <v>3.3332999999999999</v>
      </c>
      <c r="J311" s="797">
        <v>3.3332999999999999</v>
      </c>
      <c r="K311" s="797">
        <v>3.3332999999999999</v>
      </c>
      <c r="L311" s="797">
        <v>3.3332999999999999</v>
      </c>
      <c r="M311" s="797">
        <v>3.3332999999999999</v>
      </c>
    </row>
    <row r="312" spans="1:13">
      <c r="A312" s="790">
        <v>0.4</v>
      </c>
      <c r="B312" s="797">
        <v>2.8765000000000001</v>
      </c>
      <c r="C312" s="797">
        <v>2.8765000000000001</v>
      </c>
      <c r="D312" s="797">
        <v>3.0038</v>
      </c>
      <c r="E312" s="797">
        <v>3.0038</v>
      </c>
      <c r="F312" s="797">
        <v>3.0038</v>
      </c>
      <c r="G312" s="797">
        <v>2.7795000000000001</v>
      </c>
      <c r="H312" s="797">
        <v>2.7795000000000001</v>
      </c>
      <c r="I312" s="797">
        <v>2.5</v>
      </c>
      <c r="J312" s="797">
        <v>2.5</v>
      </c>
      <c r="K312" s="797">
        <v>2.5</v>
      </c>
      <c r="L312" s="797">
        <v>2.5</v>
      </c>
      <c r="M312" s="797">
        <v>2.5</v>
      </c>
    </row>
    <row r="313" spans="1:13">
      <c r="A313" s="790">
        <v>0.5</v>
      </c>
      <c r="B313" s="797">
        <v>2.3012000000000001</v>
      </c>
      <c r="C313" s="797">
        <v>2.3012000000000001</v>
      </c>
      <c r="D313" s="797">
        <v>2.403</v>
      </c>
      <c r="E313" s="797">
        <v>2.403</v>
      </c>
      <c r="F313" s="797">
        <v>2.403</v>
      </c>
      <c r="G313" s="797">
        <v>2.2235999999999998</v>
      </c>
      <c r="H313" s="797">
        <v>2.2235999999999998</v>
      </c>
      <c r="I313" s="797">
        <v>2</v>
      </c>
      <c r="J313" s="797">
        <v>2</v>
      </c>
      <c r="K313" s="797">
        <v>2</v>
      </c>
      <c r="L313" s="797">
        <v>2</v>
      </c>
      <c r="M313" s="797">
        <v>2</v>
      </c>
    </row>
    <row r="314" spans="1:13">
      <c r="A314" s="790">
        <v>0.6</v>
      </c>
      <c r="B314" s="797">
        <v>1.9177</v>
      </c>
      <c r="C314" s="797">
        <v>1.9177</v>
      </c>
      <c r="D314" s="797">
        <v>2.0024999999999999</v>
      </c>
      <c r="E314" s="797">
        <v>2.0024999999999999</v>
      </c>
      <c r="F314" s="797">
        <v>2.0024999999999999</v>
      </c>
      <c r="G314" s="797">
        <v>1.853</v>
      </c>
      <c r="H314" s="797">
        <v>1.853</v>
      </c>
      <c r="I314" s="797">
        <v>1.6667000000000001</v>
      </c>
      <c r="J314" s="797">
        <v>1.6667000000000001</v>
      </c>
      <c r="K314" s="797">
        <v>1.6667000000000001</v>
      </c>
      <c r="L314" s="797">
        <v>1.6667000000000001</v>
      </c>
      <c r="M314" s="797">
        <v>1.6667000000000001</v>
      </c>
    </row>
    <row r="315" spans="1:13">
      <c r="A315" s="790">
        <v>0.7</v>
      </c>
      <c r="B315" s="797">
        <v>1.6436999999999999</v>
      </c>
      <c r="C315" s="797">
        <v>1.6436999999999999</v>
      </c>
      <c r="D315" s="797">
        <v>1.7163999999999999</v>
      </c>
      <c r="E315" s="797">
        <v>1.7163999999999999</v>
      </c>
      <c r="F315" s="797">
        <v>1.7163999999999999</v>
      </c>
      <c r="G315" s="797">
        <v>1.5883</v>
      </c>
      <c r="H315" s="797">
        <v>1.5883</v>
      </c>
      <c r="I315" s="797">
        <v>1.4286000000000001</v>
      </c>
      <c r="J315" s="797">
        <v>1.4286000000000001</v>
      </c>
      <c r="K315" s="797">
        <v>1.4286000000000001</v>
      </c>
      <c r="L315" s="797">
        <v>1.4286000000000001</v>
      </c>
      <c r="M315" s="797">
        <v>1.4286000000000001</v>
      </c>
    </row>
    <row r="316" spans="1:13">
      <c r="A316" s="790">
        <v>0.8</v>
      </c>
      <c r="B316" s="797">
        <v>1.4382999999999999</v>
      </c>
      <c r="C316" s="797">
        <v>1.4382999999999999</v>
      </c>
      <c r="D316" s="797">
        <v>1.5019</v>
      </c>
      <c r="E316" s="797">
        <v>1.5019</v>
      </c>
      <c r="F316" s="797">
        <v>1.5019</v>
      </c>
      <c r="G316" s="797">
        <v>1.3897999999999999</v>
      </c>
      <c r="H316" s="797">
        <v>1.3897999999999999</v>
      </c>
      <c r="I316" s="797">
        <v>1.25</v>
      </c>
      <c r="J316" s="797">
        <v>1.25</v>
      </c>
      <c r="K316" s="797">
        <v>1.25</v>
      </c>
      <c r="L316" s="797">
        <v>1.25</v>
      </c>
      <c r="M316" s="797">
        <v>1.25</v>
      </c>
    </row>
    <row r="317" spans="1:13">
      <c r="A317" s="790">
        <v>0.9</v>
      </c>
      <c r="B317" s="797">
        <v>1.2784</v>
      </c>
      <c r="C317" s="797">
        <v>1.2784</v>
      </c>
      <c r="D317" s="797">
        <v>1.335</v>
      </c>
      <c r="E317" s="797">
        <v>1.335</v>
      </c>
      <c r="F317" s="797">
        <v>1.335</v>
      </c>
      <c r="G317" s="797">
        <v>1.2353000000000001</v>
      </c>
      <c r="H317" s="797">
        <v>1.2353000000000001</v>
      </c>
      <c r="I317" s="797">
        <v>1.1111</v>
      </c>
      <c r="J317" s="797">
        <v>1.1111</v>
      </c>
      <c r="K317" s="797">
        <v>1.1111</v>
      </c>
      <c r="L317" s="797">
        <v>1.1111</v>
      </c>
      <c r="M317" s="797">
        <v>1.1111</v>
      </c>
    </row>
    <row r="318" spans="1:13">
      <c r="A318" s="790">
        <v>1</v>
      </c>
      <c r="B318" s="797">
        <v>1.1506000000000001</v>
      </c>
      <c r="C318" s="797">
        <v>1.1506000000000001</v>
      </c>
      <c r="D318" s="797">
        <v>1.2015</v>
      </c>
      <c r="E318" s="797">
        <v>1.2015</v>
      </c>
      <c r="F318" s="797">
        <v>1.2015</v>
      </c>
      <c r="G318" s="797">
        <v>1.1117999999999999</v>
      </c>
      <c r="H318" s="797">
        <v>1.1117999999999999</v>
      </c>
      <c r="I318" s="797">
        <v>1</v>
      </c>
      <c r="J318" s="797">
        <v>1</v>
      </c>
      <c r="K318" s="797">
        <v>1</v>
      </c>
      <c r="L318" s="797">
        <v>1</v>
      </c>
      <c r="M318" s="797">
        <v>1</v>
      </c>
    </row>
    <row r="319" spans="1:13">
      <c r="A319" s="790">
        <v>1.1000000000000001</v>
      </c>
      <c r="B319" s="797">
        <v>1.1158999999999999</v>
      </c>
      <c r="C319" s="797">
        <v>1.1158999999999999</v>
      </c>
      <c r="D319" s="797">
        <v>1.1440999999999999</v>
      </c>
      <c r="E319" s="797">
        <v>1.1440999999999999</v>
      </c>
      <c r="F319" s="797">
        <v>1.1440999999999999</v>
      </c>
      <c r="G319" s="797">
        <v>1.0492999999999999</v>
      </c>
      <c r="H319" s="797">
        <v>1.0492999999999999</v>
      </c>
      <c r="I319" s="797">
        <v>0.93730000000000002</v>
      </c>
      <c r="J319" s="797">
        <v>0.93730000000000002</v>
      </c>
      <c r="K319" s="797">
        <v>0.93730000000000002</v>
      </c>
      <c r="L319" s="797">
        <v>0.93730000000000002</v>
      </c>
      <c r="M319" s="797">
        <v>0.93730000000000002</v>
      </c>
    </row>
    <row r="320" spans="1:13">
      <c r="A320" s="790">
        <v>1.2</v>
      </c>
      <c r="B320" s="797">
        <v>1.0837000000000001</v>
      </c>
      <c r="C320" s="797">
        <v>1.0837000000000001</v>
      </c>
      <c r="D320" s="797">
        <v>1.0972999999999999</v>
      </c>
      <c r="E320" s="797">
        <v>1.0972999999999999</v>
      </c>
      <c r="F320" s="797">
        <v>1.0972999999999999</v>
      </c>
      <c r="G320" s="797">
        <v>1</v>
      </c>
      <c r="H320" s="797">
        <v>1</v>
      </c>
      <c r="I320" s="797">
        <v>0.88890000000000002</v>
      </c>
      <c r="J320" s="797">
        <v>0.88890000000000002</v>
      </c>
      <c r="K320" s="797">
        <v>0.88890000000000002</v>
      </c>
      <c r="L320" s="797">
        <v>0.88890000000000002</v>
      </c>
      <c r="M320" s="797">
        <v>0.88890000000000002</v>
      </c>
    </row>
    <row r="321" spans="1:13">
      <c r="A321" s="790">
        <v>1.3</v>
      </c>
      <c r="B321" s="797">
        <v>1.0538000000000001</v>
      </c>
      <c r="C321" s="797">
        <v>1.0538000000000001</v>
      </c>
      <c r="D321" s="797">
        <v>1.0589999999999999</v>
      </c>
      <c r="E321" s="797">
        <v>1.0589999999999999</v>
      </c>
      <c r="F321" s="797">
        <v>1.0589999999999999</v>
      </c>
      <c r="G321" s="797">
        <v>0.96140000000000003</v>
      </c>
      <c r="H321" s="797">
        <v>0.96140000000000003</v>
      </c>
      <c r="I321" s="797">
        <v>0.85209999999999997</v>
      </c>
      <c r="J321" s="797">
        <v>0.85209999999999997</v>
      </c>
      <c r="K321" s="797">
        <v>0.85209999999999997</v>
      </c>
      <c r="L321" s="797">
        <v>0.85209999999999997</v>
      </c>
      <c r="M321" s="797">
        <v>0.85209999999999997</v>
      </c>
    </row>
    <row r="322" spans="1:13">
      <c r="A322" s="790">
        <v>1.4</v>
      </c>
      <c r="B322" s="797">
        <v>1.026</v>
      </c>
      <c r="C322" s="797">
        <v>1.026</v>
      </c>
      <c r="D322" s="797">
        <v>1.0271999999999999</v>
      </c>
      <c r="E322" s="797">
        <v>1.0271999999999999</v>
      </c>
      <c r="F322" s="797">
        <v>1.0271999999999999</v>
      </c>
      <c r="G322" s="797">
        <v>0.93079999999999996</v>
      </c>
      <c r="H322" s="797">
        <v>0.93079999999999996</v>
      </c>
      <c r="I322" s="797">
        <v>0.82379999999999998</v>
      </c>
      <c r="J322" s="797">
        <v>0.82379999999999998</v>
      </c>
      <c r="K322" s="797">
        <v>0.82379999999999998</v>
      </c>
      <c r="L322" s="797">
        <v>0.82379999999999998</v>
      </c>
      <c r="M322" s="797">
        <v>0.82379999999999998</v>
      </c>
    </row>
    <row r="323" spans="1:13">
      <c r="A323" s="790">
        <v>1.5</v>
      </c>
      <c r="B323" s="797">
        <v>1</v>
      </c>
      <c r="C323" s="797">
        <v>1</v>
      </c>
      <c r="D323" s="797">
        <v>1</v>
      </c>
      <c r="E323" s="797">
        <v>1</v>
      </c>
      <c r="F323" s="797">
        <v>1</v>
      </c>
      <c r="G323" s="797">
        <v>0.90559999999999996</v>
      </c>
      <c r="H323" s="797">
        <v>0.90559999999999996</v>
      </c>
      <c r="I323" s="797">
        <v>0.80110000000000003</v>
      </c>
      <c r="J323" s="797">
        <v>0.80110000000000003</v>
      </c>
      <c r="K323" s="797">
        <v>0.80110000000000003</v>
      </c>
      <c r="L323" s="797">
        <v>0.80110000000000003</v>
      </c>
      <c r="M323" s="797">
        <v>0.80110000000000003</v>
      </c>
    </row>
    <row r="324" spans="1:13">
      <c r="A324" s="790">
        <v>1.6</v>
      </c>
      <c r="B324" s="797">
        <v>0.97570000000000001</v>
      </c>
      <c r="C324" s="797">
        <v>0.97570000000000001</v>
      </c>
      <c r="D324" s="797">
        <v>0.97519999999999996</v>
      </c>
      <c r="E324" s="797">
        <v>0.97519999999999996</v>
      </c>
      <c r="F324" s="797">
        <v>0.97519999999999996</v>
      </c>
      <c r="G324" s="797">
        <v>0.8831</v>
      </c>
      <c r="H324" s="797">
        <v>0.8831</v>
      </c>
      <c r="I324" s="797">
        <v>0.78100000000000003</v>
      </c>
      <c r="J324" s="797">
        <v>0.78100000000000003</v>
      </c>
      <c r="K324" s="797">
        <v>0.78100000000000003</v>
      </c>
      <c r="L324" s="797">
        <v>0.78100000000000003</v>
      </c>
      <c r="M324" s="797">
        <v>0.78100000000000003</v>
      </c>
    </row>
    <row r="325" spans="1:13">
      <c r="A325" s="790">
        <v>1.7</v>
      </c>
      <c r="B325" s="797">
        <v>0.95289999999999997</v>
      </c>
      <c r="C325" s="797">
        <v>0.95289999999999997</v>
      </c>
      <c r="D325" s="797">
        <v>0.95189999999999997</v>
      </c>
      <c r="E325" s="797">
        <v>0.95189999999999997</v>
      </c>
      <c r="F325" s="797">
        <v>0.95189999999999997</v>
      </c>
      <c r="G325" s="797">
        <v>0.86180000000000001</v>
      </c>
      <c r="H325" s="797">
        <v>0.86180000000000001</v>
      </c>
      <c r="I325" s="797">
        <v>0.7621</v>
      </c>
      <c r="J325" s="797">
        <v>0.7621</v>
      </c>
      <c r="K325" s="797">
        <v>0.7621</v>
      </c>
      <c r="L325" s="797">
        <v>0.7621</v>
      </c>
      <c r="M325" s="797">
        <v>0.7621</v>
      </c>
    </row>
    <row r="326" spans="1:13">
      <c r="A326" s="790">
        <v>1.8</v>
      </c>
      <c r="B326" s="797">
        <v>0.93149999999999999</v>
      </c>
      <c r="C326" s="797">
        <v>0.93149999999999999</v>
      </c>
      <c r="D326" s="797">
        <v>0.93</v>
      </c>
      <c r="E326" s="797">
        <v>0.93</v>
      </c>
      <c r="F326" s="797">
        <v>0.93</v>
      </c>
      <c r="G326" s="797">
        <v>0.84179999999999999</v>
      </c>
      <c r="H326" s="797">
        <v>0.84179999999999999</v>
      </c>
      <c r="I326" s="797">
        <v>0.74419999999999997</v>
      </c>
      <c r="J326" s="797">
        <v>0.74419999999999997</v>
      </c>
      <c r="K326" s="797">
        <v>0.74419999999999997</v>
      </c>
      <c r="L326" s="797">
        <v>0.74419999999999997</v>
      </c>
      <c r="M326" s="797">
        <v>0.74419999999999997</v>
      </c>
    </row>
    <row r="327" spans="1:13">
      <c r="A327" s="790">
        <v>1.9</v>
      </c>
      <c r="B327" s="797">
        <v>0.91139999999999999</v>
      </c>
      <c r="C327" s="797">
        <v>0.91139999999999999</v>
      </c>
      <c r="D327" s="797">
        <v>0.90939999999999999</v>
      </c>
      <c r="E327" s="797">
        <v>0.90939999999999999</v>
      </c>
      <c r="F327" s="797">
        <v>0.90939999999999999</v>
      </c>
      <c r="G327" s="797">
        <v>0.82289999999999996</v>
      </c>
      <c r="H327" s="797">
        <v>0.82289999999999996</v>
      </c>
      <c r="I327" s="797">
        <v>0.72740000000000005</v>
      </c>
      <c r="J327" s="797">
        <v>0.72740000000000005</v>
      </c>
      <c r="K327" s="797">
        <v>0.72740000000000005</v>
      </c>
      <c r="L327" s="797">
        <v>0.72740000000000005</v>
      </c>
      <c r="M327" s="797">
        <v>0.72740000000000005</v>
      </c>
    </row>
    <row r="328" spans="1:13">
      <c r="A328" s="790">
        <v>2</v>
      </c>
      <c r="B328" s="797">
        <v>0.89270000000000005</v>
      </c>
      <c r="C328" s="797">
        <v>0.89270000000000005</v>
      </c>
      <c r="D328" s="797">
        <v>0.8901</v>
      </c>
      <c r="E328" s="797">
        <v>0.8901</v>
      </c>
      <c r="F328" s="797">
        <v>0.8901</v>
      </c>
      <c r="G328" s="797">
        <v>0.80530000000000002</v>
      </c>
      <c r="H328" s="797">
        <v>0.80530000000000002</v>
      </c>
      <c r="I328" s="797">
        <v>0.71160000000000001</v>
      </c>
      <c r="J328" s="797">
        <v>0.71160000000000001</v>
      </c>
      <c r="K328" s="797">
        <v>0.71160000000000001</v>
      </c>
      <c r="L328" s="797">
        <v>0.71160000000000001</v>
      </c>
      <c r="M328" s="797">
        <v>0.71160000000000001</v>
      </c>
    </row>
    <row r="329" spans="1:13">
      <c r="A329" s="804">
        <v>2.1</v>
      </c>
      <c r="B329" s="797">
        <v>0.87519999999999998</v>
      </c>
      <c r="C329" s="797">
        <v>0.87519999999999998</v>
      </c>
      <c r="D329" s="797">
        <v>0.872</v>
      </c>
      <c r="E329" s="797">
        <v>0.872</v>
      </c>
      <c r="F329" s="797">
        <v>0.872</v>
      </c>
      <c r="G329" s="797">
        <v>0.78869999999999996</v>
      </c>
      <c r="H329" s="797">
        <v>0.78869999999999996</v>
      </c>
      <c r="I329" s="797">
        <v>0.69669999999999999</v>
      </c>
      <c r="J329" s="797">
        <v>0.69669999999999999</v>
      </c>
      <c r="K329" s="797">
        <v>0.69669999999999999</v>
      </c>
      <c r="L329" s="797">
        <v>0.69669999999999999</v>
      </c>
      <c r="M329" s="797">
        <v>0.69669999999999999</v>
      </c>
    </row>
    <row r="330" spans="1:13">
      <c r="A330" s="804">
        <v>2.2000000000000002</v>
      </c>
      <c r="B330" s="797">
        <v>0.85880000000000001</v>
      </c>
      <c r="C330" s="797">
        <v>0.85880000000000001</v>
      </c>
      <c r="D330" s="797">
        <v>0.85499999999999998</v>
      </c>
      <c r="E330" s="797">
        <v>0.85499999999999998</v>
      </c>
      <c r="F330" s="797">
        <v>0.85499999999999998</v>
      </c>
      <c r="G330" s="797">
        <v>0.77300000000000002</v>
      </c>
      <c r="H330" s="797">
        <v>0.77300000000000002</v>
      </c>
      <c r="I330" s="797">
        <v>0.68269999999999997</v>
      </c>
      <c r="J330" s="797">
        <v>0.68269999999999997</v>
      </c>
      <c r="K330" s="797">
        <v>0.68269999999999997</v>
      </c>
      <c r="L330" s="797">
        <v>0.68269999999999997</v>
      </c>
      <c r="M330" s="797">
        <v>0.68269999999999997</v>
      </c>
    </row>
    <row r="331" spans="1:13">
      <c r="A331" s="804">
        <v>2.2999999999999998</v>
      </c>
      <c r="B331" s="797">
        <v>0.84360000000000002</v>
      </c>
      <c r="C331" s="797">
        <v>0.84360000000000002</v>
      </c>
      <c r="D331" s="797">
        <v>0.83899999999999997</v>
      </c>
      <c r="E331" s="797">
        <v>0.83899999999999997</v>
      </c>
      <c r="F331" s="797">
        <v>0.83899999999999997</v>
      </c>
      <c r="G331" s="797">
        <v>0.75839999999999996</v>
      </c>
      <c r="H331" s="797">
        <v>0.75839999999999996</v>
      </c>
      <c r="I331" s="797">
        <v>0.66949999999999998</v>
      </c>
      <c r="J331" s="797">
        <v>0.66949999999999998</v>
      </c>
      <c r="K331" s="797">
        <v>0.66949999999999998</v>
      </c>
      <c r="L331" s="797">
        <v>0.66949999999999998</v>
      </c>
      <c r="M331" s="797">
        <v>0.66949999999999998</v>
      </c>
    </row>
    <row r="332" spans="1:13">
      <c r="A332" s="804">
        <v>2.4</v>
      </c>
      <c r="B332" s="797">
        <v>0.82940000000000003</v>
      </c>
      <c r="C332" s="797">
        <v>0.82940000000000003</v>
      </c>
      <c r="D332" s="797">
        <v>0.82410000000000005</v>
      </c>
      <c r="E332" s="797">
        <v>0.82410000000000005</v>
      </c>
      <c r="F332" s="797">
        <v>0.82410000000000005</v>
      </c>
      <c r="G332" s="797">
        <v>0.74460000000000004</v>
      </c>
      <c r="H332" s="797">
        <v>0.74460000000000004</v>
      </c>
      <c r="I332" s="797">
        <v>0.65710000000000002</v>
      </c>
      <c r="J332" s="797">
        <v>0.65710000000000002</v>
      </c>
      <c r="K332" s="797">
        <v>0.65710000000000002</v>
      </c>
      <c r="L332" s="797">
        <v>0.65710000000000002</v>
      </c>
      <c r="M332" s="797">
        <v>0.65710000000000002</v>
      </c>
    </row>
    <row r="333" spans="1:13">
      <c r="A333" s="804">
        <v>2.5</v>
      </c>
      <c r="B333" s="797">
        <v>0.81620000000000004</v>
      </c>
      <c r="C333" s="797">
        <v>0.81620000000000004</v>
      </c>
      <c r="D333" s="797">
        <v>0.81020000000000003</v>
      </c>
      <c r="E333" s="797">
        <v>0.81020000000000003</v>
      </c>
      <c r="F333" s="797">
        <v>0.81020000000000003</v>
      </c>
      <c r="G333" s="797">
        <v>0.73180000000000001</v>
      </c>
      <c r="H333" s="797">
        <v>0.73180000000000001</v>
      </c>
      <c r="I333" s="797">
        <v>0.64549999999999996</v>
      </c>
      <c r="J333" s="797">
        <v>0.64549999999999996</v>
      </c>
      <c r="K333" s="797">
        <v>0.64549999999999996</v>
      </c>
      <c r="L333" s="797">
        <v>0.64549999999999996</v>
      </c>
      <c r="M333" s="797">
        <v>0.64549999999999996</v>
      </c>
    </row>
    <row r="334" spans="1:13">
      <c r="A334" s="804">
        <v>2.6</v>
      </c>
      <c r="B334" s="797">
        <v>0.80389999999999995</v>
      </c>
      <c r="C334" s="797">
        <v>0.80389999999999995</v>
      </c>
      <c r="D334" s="797">
        <v>0.79710000000000003</v>
      </c>
      <c r="E334" s="797">
        <v>0.79710000000000003</v>
      </c>
      <c r="F334" s="797">
        <v>0.79710000000000003</v>
      </c>
      <c r="G334" s="797">
        <v>0.71970000000000001</v>
      </c>
      <c r="H334" s="797">
        <v>0.71970000000000001</v>
      </c>
      <c r="I334" s="797">
        <v>0.63460000000000005</v>
      </c>
      <c r="J334" s="797">
        <v>0.63460000000000005</v>
      </c>
      <c r="K334" s="797">
        <v>0.63460000000000005</v>
      </c>
      <c r="L334" s="797">
        <v>0.63460000000000005</v>
      </c>
      <c r="M334" s="797">
        <v>0.63460000000000005</v>
      </c>
    </row>
    <row r="335" spans="1:13">
      <c r="A335" s="804">
        <v>2.7</v>
      </c>
      <c r="B335" s="797">
        <v>0.79249999999999998</v>
      </c>
      <c r="C335" s="797">
        <v>0.79249999999999998</v>
      </c>
      <c r="D335" s="797">
        <v>0.78490000000000004</v>
      </c>
      <c r="E335" s="797">
        <v>0.78490000000000004</v>
      </c>
      <c r="F335" s="797">
        <v>0.78490000000000004</v>
      </c>
      <c r="G335" s="797">
        <v>0.70840000000000003</v>
      </c>
      <c r="H335" s="797">
        <v>0.70840000000000003</v>
      </c>
      <c r="I335" s="797">
        <v>0.62439999999999996</v>
      </c>
      <c r="J335" s="797">
        <v>0.62439999999999996</v>
      </c>
      <c r="K335" s="797">
        <v>0.62439999999999996</v>
      </c>
      <c r="L335" s="797">
        <v>0.62439999999999996</v>
      </c>
      <c r="M335" s="797">
        <v>0.62439999999999996</v>
      </c>
    </row>
    <row r="336" spans="1:13">
      <c r="A336" s="804">
        <v>2.8</v>
      </c>
      <c r="B336" s="797">
        <v>0.78190000000000004</v>
      </c>
      <c r="C336" s="797">
        <v>0.78190000000000004</v>
      </c>
      <c r="D336" s="797">
        <v>0.77359999999999995</v>
      </c>
      <c r="E336" s="797">
        <v>0.77359999999999995</v>
      </c>
      <c r="F336" s="797">
        <v>0.77359999999999995</v>
      </c>
      <c r="G336" s="797">
        <v>0.69789999999999996</v>
      </c>
      <c r="H336" s="797">
        <v>0.69789999999999996</v>
      </c>
      <c r="I336" s="797">
        <v>0.61480000000000001</v>
      </c>
      <c r="J336" s="797">
        <v>0.61480000000000001</v>
      </c>
      <c r="K336" s="797">
        <v>0.61480000000000001</v>
      </c>
      <c r="L336" s="797">
        <v>0.61480000000000001</v>
      </c>
      <c r="M336" s="797">
        <v>0.61480000000000001</v>
      </c>
    </row>
    <row r="337" spans="1:13">
      <c r="A337" s="804">
        <v>2.9</v>
      </c>
      <c r="B337" s="797">
        <v>0.77210000000000001</v>
      </c>
      <c r="C337" s="797">
        <v>0.77210000000000001</v>
      </c>
      <c r="D337" s="797">
        <v>0.76300000000000001</v>
      </c>
      <c r="E337" s="797">
        <v>0.76300000000000001</v>
      </c>
      <c r="F337" s="797">
        <v>0.76300000000000001</v>
      </c>
      <c r="G337" s="797">
        <v>0.68799999999999994</v>
      </c>
      <c r="H337" s="797">
        <v>0.68799999999999994</v>
      </c>
      <c r="I337" s="797">
        <v>0.60589999999999999</v>
      </c>
      <c r="J337" s="797">
        <v>0.60589999999999999</v>
      </c>
      <c r="K337" s="797">
        <v>0.60589999999999999</v>
      </c>
      <c r="L337" s="797">
        <v>0.60589999999999999</v>
      </c>
      <c r="M337" s="797">
        <v>0.60589999999999999</v>
      </c>
    </row>
    <row r="338" spans="1:13">
      <c r="A338" s="804">
        <v>3</v>
      </c>
      <c r="B338" s="797">
        <v>0.7631</v>
      </c>
      <c r="C338" s="797">
        <v>0.7631</v>
      </c>
      <c r="D338" s="797">
        <v>0.75309999999999999</v>
      </c>
      <c r="E338" s="797">
        <v>0.75309999999999999</v>
      </c>
      <c r="F338" s="797">
        <v>0.75309999999999999</v>
      </c>
      <c r="G338" s="797">
        <v>0.67879999999999996</v>
      </c>
      <c r="H338" s="797">
        <v>0.67879999999999996</v>
      </c>
      <c r="I338" s="797">
        <v>0.59750000000000003</v>
      </c>
      <c r="J338" s="797">
        <v>0.59750000000000003</v>
      </c>
      <c r="K338" s="797">
        <v>0.59750000000000003</v>
      </c>
      <c r="L338" s="797">
        <v>0.59750000000000003</v>
      </c>
      <c r="M338" s="797">
        <v>0.59750000000000003</v>
      </c>
    </row>
    <row r="339" spans="1:13">
      <c r="A339" s="804">
        <v>3.1</v>
      </c>
      <c r="B339" s="797">
        <v>0.75470000000000004</v>
      </c>
      <c r="C339" s="797">
        <v>0.75470000000000004</v>
      </c>
      <c r="D339" s="797">
        <v>0.74399999999999999</v>
      </c>
      <c r="E339" s="797">
        <v>0.74399999999999999</v>
      </c>
      <c r="F339" s="797">
        <v>0.74399999999999999</v>
      </c>
      <c r="G339" s="797">
        <v>0.67020000000000002</v>
      </c>
      <c r="H339" s="797">
        <v>0.67020000000000002</v>
      </c>
      <c r="I339" s="797">
        <v>0.5897</v>
      </c>
      <c r="J339" s="797">
        <v>0.5897</v>
      </c>
      <c r="K339" s="797">
        <v>0.5897</v>
      </c>
      <c r="L339" s="797">
        <v>0.5897</v>
      </c>
      <c r="M339" s="797">
        <v>0.5897</v>
      </c>
    </row>
    <row r="340" spans="1:13">
      <c r="A340" s="804">
        <v>3.2</v>
      </c>
      <c r="B340" s="797">
        <v>0.747</v>
      </c>
      <c r="C340" s="797">
        <v>0.747</v>
      </c>
      <c r="D340" s="797">
        <v>0.73540000000000005</v>
      </c>
      <c r="E340" s="797">
        <v>0.73540000000000005</v>
      </c>
      <c r="F340" s="797">
        <v>0.73540000000000005</v>
      </c>
      <c r="G340" s="797">
        <v>0.66220000000000001</v>
      </c>
      <c r="H340" s="797">
        <v>0.66220000000000001</v>
      </c>
      <c r="I340" s="797">
        <v>0.58230000000000004</v>
      </c>
      <c r="J340" s="797">
        <v>0.58230000000000004</v>
      </c>
      <c r="K340" s="797">
        <v>0.58230000000000004</v>
      </c>
      <c r="L340" s="797">
        <v>0.58230000000000004</v>
      </c>
      <c r="M340" s="797">
        <v>0.58230000000000004</v>
      </c>
    </row>
    <row r="341" spans="1:13">
      <c r="A341" s="804">
        <v>3.3</v>
      </c>
      <c r="B341" s="797">
        <v>0.7399</v>
      </c>
      <c r="C341" s="797">
        <v>0.7399</v>
      </c>
      <c r="D341" s="797">
        <v>0.72750000000000004</v>
      </c>
      <c r="E341" s="797">
        <v>0.72750000000000004</v>
      </c>
      <c r="F341" s="797">
        <v>0.72750000000000004</v>
      </c>
      <c r="G341" s="797">
        <v>0.65480000000000005</v>
      </c>
      <c r="H341" s="797">
        <v>0.65480000000000005</v>
      </c>
      <c r="I341" s="797">
        <v>0.57540000000000002</v>
      </c>
      <c r="J341" s="797">
        <v>0.57540000000000002</v>
      </c>
      <c r="K341" s="797">
        <v>0.57540000000000002</v>
      </c>
      <c r="L341" s="797">
        <v>0.57540000000000002</v>
      </c>
      <c r="M341" s="797">
        <v>0.57540000000000002</v>
      </c>
    </row>
    <row r="342" spans="1:13">
      <c r="A342" s="804">
        <v>3.4</v>
      </c>
      <c r="B342" s="797">
        <v>0.73340000000000005</v>
      </c>
      <c r="C342" s="797">
        <v>0.73340000000000005</v>
      </c>
      <c r="D342" s="797">
        <v>0.72009999999999996</v>
      </c>
      <c r="E342" s="797">
        <v>0.72009999999999996</v>
      </c>
      <c r="F342" s="797">
        <v>0.72009999999999996</v>
      </c>
      <c r="G342" s="797">
        <v>0.64780000000000004</v>
      </c>
      <c r="H342" s="797">
        <v>0.64780000000000004</v>
      </c>
      <c r="I342" s="797">
        <v>0.56899999999999995</v>
      </c>
      <c r="J342" s="797">
        <v>0.56899999999999995</v>
      </c>
      <c r="K342" s="797">
        <v>0.56899999999999995</v>
      </c>
      <c r="L342" s="797">
        <v>0.56899999999999995</v>
      </c>
      <c r="M342" s="797">
        <v>0.56899999999999995</v>
      </c>
    </row>
    <row r="343" spans="1:13">
      <c r="A343" s="804">
        <v>3.5</v>
      </c>
      <c r="B343" s="797">
        <v>0.72740000000000005</v>
      </c>
      <c r="C343" s="797">
        <v>0.72740000000000005</v>
      </c>
      <c r="D343" s="797">
        <v>0.71330000000000005</v>
      </c>
      <c r="E343" s="797">
        <v>0.71330000000000005</v>
      </c>
      <c r="F343" s="797">
        <v>0.71330000000000005</v>
      </c>
      <c r="G343" s="797">
        <v>0.64129999999999998</v>
      </c>
      <c r="H343" s="797">
        <v>0.64129999999999998</v>
      </c>
      <c r="I343" s="797">
        <v>0.56310000000000004</v>
      </c>
      <c r="J343" s="797">
        <v>0.56310000000000004</v>
      </c>
      <c r="K343" s="797">
        <v>0.56310000000000004</v>
      </c>
      <c r="L343" s="797">
        <v>0.56310000000000004</v>
      </c>
      <c r="M343" s="797">
        <v>0.56310000000000004</v>
      </c>
    </row>
    <row r="344" spans="1:13">
      <c r="A344" s="804">
        <v>3.6</v>
      </c>
      <c r="B344" s="797">
        <v>0.72189999999999999</v>
      </c>
      <c r="C344" s="797">
        <v>0.72189999999999999</v>
      </c>
      <c r="D344" s="797">
        <v>0.70699999999999996</v>
      </c>
      <c r="E344" s="797">
        <v>0.70699999999999996</v>
      </c>
      <c r="F344" s="797">
        <v>0.70699999999999996</v>
      </c>
      <c r="G344" s="797">
        <v>0.63529999999999998</v>
      </c>
      <c r="H344" s="797">
        <v>0.63529999999999998</v>
      </c>
      <c r="I344" s="797">
        <v>0.5575</v>
      </c>
      <c r="J344" s="797">
        <v>0.5575</v>
      </c>
      <c r="K344" s="797">
        <v>0.5575</v>
      </c>
      <c r="L344" s="797">
        <v>0.5575</v>
      </c>
      <c r="M344" s="797">
        <v>0.5575</v>
      </c>
    </row>
    <row r="345" spans="1:13">
      <c r="A345" s="804">
        <v>3.7</v>
      </c>
      <c r="B345" s="797">
        <v>0.71679999999999999</v>
      </c>
      <c r="C345" s="797">
        <v>0.71679999999999999</v>
      </c>
      <c r="D345" s="797">
        <v>0.70109999999999995</v>
      </c>
      <c r="E345" s="797">
        <v>0.70109999999999995</v>
      </c>
      <c r="F345" s="797">
        <v>0.70109999999999995</v>
      </c>
      <c r="G345" s="797">
        <v>0.62970000000000004</v>
      </c>
      <c r="H345" s="797">
        <v>0.62970000000000004</v>
      </c>
      <c r="I345" s="797">
        <v>0.55230000000000001</v>
      </c>
      <c r="J345" s="797">
        <v>0.55230000000000001</v>
      </c>
      <c r="K345" s="797">
        <v>0.55230000000000001</v>
      </c>
      <c r="L345" s="797">
        <v>0.55230000000000001</v>
      </c>
      <c r="M345" s="797">
        <v>0.55230000000000001</v>
      </c>
    </row>
    <row r="346" spans="1:13">
      <c r="A346" s="804">
        <v>3.8</v>
      </c>
      <c r="B346" s="797">
        <v>0.71220000000000006</v>
      </c>
      <c r="C346" s="797">
        <v>0.71220000000000006</v>
      </c>
      <c r="D346" s="797">
        <v>0.6956</v>
      </c>
      <c r="E346" s="797">
        <v>0.6956</v>
      </c>
      <c r="F346" s="797">
        <v>0.6956</v>
      </c>
      <c r="G346" s="797">
        <v>0.62439999999999996</v>
      </c>
      <c r="H346" s="797">
        <v>0.62439999999999996</v>
      </c>
      <c r="I346" s="797">
        <v>0.5474</v>
      </c>
      <c r="J346" s="797">
        <v>0.5474</v>
      </c>
      <c r="K346" s="797">
        <v>0.5474</v>
      </c>
      <c r="L346" s="797">
        <v>0.5474</v>
      </c>
      <c r="M346" s="797">
        <v>0.5474</v>
      </c>
    </row>
    <row r="347" spans="1:13">
      <c r="A347" s="804">
        <v>3.9</v>
      </c>
      <c r="B347" s="797">
        <v>0.70799999999999996</v>
      </c>
      <c r="C347" s="797">
        <v>0.70799999999999996</v>
      </c>
      <c r="D347" s="797">
        <v>0.69059999999999999</v>
      </c>
      <c r="E347" s="797">
        <v>0.69059999999999999</v>
      </c>
      <c r="F347" s="797">
        <v>0.69059999999999999</v>
      </c>
      <c r="G347" s="797">
        <v>0.61950000000000005</v>
      </c>
      <c r="H347" s="797">
        <v>0.61950000000000005</v>
      </c>
      <c r="I347" s="797">
        <v>0.54279999999999995</v>
      </c>
      <c r="J347" s="797">
        <v>0.54279999999999995</v>
      </c>
      <c r="K347" s="797">
        <v>0.54279999999999995</v>
      </c>
      <c r="L347" s="797">
        <v>0.54279999999999995</v>
      </c>
      <c r="M347" s="797">
        <v>0.54279999999999995</v>
      </c>
    </row>
    <row r="348" spans="1:13">
      <c r="A348" s="804">
        <v>4</v>
      </c>
      <c r="B348" s="797">
        <v>0.70409999999999995</v>
      </c>
      <c r="C348" s="797">
        <v>0.70409999999999995</v>
      </c>
      <c r="D348" s="797">
        <v>0.68589999999999995</v>
      </c>
      <c r="E348" s="797">
        <v>0.68589999999999995</v>
      </c>
      <c r="F348" s="797">
        <v>0.68589999999999995</v>
      </c>
      <c r="G348" s="797">
        <v>0.61499999999999999</v>
      </c>
      <c r="H348" s="797">
        <v>0.61499999999999999</v>
      </c>
      <c r="I348" s="797">
        <v>0.53859999999999997</v>
      </c>
      <c r="J348" s="797">
        <v>0.53859999999999997</v>
      </c>
      <c r="K348" s="797">
        <v>0.53859999999999997</v>
      </c>
      <c r="L348" s="797">
        <v>0.53859999999999997</v>
      </c>
      <c r="M348" s="797">
        <v>0.53859999999999997</v>
      </c>
    </row>
    <row r="349" spans="1:13">
      <c r="A349" s="804">
        <v>4.0999999999999996</v>
      </c>
      <c r="B349" s="797">
        <v>0.7006</v>
      </c>
      <c r="C349" s="797">
        <v>0.7006</v>
      </c>
      <c r="D349" s="797">
        <v>0.68159999999999998</v>
      </c>
      <c r="E349" s="797">
        <v>0.68159999999999998</v>
      </c>
      <c r="F349" s="797">
        <v>0.68159999999999998</v>
      </c>
      <c r="G349" s="797">
        <v>0.61080000000000001</v>
      </c>
      <c r="H349" s="797">
        <v>0.61080000000000001</v>
      </c>
      <c r="I349" s="797">
        <v>0.53459999999999996</v>
      </c>
      <c r="J349" s="797">
        <v>0.53459999999999996</v>
      </c>
      <c r="K349" s="797">
        <v>0.53459999999999996</v>
      </c>
      <c r="L349" s="797">
        <v>0.53459999999999996</v>
      </c>
      <c r="M349" s="797">
        <v>0.53459999999999996</v>
      </c>
    </row>
    <row r="350" spans="1:13">
      <c r="A350" s="804">
        <v>4.2</v>
      </c>
      <c r="B350" s="797">
        <v>0.69740000000000002</v>
      </c>
      <c r="C350" s="797">
        <v>0.69740000000000002</v>
      </c>
      <c r="D350" s="797">
        <v>0.67759999999999998</v>
      </c>
      <c r="E350" s="797">
        <v>0.67759999999999998</v>
      </c>
      <c r="F350" s="797">
        <v>0.67759999999999998</v>
      </c>
      <c r="G350" s="797">
        <v>0.60699999999999998</v>
      </c>
      <c r="H350" s="797">
        <v>0.60699999999999998</v>
      </c>
      <c r="I350" s="797">
        <v>0.53090000000000004</v>
      </c>
      <c r="J350" s="797">
        <v>0.53090000000000004</v>
      </c>
      <c r="K350" s="797">
        <v>0.53090000000000004</v>
      </c>
      <c r="L350" s="797">
        <v>0.53090000000000004</v>
      </c>
      <c r="M350" s="797">
        <v>0.53090000000000004</v>
      </c>
    </row>
    <row r="351" spans="1:13">
      <c r="A351" s="804">
        <v>4.3</v>
      </c>
      <c r="B351" s="797">
        <v>0.69450000000000001</v>
      </c>
      <c r="C351" s="797">
        <v>0.69450000000000001</v>
      </c>
      <c r="D351" s="797">
        <v>0.67390000000000005</v>
      </c>
      <c r="E351" s="797">
        <v>0.67390000000000005</v>
      </c>
      <c r="F351" s="797">
        <v>0.67390000000000005</v>
      </c>
      <c r="G351" s="797">
        <v>0.60329999999999995</v>
      </c>
      <c r="H351" s="797">
        <v>0.60329999999999995</v>
      </c>
      <c r="I351" s="797">
        <v>0.52739999999999998</v>
      </c>
      <c r="J351" s="797">
        <v>0.52739999999999998</v>
      </c>
      <c r="K351" s="797">
        <v>0.52739999999999998</v>
      </c>
      <c r="L351" s="797">
        <v>0.52739999999999998</v>
      </c>
      <c r="M351" s="797">
        <v>0.52739999999999998</v>
      </c>
    </row>
    <row r="352" spans="1:13">
      <c r="A352" s="804">
        <v>4.4000000000000004</v>
      </c>
      <c r="B352" s="797">
        <v>0.69179999999999997</v>
      </c>
      <c r="C352" s="797">
        <v>0.69179999999999997</v>
      </c>
      <c r="D352" s="797">
        <v>0.67049999999999998</v>
      </c>
      <c r="E352" s="797">
        <v>0.67049999999999998</v>
      </c>
      <c r="F352" s="797">
        <v>0.67049999999999998</v>
      </c>
      <c r="G352" s="797">
        <v>0.59989999999999999</v>
      </c>
      <c r="H352" s="797">
        <v>0.59989999999999999</v>
      </c>
      <c r="I352" s="797">
        <v>0.5242</v>
      </c>
      <c r="J352" s="797">
        <v>0.5242</v>
      </c>
      <c r="K352" s="797">
        <v>0.5242</v>
      </c>
      <c r="L352" s="797">
        <v>0.5242</v>
      </c>
      <c r="M352" s="797">
        <v>0.5242</v>
      </c>
    </row>
    <row r="353" spans="1:13">
      <c r="A353" s="804">
        <v>4.5</v>
      </c>
      <c r="B353" s="797">
        <v>0.68940000000000001</v>
      </c>
      <c r="C353" s="797">
        <v>0.68940000000000001</v>
      </c>
      <c r="D353" s="797">
        <v>0.6673</v>
      </c>
      <c r="E353" s="797">
        <v>0.6673</v>
      </c>
      <c r="F353" s="797">
        <v>0.6673</v>
      </c>
      <c r="G353" s="797">
        <v>0.59670000000000001</v>
      </c>
      <c r="H353" s="797">
        <v>0.59670000000000001</v>
      </c>
      <c r="I353" s="797">
        <v>0.52110000000000001</v>
      </c>
      <c r="J353" s="797">
        <v>0.52110000000000001</v>
      </c>
      <c r="K353" s="797">
        <v>0.52110000000000001</v>
      </c>
      <c r="L353" s="797">
        <v>0.52110000000000001</v>
      </c>
      <c r="M353" s="797">
        <v>0.52110000000000001</v>
      </c>
    </row>
    <row r="354" spans="1:13">
      <c r="A354" s="804">
        <v>4.5999999999999996</v>
      </c>
      <c r="B354" s="797">
        <v>0.68720000000000003</v>
      </c>
      <c r="C354" s="797">
        <v>0.68720000000000003</v>
      </c>
      <c r="D354" s="797">
        <v>0.6643</v>
      </c>
      <c r="E354" s="797">
        <v>0.6643</v>
      </c>
      <c r="F354" s="797">
        <v>0.6643</v>
      </c>
      <c r="G354" s="797">
        <v>0.59379999999999999</v>
      </c>
      <c r="H354" s="797">
        <v>0.59379999999999999</v>
      </c>
      <c r="I354" s="797">
        <v>0.51819999999999999</v>
      </c>
      <c r="J354" s="797">
        <v>0.51819999999999999</v>
      </c>
      <c r="K354" s="797">
        <v>0.51819999999999999</v>
      </c>
      <c r="L354" s="797">
        <v>0.51819999999999999</v>
      </c>
      <c r="M354" s="797">
        <v>0.51819999999999999</v>
      </c>
    </row>
    <row r="355" spans="1:13">
      <c r="A355" s="804">
        <v>4.7</v>
      </c>
      <c r="B355" s="797">
        <v>0.68520000000000003</v>
      </c>
      <c r="C355" s="797">
        <v>0.68520000000000003</v>
      </c>
      <c r="D355" s="797">
        <v>0.66149999999999998</v>
      </c>
      <c r="E355" s="797">
        <v>0.66149999999999998</v>
      </c>
      <c r="F355" s="797">
        <v>0.66149999999999998</v>
      </c>
      <c r="G355" s="797">
        <v>0.59109999999999996</v>
      </c>
      <c r="H355" s="797">
        <v>0.59109999999999996</v>
      </c>
      <c r="I355" s="797">
        <v>0.51559999999999995</v>
      </c>
      <c r="J355" s="797">
        <v>0.51559999999999995</v>
      </c>
      <c r="K355" s="797">
        <v>0.51559999999999995</v>
      </c>
      <c r="L355" s="797">
        <v>0.51559999999999995</v>
      </c>
      <c r="M355" s="797">
        <v>0.51559999999999995</v>
      </c>
    </row>
    <row r="356" spans="1:13">
      <c r="A356" s="804">
        <v>4.8</v>
      </c>
      <c r="B356" s="797">
        <v>0.68340000000000001</v>
      </c>
      <c r="C356" s="797">
        <v>0.68340000000000001</v>
      </c>
      <c r="D356" s="797">
        <v>0.65900000000000003</v>
      </c>
      <c r="E356" s="797">
        <v>0.65900000000000003</v>
      </c>
      <c r="F356" s="797">
        <v>0.65900000000000003</v>
      </c>
      <c r="G356" s="797">
        <v>0.58850000000000002</v>
      </c>
      <c r="H356" s="797">
        <v>0.58850000000000002</v>
      </c>
      <c r="I356" s="797">
        <v>0.51300000000000001</v>
      </c>
      <c r="J356" s="797">
        <v>0.51300000000000001</v>
      </c>
      <c r="K356" s="797">
        <v>0.51300000000000001</v>
      </c>
      <c r="L356" s="797">
        <v>0.51300000000000001</v>
      </c>
      <c r="M356" s="797">
        <v>0.51300000000000001</v>
      </c>
    </row>
    <row r="357" spans="1:13">
      <c r="A357" s="804">
        <v>4.9000000000000004</v>
      </c>
      <c r="B357" s="797">
        <v>0.68179999999999996</v>
      </c>
      <c r="C357" s="797">
        <v>0.68179999999999996</v>
      </c>
      <c r="D357" s="797">
        <v>0.65659999999999996</v>
      </c>
      <c r="E357" s="797">
        <v>0.65659999999999996</v>
      </c>
      <c r="F357" s="797">
        <v>0.65659999999999996</v>
      </c>
      <c r="G357" s="797">
        <v>0.58599999999999997</v>
      </c>
      <c r="H357" s="797">
        <v>0.58599999999999997</v>
      </c>
      <c r="I357" s="797">
        <v>0.51060000000000005</v>
      </c>
      <c r="J357" s="797">
        <v>0.51060000000000005</v>
      </c>
      <c r="K357" s="797">
        <v>0.51060000000000005</v>
      </c>
      <c r="L357" s="797">
        <v>0.51060000000000005</v>
      </c>
      <c r="M357" s="797">
        <v>0.51060000000000005</v>
      </c>
    </row>
    <row r="358" spans="1:13">
      <c r="A358" s="804">
        <v>5</v>
      </c>
      <c r="B358" s="797">
        <v>0.68030000000000002</v>
      </c>
      <c r="C358" s="797">
        <v>0.68030000000000002</v>
      </c>
      <c r="D358" s="797">
        <v>0.65439999999999998</v>
      </c>
      <c r="E358" s="797">
        <v>0.65439999999999998</v>
      </c>
      <c r="F358" s="797">
        <v>0.65439999999999998</v>
      </c>
      <c r="G358" s="797">
        <v>0.58379999999999999</v>
      </c>
      <c r="H358" s="797">
        <v>0.58379999999999999</v>
      </c>
      <c r="I358" s="797">
        <v>0.50839999999999996</v>
      </c>
      <c r="J358" s="797">
        <v>0.50839999999999996</v>
      </c>
      <c r="K358" s="797">
        <v>0.50839999999999996</v>
      </c>
      <c r="L358" s="797">
        <v>0.50839999999999996</v>
      </c>
      <c r="M358" s="797">
        <v>0.50839999999999996</v>
      </c>
    </row>
    <row r="359" spans="1:13">
      <c r="A359" s="790">
        <v>5.0999999999999996</v>
      </c>
      <c r="B359" s="797">
        <v>0.67889999999999995</v>
      </c>
      <c r="C359" s="797">
        <v>0.67889999999999995</v>
      </c>
      <c r="D359" s="797">
        <v>0.65229999999999999</v>
      </c>
      <c r="E359" s="797">
        <v>0.65229999999999999</v>
      </c>
      <c r="F359" s="797">
        <v>0.65229999999999999</v>
      </c>
      <c r="G359" s="797">
        <v>0.58160000000000001</v>
      </c>
      <c r="H359" s="797">
        <v>0.58160000000000001</v>
      </c>
      <c r="I359" s="797">
        <v>0.50629999999999997</v>
      </c>
      <c r="J359" s="797">
        <v>0.50629999999999997</v>
      </c>
      <c r="K359" s="797">
        <v>0.50629999999999997</v>
      </c>
      <c r="L359" s="797">
        <v>0.50629999999999997</v>
      </c>
      <c r="M359" s="797">
        <v>0.50629999999999997</v>
      </c>
    </row>
    <row r="360" spans="1:13">
      <c r="A360" s="790">
        <v>5.2</v>
      </c>
      <c r="B360" s="797">
        <v>0.67749999999999999</v>
      </c>
      <c r="C360" s="797">
        <v>0.67749999999999999</v>
      </c>
      <c r="D360" s="797">
        <v>0.65029999999999999</v>
      </c>
      <c r="E360" s="797">
        <v>0.65029999999999999</v>
      </c>
      <c r="F360" s="797">
        <v>0.65029999999999999</v>
      </c>
      <c r="G360" s="797">
        <v>0.57950000000000002</v>
      </c>
      <c r="H360" s="797">
        <v>0.57950000000000002</v>
      </c>
      <c r="I360" s="797">
        <v>0.50419999999999998</v>
      </c>
      <c r="J360" s="797">
        <v>0.50419999999999998</v>
      </c>
      <c r="K360" s="797">
        <v>0.50419999999999998</v>
      </c>
      <c r="L360" s="797">
        <v>0.50419999999999998</v>
      </c>
      <c r="M360" s="797">
        <v>0.50419999999999998</v>
      </c>
    </row>
    <row r="361" spans="1:13">
      <c r="A361" s="790">
        <v>5.3</v>
      </c>
      <c r="B361" s="797">
        <v>0.67620000000000002</v>
      </c>
      <c r="C361" s="797">
        <v>0.67620000000000002</v>
      </c>
      <c r="D361" s="797">
        <v>0.64839999999999998</v>
      </c>
      <c r="E361" s="797">
        <v>0.64839999999999998</v>
      </c>
      <c r="F361" s="797">
        <v>0.64839999999999998</v>
      </c>
      <c r="G361" s="797">
        <v>0.5776</v>
      </c>
      <c r="H361" s="797">
        <v>0.5776</v>
      </c>
      <c r="I361" s="797">
        <v>0.50229999999999997</v>
      </c>
      <c r="J361" s="797">
        <v>0.50229999999999997</v>
      </c>
      <c r="K361" s="797">
        <v>0.50229999999999997</v>
      </c>
      <c r="L361" s="797">
        <v>0.50229999999999997</v>
      </c>
      <c r="M361" s="797">
        <v>0.50229999999999997</v>
      </c>
    </row>
    <row r="362" spans="1:13">
      <c r="A362" s="790">
        <v>5.4</v>
      </c>
      <c r="B362" s="797">
        <v>0.67500000000000004</v>
      </c>
      <c r="C362" s="797">
        <v>0.67500000000000004</v>
      </c>
      <c r="D362" s="797">
        <v>0.64670000000000005</v>
      </c>
      <c r="E362" s="797">
        <v>0.64670000000000005</v>
      </c>
      <c r="F362" s="797">
        <v>0.64670000000000005</v>
      </c>
      <c r="G362" s="797">
        <v>0.57579999999999998</v>
      </c>
      <c r="H362" s="797">
        <v>0.57579999999999998</v>
      </c>
      <c r="I362" s="797">
        <v>0.50039999999999996</v>
      </c>
      <c r="J362" s="797">
        <v>0.50039999999999996</v>
      </c>
      <c r="K362" s="797">
        <v>0.50039999999999996</v>
      </c>
      <c r="L362" s="797">
        <v>0.50039999999999996</v>
      </c>
      <c r="M362" s="797">
        <v>0.50039999999999996</v>
      </c>
    </row>
    <row r="363" spans="1:13">
      <c r="A363" s="790">
        <v>5.5</v>
      </c>
      <c r="B363" s="797">
        <v>0.67379999999999995</v>
      </c>
      <c r="C363" s="797">
        <v>0.67379999999999995</v>
      </c>
      <c r="D363" s="797">
        <v>0.64500000000000002</v>
      </c>
      <c r="E363" s="797">
        <v>0.64500000000000002</v>
      </c>
      <c r="F363" s="797">
        <v>0.64500000000000002</v>
      </c>
      <c r="G363" s="797">
        <v>0.57399999999999995</v>
      </c>
      <c r="H363" s="797">
        <v>0.57399999999999995</v>
      </c>
      <c r="I363" s="797">
        <v>0.49869999999999998</v>
      </c>
      <c r="J363" s="797">
        <v>0.49869999999999998</v>
      </c>
      <c r="K363" s="797">
        <v>0.49869999999999998</v>
      </c>
      <c r="L363" s="797">
        <v>0.49869999999999998</v>
      </c>
      <c r="M363" s="797">
        <v>0.49869999999999998</v>
      </c>
    </row>
    <row r="364" spans="1:13">
      <c r="A364" s="790">
        <v>5.6</v>
      </c>
      <c r="B364" s="797">
        <v>0.67259999999999998</v>
      </c>
      <c r="C364" s="797">
        <v>0.67259999999999998</v>
      </c>
      <c r="D364" s="797">
        <v>0.64339999999999997</v>
      </c>
      <c r="E364" s="797">
        <v>0.64339999999999997</v>
      </c>
      <c r="F364" s="797">
        <v>0.64339999999999997</v>
      </c>
      <c r="G364" s="797">
        <v>0.57240000000000002</v>
      </c>
      <c r="H364" s="797">
        <v>0.57240000000000002</v>
      </c>
      <c r="I364" s="797">
        <v>0.49690000000000001</v>
      </c>
      <c r="J364" s="797">
        <v>0.49690000000000001</v>
      </c>
      <c r="K364" s="797">
        <v>0.49690000000000001</v>
      </c>
      <c r="L364" s="797">
        <v>0.49690000000000001</v>
      </c>
      <c r="M364" s="797">
        <v>0.49690000000000001</v>
      </c>
    </row>
    <row r="365" spans="1:13">
      <c r="A365" s="804">
        <v>5.7</v>
      </c>
      <c r="B365" s="797">
        <v>0.6714</v>
      </c>
      <c r="C365" s="797">
        <v>0.6714</v>
      </c>
      <c r="D365" s="797">
        <v>0.64190000000000003</v>
      </c>
      <c r="E365" s="797">
        <v>0.64190000000000003</v>
      </c>
      <c r="F365" s="797">
        <v>0.64190000000000003</v>
      </c>
      <c r="G365" s="797">
        <v>0.57069999999999999</v>
      </c>
      <c r="H365" s="797">
        <v>0.57069999999999999</v>
      </c>
      <c r="I365" s="797">
        <v>0.49519999999999997</v>
      </c>
      <c r="J365" s="797">
        <v>0.49519999999999997</v>
      </c>
      <c r="K365" s="797">
        <v>0.49519999999999997</v>
      </c>
      <c r="L365" s="797">
        <v>0.49519999999999997</v>
      </c>
      <c r="M365" s="797">
        <v>0.49519999999999997</v>
      </c>
    </row>
    <row r="366" spans="1:13">
      <c r="A366" s="790">
        <v>5.8</v>
      </c>
      <c r="B366" s="797">
        <v>0.67020000000000002</v>
      </c>
      <c r="C366" s="797">
        <v>0.67020000000000002</v>
      </c>
      <c r="D366" s="797">
        <v>0.64039999999999997</v>
      </c>
      <c r="E366" s="797">
        <v>0.64039999999999997</v>
      </c>
      <c r="F366" s="797">
        <v>0.64039999999999997</v>
      </c>
      <c r="G366" s="797">
        <v>0.56910000000000005</v>
      </c>
      <c r="H366" s="797">
        <v>0.56910000000000005</v>
      </c>
      <c r="I366" s="797">
        <v>0.49359999999999998</v>
      </c>
      <c r="J366" s="797">
        <v>0.49359999999999998</v>
      </c>
      <c r="K366" s="797">
        <v>0.49359999999999998</v>
      </c>
      <c r="L366" s="797">
        <v>0.49359999999999998</v>
      </c>
      <c r="M366" s="797">
        <v>0.49359999999999998</v>
      </c>
    </row>
    <row r="367" spans="1:13">
      <c r="A367" s="790">
        <v>5.9</v>
      </c>
      <c r="B367" s="797">
        <v>0.66910000000000003</v>
      </c>
      <c r="C367" s="797">
        <v>0.66910000000000003</v>
      </c>
      <c r="D367" s="797">
        <v>0.63890000000000002</v>
      </c>
      <c r="E367" s="797">
        <v>0.63890000000000002</v>
      </c>
      <c r="F367" s="797">
        <v>0.63890000000000002</v>
      </c>
      <c r="G367" s="797">
        <v>0.5675</v>
      </c>
      <c r="H367" s="797">
        <v>0.5675</v>
      </c>
      <c r="I367" s="797">
        <v>0.4919</v>
      </c>
      <c r="J367" s="797">
        <v>0.4919</v>
      </c>
      <c r="K367" s="797">
        <v>0.4919</v>
      </c>
      <c r="L367" s="797">
        <v>0.4919</v>
      </c>
      <c r="M367" s="797">
        <v>0.4919</v>
      </c>
    </row>
    <row r="368" spans="1:13">
      <c r="A368" s="790">
        <v>6</v>
      </c>
      <c r="B368" s="797">
        <v>0.66800000000000004</v>
      </c>
      <c r="C368" s="797">
        <v>0.66800000000000004</v>
      </c>
      <c r="D368" s="797">
        <v>0.63739999999999997</v>
      </c>
      <c r="E368" s="797">
        <v>0.63739999999999997</v>
      </c>
      <c r="F368" s="797">
        <v>0.63739999999999997</v>
      </c>
      <c r="G368" s="797">
        <v>0.56589999999999996</v>
      </c>
      <c r="H368" s="797">
        <v>0.56589999999999996</v>
      </c>
      <c r="I368" s="797">
        <v>0.49020000000000002</v>
      </c>
      <c r="J368" s="797">
        <v>0.49020000000000002</v>
      </c>
      <c r="K368" s="797">
        <v>0.49020000000000002</v>
      </c>
      <c r="L368" s="797">
        <v>0.49020000000000002</v>
      </c>
      <c r="M368" s="797">
        <v>0.49020000000000002</v>
      </c>
    </row>
    <row r="369" spans="1:13">
      <c r="A369" s="790">
        <v>6.1</v>
      </c>
      <c r="B369" s="797">
        <v>0.66690000000000005</v>
      </c>
      <c r="C369" s="797">
        <v>0.66690000000000005</v>
      </c>
      <c r="D369" s="797">
        <v>0.63590000000000002</v>
      </c>
      <c r="E369" s="797">
        <v>0.63590000000000002</v>
      </c>
      <c r="F369" s="797">
        <v>0.63590000000000002</v>
      </c>
      <c r="G369" s="797">
        <v>0.56440000000000001</v>
      </c>
      <c r="H369" s="797">
        <v>0.56440000000000001</v>
      </c>
      <c r="I369" s="797">
        <v>0.48849999999999999</v>
      </c>
      <c r="J369" s="797">
        <v>0.48849999999999999</v>
      </c>
      <c r="K369" s="797">
        <v>0.48849999999999999</v>
      </c>
      <c r="L369" s="797">
        <v>0.48849999999999999</v>
      </c>
      <c r="M369" s="797">
        <v>0.48849999999999999</v>
      </c>
    </row>
    <row r="370" spans="1:13">
      <c r="A370" s="790">
        <v>6.2</v>
      </c>
      <c r="B370" s="797">
        <v>0.66579999999999995</v>
      </c>
      <c r="C370" s="797">
        <v>0.66579999999999995</v>
      </c>
      <c r="D370" s="797">
        <v>0.63439999999999996</v>
      </c>
      <c r="E370" s="797">
        <v>0.63439999999999996</v>
      </c>
      <c r="F370" s="797">
        <v>0.63439999999999996</v>
      </c>
      <c r="G370" s="797">
        <v>0.56289999999999996</v>
      </c>
      <c r="H370" s="797">
        <v>0.56289999999999996</v>
      </c>
      <c r="I370" s="797">
        <v>0.48680000000000001</v>
      </c>
      <c r="J370" s="797">
        <v>0.48680000000000001</v>
      </c>
      <c r="K370" s="797">
        <v>0.48680000000000001</v>
      </c>
      <c r="L370" s="797">
        <v>0.48680000000000001</v>
      </c>
      <c r="M370" s="797">
        <v>0.48680000000000001</v>
      </c>
    </row>
    <row r="371" spans="1:13">
      <c r="A371" s="790">
        <v>6.3</v>
      </c>
      <c r="B371" s="797">
        <v>0.66469999999999996</v>
      </c>
      <c r="C371" s="797">
        <v>0.66469999999999996</v>
      </c>
      <c r="D371" s="797">
        <v>0.63290000000000002</v>
      </c>
      <c r="E371" s="797">
        <v>0.63290000000000002</v>
      </c>
      <c r="F371" s="797">
        <v>0.63290000000000002</v>
      </c>
      <c r="G371" s="797">
        <v>0.56130000000000002</v>
      </c>
      <c r="H371" s="797">
        <v>0.56130000000000002</v>
      </c>
      <c r="I371" s="797">
        <v>0.48509999999999998</v>
      </c>
      <c r="J371" s="797">
        <v>0.48509999999999998</v>
      </c>
      <c r="K371" s="797">
        <v>0.48509999999999998</v>
      </c>
      <c r="L371" s="797">
        <v>0.48509999999999998</v>
      </c>
      <c r="M371" s="797">
        <v>0.48509999999999998</v>
      </c>
    </row>
    <row r="372" spans="1:13">
      <c r="A372" s="790">
        <v>6.4</v>
      </c>
      <c r="B372" s="797">
        <v>0.66359999999999997</v>
      </c>
      <c r="C372" s="797">
        <v>0.66359999999999997</v>
      </c>
      <c r="D372" s="797">
        <v>0.63139999999999996</v>
      </c>
      <c r="E372" s="797">
        <v>0.63139999999999996</v>
      </c>
      <c r="F372" s="797">
        <v>0.63139999999999996</v>
      </c>
      <c r="G372" s="797">
        <v>0.55979999999999996</v>
      </c>
      <c r="H372" s="797">
        <v>0.55979999999999996</v>
      </c>
      <c r="I372" s="797">
        <v>0.48349999999999999</v>
      </c>
      <c r="J372" s="797">
        <v>0.48349999999999999</v>
      </c>
      <c r="K372" s="797">
        <v>0.48349999999999999</v>
      </c>
      <c r="L372" s="797">
        <v>0.48349999999999999</v>
      </c>
      <c r="M372" s="797">
        <v>0.48349999999999999</v>
      </c>
    </row>
    <row r="373" spans="1:13">
      <c r="A373" s="790">
        <v>6.5</v>
      </c>
      <c r="B373" s="797">
        <v>0.66249999999999998</v>
      </c>
      <c r="C373" s="797">
        <v>0.66249999999999998</v>
      </c>
      <c r="D373" s="797">
        <v>0.63</v>
      </c>
      <c r="E373" s="797">
        <v>0.63</v>
      </c>
      <c r="F373" s="797">
        <v>0.63</v>
      </c>
      <c r="G373" s="797">
        <v>0.55820000000000003</v>
      </c>
      <c r="H373" s="797">
        <v>0.55820000000000003</v>
      </c>
      <c r="I373" s="797">
        <v>0.4819</v>
      </c>
      <c r="J373" s="797">
        <v>0.4819</v>
      </c>
      <c r="K373" s="797">
        <v>0.4819</v>
      </c>
      <c r="L373" s="797">
        <v>0.4819</v>
      </c>
      <c r="M373" s="797">
        <v>0.4819</v>
      </c>
    </row>
    <row r="374" spans="1:13">
      <c r="A374" s="790">
        <v>6.6</v>
      </c>
      <c r="B374" s="797">
        <v>0.66149999999999998</v>
      </c>
      <c r="C374" s="797">
        <v>0.66149999999999998</v>
      </c>
      <c r="D374" s="797">
        <v>0.62860000000000005</v>
      </c>
      <c r="E374" s="797">
        <v>0.62860000000000005</v>
      </c>
      <c r="F374" s="797">
        <v>0.62860000000000005</v>
      </c>
      <c r="G374" s="797">
        <v>0.55669999999999997</v>
      </c>
      <c r="H374" s="797">
        <v>0.55669999999999997</v>
      </c>
      <c r="I374" s="797">
        <v>0.4803</v>
      </c>
      <c r="J374" s="797">
        <v>0.4803</v>
      </c>
      <c r="K374" s="797">
        <v>0.4803</v>
      </c>
      <c r="L374" s="797">
        <v>0.4803</v>
      </c>
      <c r="M374" s="797">
        <v>0.4803</v>
      </c>
    </row>
    <row r="375" spans="1:13">
      <c r="A375" s="790">
        <v>6.7</v>
      </c>
      <c r="B375" s="797">
        <v>0.66049999999999998</v>
      </c>
      <c r="C375" s="797">
        <v>0.66049999999999998</v>
      </c>
      <c r="D375" s="797">
        <v>0.62719999999999998</v>
      </c>
      <c r="E375" s="797">
        <v>0.62719999999999998</v>
      </c>
      <c r="F375" s="797">
        <v>0.62719999999999998</v>
      </c>
      <c r="G375" s="797">
        <v>0.55520000000000003</v>
      </c>
      <c r="H375" s="797">
        <v>0.55520000000000003</v>
      </c>
      <c r="I375" s="797">
        <v>0.47870000000000001</v>
      </c>
      <c r="J375" s="797">
        <v>0.47870000000000001</v>
      </c>
      <c r="K375" s="797">
        <v>0.47870000000000001</v>
      </c>
      <c r="L375" s="797">
        <v>0.47870000000000001</v>
      </c>
      <c r="M375" s="797">
        <v>0.47870000000000001</v>
      </c>
    </row>
    <row r="376" spans="1:13">
      <c r="A376" s="790">
        <v>6.8</v>
      </c>
      <c r="B376" s="797">
        <v>0.65949999999999998</v>
      </c>
      <c r="C376" s="797">
        <v>0.65949999999999998</v>
      </c>
      <c r="D376" s="797">
        <v>0.62580000000000002</v>
      </c>
      <c r="E376" s="797">
        <v>0.62580000000000002</v>
      </c>
      <c r="F376" s="797">
        <v>0.62580000000000002</v>
      </c>
      <c r="G376" s="797">
        <v>0.55359999999999998</v>
      </c>
      <c r="H376" s="797">
        <v>0.55359999999999998</v>
      </c>
      <c r="I376" s="797">
        <v>0.47710000000000002</v>
      </c>
      <c r="J376" s="797">
        <v>0.47710000000000002</v>
      </c>
      <c r="K376" s="797">
        <v>0.47710000000000002</v>
      </c>
      <c r="L376" s="797">
        <v>0.47710000000000002</v>
      </c>
      <c r="M376" s="797">
        <v>0.47710000000000002</v>
      </c>
    </row>
    <row r="377" spans="1:13">
      <c r="A377" s="790">
        <v>6.9</v>
      </c>
      <c r="B377" s="797">
        <v>0.65849999999999997</v>
      </c>
      <c r="C377" s="797">
        <v>0.65849999999999997</v>
      </c>
      <c r="D377" s="797">
        <v>0.62439999999999996</v>
      </c>
      <c r="E377" s="797">
        <v>0.62439999999999996</v>
      </c>
      <c r="F377" s="797">
        <v>0.62439999999999996</v>
      </c>
      <c r="G377" s="797">
        <v>0.55220000000000002</v>
      </c>
      <c r="H377" s="797">
        <v>0.55220000000000002</v>
      </c>
      <c r="I377" s="797">
        <v>0.47549999999999998</v>
      </c>
      <c r="J377" s="797">
        <v>0.47549999999999998</v>
      </c>
      <c r="K377" s="797">
        <v>0.47549999999999998</v>
      </c>
      <c r="L377" s="797">
        <v>0.47549999999999998</v>
      </c>
      <c r="M377" s="797">
        <v>0.47549999999999998</v>
      </c>
    </row>
    <row r="378" spans="1:13">
      <c r="A378" s="790">
        <v>7</v>
      </c>
      <c r="B378" s="797">
        <v>0.65749999999999997</v>
      </c>
      <c r="C378" s="797">
        <v>0.65749999999999997</v>
      </c>
      <c r="D378" s="797">
        <v>0.623</v>
      </c>
      <c r="E378" s="797">
        <v>0.623</v>
      </c>
      <c r="F378" s="797">
        <v>0.623</v>
      </c>
      <c r="G378" s="797">
        <v>0.55069999999999997</v>
      </c>
      <c r="H378" s="797">
        <v>0.55069999999999997</v>
      </c>
      <c r="I378" s="797">
        <v>0.47389999999999999</v>
      </c>
      <c r="J378" s="797">
        <v>0.47389999999999999</v>
      </c>
      <c r="K378" s="797">
        <v>0.47389999999999999</v>
      </c>
      <c r="L378" s="797">
        <v>0.47389999999999999</v>
      </c>
      <c r="M378" s="797">
        <v>0.47389999999999999</v>
      </c>
    </row>
    <row r="379" spans="1:13">
      <c r="A379" s="790">
        <v>7.1</v>
      </c>
      <c r="B379" s="797">
        <v>0.65649999999999997</v>
      </c>
      <c r="C379" s="797">
        <v>0.65649999999999997</v>
      </c>
      <c r="D379" s="797">
        <v>0.62160000000000004</v>
      </c>
      <c r="E379" s="797">
        <v>0.62160000000000004</v>
      </c>
      <c r="F379" s="797">
        <v>0.62160000000000004</v>
      </c>
      <c r="G379" s="797">
        <v>0.54930000000000001</v>
      </c>
      <c r="H379" s="797">
        <v>0.54930000000000001</v>
      </c>
      <c r="I379" s="797">
        <v>0.47239999999999999</v>
      </c>
      <c r="J379" s="797">
        <v>0.47239999999999999</v>
      </c>
      <c r="K379" s="797">
        <v>0.47239999999999999</v>
      </c>
      <c r="L379" s="797">
        <v>0.47239999999999999</v>
      </c>
      <c r="M379" s="797">
        <v>0.47239999999999999</v>
      </c>
    </row>
    <row r="380" spans="1:13">
      <c r="A380" s="790">
        <v>7.2</v>
      </c>
      <c r="B380" s="797">
        <v>0.65549999999999997</v>
      </c>
      <c r="C380" s="797">
        <v>0.65549999999999997</v>
      </c>
      <c r="D380" s="797">
        <v>0.62019999999999997</v>
      </c>
      <c r="E380" s="797">
        <v>0.62019999999999997</v>
      </c>
      <c r="F380" s="797">
        <v>0.62019999999999997</v>
      </c>
      <c r="G380" s="797">
        <v>0.54779999999999995</v>
      </c>
      <c r="H380" s="797">
        <v>0.54779999999999995</v>
      </c>
      <c r="I380" s="797">
        <v>0.47089999999999999</v>
      </c>
      <c r="J380" s="797">
        <v>0.47089999999999999</v>
      </c>
      <c r="K380" s="797">
        <v>0.47089999999999999</v>
      </c>
      <c r="L380" s="797">
        <v>0.47089999999999999</v>
      </c>
      <c r="M380" s="797">
        <v>0.47089999999999999</v>
      </c>
    </row>
    <row r="381" spans="1:13">
      <c r="A381" s="790">
        <v>7.3</v>
      </c>
      <c r="B381" s="797">
        <v>0.65449999999999997</v>
      </c>
      <c r="C381" s="797">
        <v>0.65449999999999997</v>
      </c>
      <c r="D381" s="797">
        <v>0.61880000000000002</v>
      </c>
      <c r="E381" s="797">
        <v>0.61880000000000002</v>
      </c>
      <c r="F381" s="797">
        <v>0.61880000000000002</v>
      </c>
      <c r="G381" s="797">
        <v>0.5464</v>
      </c>
      <c r="H381" s="797">
        <v>0.5464</v>
      </c>
      <c r="I381" s="797">
        <v>0.46939999999999998</v>
      </c>
      <c r="J381" s="797">
        <v>0.46939999999999998</v>
      </c>
      <c r="K381" s="797">
        <v>0.46939999999999998</v>
      </c>
      <c r="L381" s="797">
        <v>0.46939999999999998</v>
      </c>
      <c r="M381" s="797">
        <v>0.46939999999999998</v>
      </c>
    </row>
    <row r="382" spans="1:13">
      <c r="A382" s="790">
        <v>7.4</v>
      </c>
      <c r="B382" s="797">
        <v>0.65349999999999997</v>
      </c>
      <c r="C382" s="797">
        <v>0.65349999999999997</v>
      </c>
      <c r="D382" s="797">
        <v>0.61750000000000005</v>
      </c>
      <c r="E382" s="797">
        <v>0.61750000000000005</v>
      </c>
      <c r="F382" s="797">
        <v>0.61750000000000005</v>
      </c>
      <c r="G382" s="797">
        <v>0.54490000000000005</v>
      </c>
      <c r="H382" s="797">
        <v>0.54490000000000005</v>
      </c>
      <c r="I382" s="797">
        <v>0.46779999999999999</v>
      </c>
      <c r="J382" s="797">
        <v>0.46779999999999999</v>
      </c>
      <c r="K382" s="797">
        <v>0.46779999999999999</v>
      </c>
      <c r="L382" s="797">
        <v>0.46779999999999999</v>
      </c>
      <c r="M382" s="797">
        <v>0.46779999999999999</v>
      </c>
    </row>
    <row r="383" spans="1:13">
      <c r="A383" s="790">
        <v>7.5</v>
      </c>
      <c r="B383" s="797">
        <v>0.65249999999999997</v>
      </c>
      <c r="C383" s="797">
        <v>0.65249999999999997</v>
      </c>
      <c r="D383" s="797">
        <v>0.61619999999999997</v>
      </c>
      <c r="E383" s="797">
        <v>0.61619999999999997</v>
      </c>
      <c r="F383" s="797">
        <v>0.61619999999999997</v>
      </c>
      <c r="G383" s="797">
        <v>0.54349999999999998</v>
      </c>
      <c r="H383" s="797">
        <v>0.54349999999999998</v>
      </c>
      <c r="I383" s="797">
        <v>0.46629999999999999</v>
      </c>
      <c r="J383" s="797">
        <v>0.46629999999999999</v>
      </c>
      <c r="K383" s="797">
        <v>0.46629999999999999</v>
      </c>
      <c r="L383" s="797">
        <v>0.46629999999999999</v>
      </c>
      <c r="M383" s="797">
        <v>0.46629999999999999</v>
      </c>
    </row>
    <row r="384" spans="1:13">
      <c r="A384" s="790">
        <v>7.6</v>
      </c>
      <c r="B384" s="797">
        <v>0.65149999999999997</v>
      </c>
      <c r="C384" s="797">
        <v>0.65149999999999997</v>
      </c>
      <c r="D384" s="797">
        <v>0.6149</v>
      </c>
      <c r="E384" s="797">
        <v>0.6149</v>
      </c>
      <c r="F384" s="797">
        <v>0.6149</v>
      </c>
      <c r="G384" s="797">
        <v>0.54200000000000004</v>
      </c>
      <c r="H384" s="797">
        <v>0.54200000000000004</v>
      </c>
      <c r="I384" s="797">
        <v>0.46479999999999999</v>
      </c>
      <c r="J384" s="797">
        <v>0.46479999999999999</v>
      </c>
      <c r="K384" s="797">
        <v>0.46479999999999999</v>
      </c>
      <c r="L384" s="797">
        <v>0.46479999999999999</v>
      </c>
      <c r="M384" s="797">
        <v>0.46479999999999999</v>
      </c>
    </row>
    <row r="385" spans="1:13">
      <c r="A385" s="790">
        <v>7.7</v>
      </c>
      <c r="B385" s="797">
        <v>0.65049999999999997</v>
      </c>
      <c r="C385" s="797">
        <v>0.65049999999999997</v>
      </c>
      <c r="D385" s="797">
        <v>0.61360000000000003</v>
      </c>
      <c r="E385" s="797">
        <v>0.61360000000000003</v>
      </c>
      <c r="F385" s="797">
        <v>0.61360000000000003</v>
      </c>
      <c r="G385" s="797">
        <v>0.54059999999999997</v>
      </c>
      <c r="H385" s="797">
        <v>0.54059999999999997</v>
      </c>
      <c r="I385" s="797">
        <v>0.46329999999999999</v>
      </c>
      <c r="J385" s="797">
        <v>0.46329999999999999</v>
      </c>
      <c r="K385" s="797">
        <v>0.46329999999999999</v>
      </c>
      <c r="L385" s="797">
        <v>0.46329999999999999</v>
      </c>
      <c r="M385" s="797">
        <v>0.46329999999999999</v>
      </c>
    </row>
    <row r="386" spans="1:13">
      <c r="A386" s="790">
        <v>7.8</v>
      </c>
      <c r="B386" s="797">
        <v>0.64949999999999997</v>
      </c>
      <c r="C386" s="797">
        <v>0.64949999999999997</v>
      </c>
      <c r="D386" s="797">
        <v>0.61229999999999996</v>
      </c>
      <c r="E386" s="797">
        <v>0.61229999999999996</v>
      </c>
      <c r="F386" s="797">
        <v>0.61229999999999996</v>
      </c>
      <c r="G386" s="797">
        <v>0.53910000000000002</v>
      </c>
      <c r="H386" s="797">
        <v>0.53910000000000002</v>
      </c>
      <c r="I386" s="797">
        <v>0.4617</v>
      </c>
      <c r="J386" s="797">
        <v>0.4617</v>
      </c>
      <c r="K386" s="797">
        <v>0.4617</v>
      </c>
      <c r="L386" s="797">
        <v>0.4617</v>
      </c>
      <c r="M386" s="797">
        <v>0.4617</v>
      </c>
    </row>
    <row r="387" spans="1:13">
      <c r="A387" s="790">
        <v>7.9</v>
      </c>
      <c r="B387" s="797">
        <v>0.64849999999999997</v>
      </c>
      <c r="C387" s="797">
        <v>0.64849999999999997</v>
      </c>
      <c r="D387" s="797">
        <v>0.61099999999999999</v>
      </c>
      <c r="E387" s="797">
        <v>0.61099999999999999</v>
      </c>
      <c r="F387" s="797">
        <v>0.61099999999999999</v>
      </c>
      <c r="G387" s="797">
        <v>0.53769999999999996</v>
      </c>
      <c r="H387" s="797">
        <v>0.53769999999999996</v>
      </c>
      <c r="I387" s="797">
        <v>0.4602</v>
      </c>
      <c r="J387" s="797">
        <v>0.4602</v>
      </c>
      <c r="K387" s="797">
        <v>0.4602</v>
      </c>
      <c r="L387" s="797">
        <v>0.4602</v>
      </c>
      <c r="M387" s="797">
        <v>0.4602</v>
      </c>
    </row>
    <row r="388" spans="1:13">
      <c r="A388" s="790">
        <v>8</v>
      </c>
      <c r="B388" s="797">
        <v>0.64749999999999996</v>
      </c>
      <c r="C388" s="797">
        <v>0.64749999999999996</v>
      </c>
      <c r="D388" s="797">
        <v>0.60970000000000002</v>
      </c>
      <c r="E388" s="797">
        <v>0.60970000000000002</v>
      </c>
      <c r="F388" s="797">
        <v>0.60970000000000002</v>
      </c>
      <c r="G388" s="797">
        <v>0.53620000000000001</v>
      </c>
      <c r="H388" s="797">
        <v>0.53620000000000001</v>
      </c>
      <c r="I388" s="797">
        <v>0.4587</v>
      </c>
      <c r="J388" s="797">
        <v>0.4587</v>
      </c>
      <c r="K388" s="797">
        <v>0.4587</v>
      </c>
      <c r="L388" s="797">
        <v>0.4587</v>
      </c>
      <c r="M388" s="797">
        <v>0.4587</v>
      </c>
    </row>
    <row r="389" spans="1:13">
      <c r="A389" s="790">
        <v>8.1</v>
      </c>
      <c r="B389" s="797">
        <v>0.64649999999999996</v>
      </c>
      <c r="C389" s="797">
        <v>0.64649999999999996</v>
      </c>
      <c r="D389" s="797">
        <v>0.60840000000000005</v>
      </c>
      <c r="E389" s="797">
        <v>0.60840000000000005</v>
      </c>
      <c r="F389" s="797">
        <v>0.60840000000000005</v>
      </c>
      <c r="G389" s="797">
        <v>0.53480000000000005</v>
      </c>
      <c r="H389" s="797">
        <v>0.53480000000000005</v>
      </c>
      <c r="I389" s="797">
        <v>0.4572</v>
      </c>
      <c r="J389" s="797">
        <v>0.4572</v>
      </c>
      <c r="K389" s="797">
        <v>0.4572</v>
      </c>
      <c r="L389" s="797">
        <v>0.4572</v>
      </c>
      <c r="M389" s="797">
        <v>0.4572</v>
      </c>
    </row>
    <row r="390" spans="1:13">
      <c r="A390" s="790">
        <v>8.1999999999999993</v>
      </c>
      <c r="B390" s="797">
        <v>0.64549999999999996</v>
      </c>
      <c r="C390" s="797">
        <v>0.64549999999999996</v>
      </c>
      <c r="D390" s="797">
        <v>0.60709999999999997</v>
      </c>
      <c r="E390" s="797">
        <v>0.60709999999999997</v>
      </c>
      <c r="F390" s="797">
        <v>0.60709999999999997</v>
      </c>
      <c r="G390" s="797">
        <v>0.5333</v>
      </c>
      <c r="H390" s="797">
        <v>0.5333</v>
      </c>
      <c r="I390" s="797">
        <v>0.45569999999999999</v>
      </c>
      <c r="J390" s="797">
        <v>0.45569999999999999</v>
      </c>
      <c r="K390" s="797">
        <v>0.45569999999999999</v>
      </c>
      <c r="L390" s="797">
        <v>0.45569999999999999</v>
      </c>
      <c r="M390" s="797">
        <v>0.45569999999999999</v>
      </c>
    </row>
    <row r="391" spans="1:13">
      <c r="A391" s="790">
        <v>8.3000000000000007</v>
      </c>
      <c r="B391" s="797">
        <v>0.64449999999999996</v>
      </c>
      <c r="C391" s="797">
        <v>0.64449999999999996</v>
      </c>
      <c r="D391" s="797">
        <v>0.60580000000000001</v>
      </c>
      <c r="E391" s="797">
        <v>0.60580000000000001</v>
      </c>
      <c r="F391" s="797">
        <v>0.60580000000000001</v>
      </c>
      <c r="G391" s="797">
        <v>0.53190000000000004</v>
      </c>
      <c r="H391" s="797">
        <v>0.53190000000000004</v>
      </c>
      <c r="I391" s="797">
        <v>0.45429999999999998</v>
      </c>
      <c r="J391" s="797">
        <v>0.45429999999999998</v>
      </c>
      <c r="K391" s="797">
        <v>0.45429999999999998</v>
      </c>
      <c r="L391" s="797">
        <v>0.45429999999999998</v>
      </c>
      <c r="M391" s="797">
        <v>0.45429999999999998</v>
      </c>
    </row>
    <row r="392" spans="1:13">
      <c r="A392" s="790">
        <v>8.4</v>
      </c>
      <c r="B392" s="797">
        <v>0.64349999999999996</v>
      </c>
      <c r="C392" s="797">
        <v>0.64349999999999996</v>
      </c>
      <c r="D392" s="797">
        <v>0.60450000000000004</v>
      </c>
      <c r="E392" s="797">
        <v>0.60450000000000004</v>
      </c>
      <c r="F392" s="797">
        <v>0.60450000000000004</v>
      </c>
      <c r="G392" s="797">
        <v>0.53039999999999998</v>
      </c>
      <c r="H392" s="797">
        <v>0.53039999999999998</v>
      </c>
      <c r="I392" s="797">
        <v>0.45290000000000002</v>
      </c>
      <c r="J392" s="797">
        <v>0.45290000000000002</v>
      </c>
      <c r="K392" s="797">
        <v>0.45290000000000002</v>
      </c>
      <c r="L392" s="797">
        <v>0.45290000000000002</v>
      </c>
      <c r="M392" s="797">
        <v>0.45290000000000002</v>
      </c>
    </row>
    <row r="393" spans="1:13">
      <c r="A393" s="790">
        <v>8.5</v>
      </c>
      <c r="B393" s="797">
        <v>0.64249999999999996</v>
      </c>
      <c r="C393" s="797">
        <v>0.64249999999999996</v>
      </c>
      <c r="D393" s="797">
        <v>0.60319999999999996</v>
      </c>
      <c r="E393" s="797">
        <v>0.60319999999999996</v>
      </c>
      <c r="F393" s="797">
        <v>0.60319999999999996</v>
      </c>
      <c r="G393" s="797">
        <v>0.52900000000000003</v>
      </c>
      <c r="H393" s="797">
        <v>0.52900000000000003</v>
      </c>
      <c r="I393" s="797">
        <v>0.45140000000000002</v>
      </c>
      <c r="J393" s="797">
        <v>0.45140000000000002</v>
      </c>
      <c r="K393" s="797">
        <v>0.45140000000000002</v>
      </c>
      <c r="L393" s="797">
        <v>0.45140000000000002</v>
      </c>
      <c r="M393" s="797">
        <v>0.45140000000000002</v>
      </c>
    </row>
    <row r="394" spans="1:13">
      <c r="A394" s="790">
        <v>8.6</v>
      </c>
      <c r="B394" s="797">
        <v>0.64149999999999996</v>
      </c>
      <c r="C394" s="797">
        <v>0.64149999999999996</v>
      </c>
      <c r="D394" s="797">
        <v>0.60189999999999999</v>
      </c>
      <c r="E394" s="797">
        <v>0.60189999999999999</v>
      </c>
      <c r="F394" s="797">
        <v>0.60189999999999999</v>
      </c>
      <c r="G394" s="797">
        <v>0.52749999999999997</v>
      </c>
      <c r="H394" s="797">
        <v>0.52749999999999997</v>
      </c>
      <c r="I394" s="797">
        <v>0.45</v>
      </c>
      <c r="J394" s="797">
        <v>0.45</v>
      </c>
      <c r="K394" s="797">
        <v>0.45</v>
      </c>
      <c r="L394" s="797">
        <v>0.45</v>
      </c>
      <c r="M394" s="797">
        <v>0.45</v>
      </c>
    </row>
    <row r="395" spans="1:13">
      <c r="A395" s="790">
        <v>8.6999999999999993</v>
      </c>
      <c r="B395" s="797">
        <v>0.64049999999999996</v>
      </c>
      <c r="C395" s="797">
        <v>0.64049999999999996</v>
      </c>
      <c r="D395" s="797">
        <v>0.60060000000000002</v>
      </c>
      <c r="E395" s="797">
        <v>0.60060000000000002</v>
      </c>
      <c r="F395" s="797">
        <v>0.60060000000000002</v>
      </c>
      <c r="G395" s="797">
        <v>0.52610000000000001</v>
      </c>
      <c r="H395" s="797">
        <v>0.52610000000000001</v>
      </c>
      <c r="I395" s="797">
        <v>0.44850000000000001</v>
      </c>
      <c r="J395" s="797">
        <v>0.44850000000000001</v>
      </c>
      <c r="K395" s="797">
        <v>0.44850000000000001</v>
      </c>
      <c r="L395" s="797">
        <v>0.44850000000000001</v>
      </c>
      <c r="M395" s="797">
        <v>0.44850000000000001</v>
      </c>
    </row>
    <row r="396" spans="1:13">
      <c r="A396" s="790">
        <v>8.8000000000000007</v>
      </c>
      <c r="B396" s="797">
        <v>0.63949999999999996</v>
      </c>
      <c r="C396" s="797">
        <v>0.63949999999999996</v>
      </c>
      <c r="D396" s="797">
        <v>0.59930000000000005</v>
      </c>
      <c r="E396" s="797">
        <v>0.59930000000000005</v>
      </c>
      <c r="F396" s="797">
        <v>0.59930000000000005</v>
      </c>
      <c r="G396" s="797">
        <v>0.52459999999999996</v>
      </c>
      <c r="H396" s="797">
        <v>0.52459999999999996</v>
      </c>
      <c r="I396" s="797">
        <v>0.4471</v>
      </c>
      <c r="J396" s="797">
        <v>0.4471</v>
      </c>
      <c r="K396" s="797">
        <v>0.4471</v>
      </c>
      <c r="L396" s="797">
        <v>0.4471</v>
      </c>
      <c r="M396" s="797">
        <v>0.4471</v>
      </c>
    </row>
    <row r="397" spans="1:13">
      <c r="A397" s="790">
        <v>8.9</v>
      </c>
      <c r="B397" s="797">
        <v>0.63849999999999996</v>
      </c>
      <c r="C397" s="797">
        <v>0.63849999999999996</v>
      </c>
      <c r="D397" s="797">
        <v>0.59799999999999998</v>
      </c>
      <c r="E397" s="797">
        <v>0.59799999999999998</v>
      </c>
      <c r="F397" s="797">
        <v>0.59799999999999998</v>
      </c>
      <c r="G397" s="797">
        <v>0.5232</v>
      </c>
      <c r="H397" s="797">
        <v>0.5232</v>
      </c>
      <c r="I397" s="797">
        <v>0.4456</v>
      </c>
      <c r="J397" s="797">
        <v>0.4456</v>
      </c>
      <c r="K397" s="797">
        <v>0.4456</v>
      </c>
      <c r="L397" s="797">
        <v>0.4456</v>
      </c>
      <c r="M397" s="797">
        <v>0.4456</v>
      </c>
    </row>
    <row r="398" spans="1:13">
      <c r="A398" s="804">
        <v>9</v>
      </c>
      <c r="B398" s="797">
        <v>0.63749999999999996</v>
      </c>
      <c r="C398" s="797">
        <v>0.63749999999999996</v>
      </c>
      <c r="D398" s="797">
        <v>0.59670000000000001</v>
      </c>
      <c r="E398" s="797">
        <v>0.59670000000000001</v>
      </c>
      <c r="F398" s="797">
        <v>0.59670000000000001</v>
      </c>
      <c r="G398" s="797">
        <v>0.52170000000000005</v>
      </c>
      <c r="H398" s="797">
        <v>0.52170000000000005</v>
      </c>
      <c r="I398" s="797">
        <v>0.44429999999999997</v>
      </c>
      <c r="J398" s="797">
        <v>0.44429999999999997</v>
      </c>
      <c r="K398" s="797">
        <v>0.44429999999999997</v>
      </c>
      <c r="L398" s="797">
        <v>0.44429999999999997</v>
      </c>
      <c r="M398" s="797">
        <v>0.44429999999999997</v>
      </c>
    </row>
    <row r="399" spans="1:13">
      <c r="A399" s="804">
        <v>9.1</v>
      </c>
      <c r="B399" s="797">
        <v>0.63649999999999995</v>
      </c>
      <c r="C399" s="797">
        <v>0.63649999999999995</v>
      </c>
      <c r="D399" s="797">
        <v>0.59540000000000004</v>
      </c>
      <c r="E399" s="797">
        <v>0.59540000000000004</v>
      </c>
      <c r="F399" s="797">
        <v>0.59540000000000004</v>
      </c>
      <c r="G399" s="797">
        <v>0.52029999999999998</v>
      </c>
      <c r="H399" s="797">
        <v>0.52029999999999998</v>
      </c>
      <c r="I399" s="797">
        <v>0.44290000000000002</v>
      </c>
      <c r="J399" s="797">
        <v>0.44290000000000002</v>
      </c>
      <c r="K399" s="797">
        <v>0.44290000000000002</v>
      </c>
      <c r="L399" s="797">
        <v>0.44290000000000002</v>
      </c>
      <c r="M399" s="797">
        <v>0.44290000000000002</v>
      </c>
    </row>
    <row r="400" spans="1:13">
      <c r="A400" s="804">
        <v>9.1999999999999993</v>
      </c>
      <c r="B400" s="797">
        <v>0.63549999999999995</v>
      </c>
      <c r="C400" s="797">
        <v>0.63549999999999995</v>
      </c>
      <c r="D400" s="797">
        <v>0.59409999999999996</v>
      </c>
      <c r="E400" s="797">
        <v>0.59409999999999996</v>
      </c>
      <c r="F400" s="797">
        <v>0.59409999999999996</v>
      </c>
      <c r="G400" s="797">
        <v>0.51880000000000004</v>
      </c>
      <c r="H400" s="797">
        <v>0.51880000000000004</v>
      </c>
      <c r="I400" s="797">
        <v>0.44159999999999999</v>
      </c>
      <c r="J400" s="797">
        <v>0.44159999999999999</v>
      </c>
      <c r="K400" s="797">
        <v>0.44159999999999999</v>
      </c>
      <c r="L400" s="797">
        <v>0.44159999999999999</v>
      </c>
      <c r="M400" s="797">
        <v>0.44159999999999999</v>
      </c>
    </row>
    <row r="401" spans="1:13">
      <c r="A401" s="804">
        <v>9.3000000000000007</v>
      </c>
      <c r="B401" s="797">
        <v>0.63449999999999995</v>
      </c>
      <c r="C401" s="797">
        <v>0.63449999999999995</v>
      </c>
      <c r="D401" s="797">
        <v>0.59279999999999999</v>
      </c>
      <c r="E401" s="797">
        <v>0.59279999999999999</v>
      </c>
      <c r="F401" s="797">
        <v>0.59279999999999999</v>
      </c>
      <c r="G401" s="797">
        <v>0.51739999999999997</v>
      </c>
      <c r="H401" s="797">
        <v>0.51739999999999997</v>
      </c>
      <c r="I401" s="797">
        <v>0.44019999999999998</v>
      </c>
      <c r="J401" s="797">
        <v>0.44019999999999998</v>
      </c>
      <c r="K401" s="797">
        <v>0.44019999999999998</v>
      </c>
      <c r="L401" s="797">
        <v>0.44019999999999998</v>
      </c>
      <c r="M401" s="797">
        <v>0.44019999999999998</v>
      </c>
    </row>
    <row r="402" spans="1:13">
      <c r="A402" s="804">
        <v>9.4</v>
      </c>
      <c r="B402" s="797">
        <v>0.63349999999999995</v>
      </c>
      <c r="C402" s="797">
        <v>0.63349999999999995</v>
      </c>
      <c r="D402" s="797">
        <v>0.59150000000000003</v>
      </c>
      <c r="E402" s="797">
        <v>0.59150000000000003</v>
      </c>
      <c r="F402" s="797">
        <v>0.59150000000000003</v>
      </c>
      <c r="G402" s="797">
        <v>0.51600000000000001</v>
      </c>
      <c r="H402" s="797">
        <v>0.51600000000000001</v>
      </c>
      <c r="I402" s="797">
        <v>0.43880000000000002</v>
      </c>
      <c r="J402" s="797">
        <v>0.43880000000000002</v>
      </c>
      <c r="K402" s="797">
        <v>0.43880000000000002</v>
      </c>
      <c r="L402" s="797">
        <v>0.43880000000000002</v>
      </c>
      <c r="M402" s="797">
        <v>0.43880000000000002</v>
      </c>
    </row>
    <row r="403" spans="1:13">
      <c r="A403" s="804">
        <v>9.5</v>
      </c>
      <c r="B403" s="797">
        <v>0.63249999999999995</v>
      </c>
      <c r="C403" s="797">
        <v>0.63249999999999995</v>
      </c>
      <c r="D403" s="797">
        <v>0.59030000000000005</v>
      </c>
      <c r="E403" s="797">
        <v>0.59030000000000005</v>
      </c>
      <c r="F403" s="797">
        <v>0.59030000000000005</v>
      </c>
      <c r="G403" s="797">
        <v>0.51470000000000005</v>
      </c>
      <c r="H403" s="797">
        <v>0.51470000000000005</v>
      </c>
      <c r="I403" s="797">
        <v>0.4375</v>
      </c>
      <c r="J403" s="797">
        <v>0.4375</v>
      </c>
      <c r="K403" s="797">
        <v>0.4375</v>
      </c>
      <c r="L403" s="797">
        <v>0.4375</v>
      </c>
      <c r="M403" s="797">
        <v>0.4375</v>
      </c>
    </row>
    <row r="404" spans="1:13">
      <c r="A404" s="804">
        <v>9.6</v>
      </c>
      <c r="B404" s="797">
        <v>0.63149999999999995</v>
      </c>
      <c r="C404" s="797">
        <v>0.63149999999999995</v>
      </c>
      <c r="D404" s="797">
        <v>0.58909999999999996</v>
      </c>
      <c r="E404" s="797">
        <v>0.58909999999999996</v>
      </c>
      <c r="F404" s="797">
        <v>0.58909999999999996</v>
      </c>
      <c r="G404" s="797">
        <v>0.51329999999999998</v>
      </c>
      <c r="H404" s="797">
        <v>0.51329999999999998</v>
      </c>
      <c r="I404" s="797">
        <v>0.43609999999999999</v>
      </c>
      <c r="J404" s="797">
        <v>0.43609999999999999</v>
      </c>
      <c r="K404" s="797">
        <v>0.43609999999999999</v>
      </c>
      <c r="L404" s="797">
        <v>0.43609999999999999</v>
      </c>
      <c r="M404" s="797">
        <v>0.43609999999999999</v>
      </c>
    </row>
    <row r="405" spans="1:13">
      <c r="A405" s="804">
        <v>9.6999999999999993</v>
      </c>
      <c r="B405" s="797">
        <v>0.63049999999999995</v>
      </c>
      <c r="C405" s="797">
        <v>0.63049999999999995</v>
      </c>
      <c r="D405" s="797">
        <v>0.58789999999999998</v>
      </c>
      <c r="E405" s="797">
        <v>0.58789999999999998</v>
      </c>
      <c r="F405" s="797">
        <v>0.58789999999999998</v>
      </c>
      <c r="G405" s="797">
        <v>0.51200000000000001</v>
      </c>
      <c r="H405" s="797">
        <v>0.51200000000000001</v>
      </c>
      <c r="I405" s="797">
        <v>0.43480000000000002</v>
      </c>
      <c r="J405" s="797">
        <v>0.43480000000000002</v>
      </c>
      <c r="K405" s="797">
        <v>0.43480000000000002</v>
      </c>
      <c r="L405" s="797">
        <v>0.43480000000000002</v>
      </c>
      <c r="M405" s="797">
        <v>0.43480000000000002</v>
      </c>
    </row>
    <row r="406" spans="1:13">
      <c r="A406" s="804">
        <v>9.8000000000000007</v>
      </c>
      <c r="B406" s="797">
        <v>0.62949999999999995</v>
      </c>
      <c r="C406" s="797">
        <v>0.62949999999999995</v>
      </c>
      <c r="D406" s="797">
        <v>0.5867</v>
      </c>
      <c r="E406" s="797">
        <v>0.5867</v>
      </c>
      <c r="F406" s="797">
        <v>0.5867</v>
      </c>
      <c r="G406" s="797">
        <v>0.51060000000000005</v>
      </c>
      <c r="H406" s="797">
        <v>0.51060000000000005</v>
      </c>
      <c r="I406" s="797">
        <v>0.43340000000000001</v>
      </c>
      <c r="J406" s="797">
        <v>0.43340000000000001</v>
      </c>
      <c r="K406" s="797">
        <v>0.43340000000000001</v>
      </c>
      <c r="L406" s="797">
        <v>0.43340000000000001</v>
      </c>
      <c r="M406" s="797">
        <v>0.43340000000000001</v>
      </c>
    </row>
    <row r="407" spans="1:13">
      <c r="A407" s="804">
        <v>9.9</v>
      </c>
      <c r="B407" s="797">
        <v>0.62849999999999995</v>
      </c>
      <c r="C407" s="797">
        <v>0.62849999999999995</v>
      </c>
      <c r="D407" s="797">
        <v>0.58550000000000002</v>
      </c>
      <c r="E407" s="797">
        <v>0.58550000000000002</v>
      </c>
      <c r="F407" s="797">
        <v>0.58550000000000002</v>
      </c>
      <c r="G407" s="797">
        <v>0.50919999999999999</v>
      </c>
      <c r="H407" s="797">
        <v>0.50919999999999999</v>
      </c>
      <c r="I407" s="797">
        <v>0.432</v>
      </c>
      <c r="J407" s="797">
        <v>0.432</v>
      </c>
      <c r="K407" s="797">
        <v>0.432</v>
      </c>
      <c r="L407" s="797">
        <v>0.432</v>
      </c>
      <c r="M407" s="797">
        <v>0.432</v>
      </c>
    </row>
    <row r="408" spans="1:13">
      <c r="A408" s="804">
        <v>10</v>
      </c>
      <c r="B408" s="797">
        <v>0.62749999999999995</v>
      </c>
      <c r="C408" s="797">
        <v>0.62749999999999995</v>
      </c>
      <c r="D408" s="797">
        <v>0.58430000000000004</v>
      </c>
      <c r="E408" s="797">
        <v>0.58430000000000004</v>
      </c>
      <c r="F408" s="797">
        <v>0.58430000000000004</v>
      </c>
      <c r="G408" s="797">
        <v>0.50790000000000002</v>
      </c>
      <c r="H408" s="797">
        <v>0.50790000000000002</v>
      </c>
      <c r="I408" s="797">
        <v>0.43070000000000003</v>
      </c>
      <c r="J408" s="797">
        <v>0.43070000000000003</v>
      </c>
      <c r="K408" s="797">
        <v>0.43070000000000003</v>
      </c>
      <c r="L408" s="797">
        <v>0.43070000000000003</v>
      </c>
      <c r="M408" s="79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35" customWidth="1"/>
    <col min="2" max="2" width="37.25" style="1535" customWidth="1"/>
    <col min="3" max="3" width="11.375" style="1535" customWidth="1"/>
    <col min="4" max="4" width="31.75" style="1535" customWidth="1"/>
    <col min="5" max="5" width="0.5" style="1535" customWidth="1"/>
    <col min="6" max="7" width="13" style="1535" customWidth="1"/>
    <col min="8" max="16384" width="9" style="1535"/>
  </cols>
  <sheetData>
    <row r="1" spans="1:5" ht="18.75">
      <c r="A1" s="1534" t="s">
        <v>1525</v>
      </c>
    </row>
    <row r="2" spans="1:5" ht="78" customHeight="1">
      <c r="A2" s="31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8"/>
      <c r="C2" s="3138"/>
      <c r="D2" s="3138"/>
      <c r="E2" s="3138"/>
    </row>
    <row r="3" spans="1:5" ht="18">
      <c r="A3" s="3139" t="str">
        <f>IF(项目基本情况!B9="房地产市场价值","估价结果一览表（市场价值不需“结果表-1”）","估价结果一览表")</f>
        <v>估价结果一览表</v>
      </c>
      <c r="B3" s="3139"/>
      <c r="C3" s="3139"/>
      <c r="D3" s="3139"/>
      <c r="E3" s="3139"/>
    </row>
    <row r="4" spans="1:5" ht="19.5" thickBot="1">
      <c r="A4" s="1536"/>
      <c r="B4" s="3137" t="s">
        <v>1534</v>
      </c>
      <c r="C4" s="3137"/>
      <c r="D4" s="3137"/>
      <c r="E4" s="1536"/>
    </row>
    <row r="5" spans="1:5" ht="16.5" thickTop="1">
      <c r="B5" s="3135" t="s">
        <v>1526</v>
      </c>
      <c r="C5" s="1537" t="s">
        <v>1527</v>
      </c>
      <c r="D5" s="899">
        <f ca="1">结果表!H101</f>
        <v>1959560</v>
      </c>
    </row>
    <row r="6" spans="1:5" ht="31.5">
      <c r="B6" s="3135"/>
      <c r="C6" s="1537" t="s">
        <v>1528</v>
      </c>
      <c r="D6" s="899" t="str">
        <f ca="1">NUMBERSTRING(INT(D5*10000),2)&amp;"元整"</f>
        <v>壹佰玖拾伍亿玖仟伍佰陆拾万元整</v>
      </c>
    </row>
    <row r="7" spans="1:5" ht="15.75">
      <c r="B7" s="3140"/>
      <c r="C7" s="1538" t="s">
        <v>1529</v>
      </c>
      <c r="D7" s="900">
        <f ca="1">结果表!H102</f>
        <v>281869965</v>
      </c>
    </row>
    <row r="8" spans="1:5" ht="15.75">
      <c r="B8" s="3141" t="str">
        <f>结果表!E103</f>
        <v>2.估价师知悉的法定优先受偿款</v>
      </c>
      <c r="C8" s="1539" t="s">
        <v>1530</v>
      </c>
      <c r="D8" s="900">
        <f>结果表!H103</f>
        <v>0</v>
      </c>
    </row>
    <row r="9" spans="1:5" ht="15.75">
      <c r="B9" s="3143"/>
      <c r="C9" s="1537" t="s">
        <v>1528</v>
      </c>
      <c r="D9" s="899" t="str">
        <f>NUMBERSTRING(INT(D8*10000),2)&amp;"元整"</f>
        <v>零元整</v>
      </c>
    </row>
    <row r="10" spans="1:5" ht="15">
      <c r="B10" s="1540" t="s">
        <v>1533</v>
      </c>
      <c r="C10" s="1541" t="s">
        <v>1531</v>
      </c>
      <c r="D10" s="901">
        <f>结果表!H104</f>
        <v>0</v>
      </c>
    </row>
    <row r="11" spans="1:5" ht="15">
      <c r="B11" s="1540" t="s">
        <v>1535</v>
      </c>
      <c r="C11" s="1541" t="s">
        <v>1536</v>
      </c>
      <c r="D11" s="901">
        <f>结果表!H105</f>
        <v>0</v>
      </c>
    </row>
    <row r="12" spans="1:5" ht="15">
      <c r="B12" s="1540" t="s">
        <v>1537</v>
      </c>
      <c r="C12" s="1541" t="s">
        <v>1536</v>
      </c>
      <c r="D12" s="901">
        <f>结果表!H106</f>
        <v>0</v>
      </c>
    </row>
    <row r="13" spans="1:5" ht="15.75">
      <c r="B13" s="3134" t="str">
        <f>结果表!E107</f>
        <v>3.房地产抵押价值</v>
      </c>
      <c r="C13" s="1542" t="s">
        <v>1527</v>
      </c>
      <c r="D13" s="902">
        <f ca="1">结果表!H107</f>
        <v>1959560</v>
      </c>
    </row>
    <row r="14" spans="1:5" ht="31.5">
      <c r="B14" s="3135"/>
      <c r="C14" s="1537" t="s">
        <v>1528</v>
      </c>
      <c r="D14" s="899" t="str">
        <f ca="1">NUMBERSTRING(INT(D13*10000),2)&amp;"元整"</f>
        <v>壹佰玖拾伍亿玖仟伍佰陆拾万元整</v>
      </c>
    </row>
    <row r="15" spans="1:5" ht="15">
      <c r="B15" s="3140"/>
      <c r="C15" s="1538" t="s">
        <v>1538</v>
      </c>
      <c r="D15" s="908">
        <f ca="1">结果表!H108</f>
        <v>281869965</v>
      </c>
    </row>
    <row r="16" spans="1:5" ht="15">
      <c r="B16" s="3141" t="str">
        <f>结果表!E109</f>
        <v>——</v>
      </c>
      <c r="C16" s="1542" t="s">
        <v>1539</v>
      </c>
      <c r="D16" s="1543" t="str">
        <f>结果表!H109</f>
        <v>——</v>
      </c>
    </row>
    <row r="17" spans="1:5" ht="15.75">
      <c r="B17" s="3142"/>
      <c r="C17" s="1537" t="s">
        <v>1540</v>
      </c>
      <c r="D17" s="899" t="e">
        <f>NUMBERSTRING(INT(D16*10000),2)&amp;"元整"</f>
        <v>#VALUE!</v>
      </c>
    </row>
    <row r="18" spans="1:5" ht="15">
      <c r="B18" s="3143"/>
      <c r="C18" s="1538" t="s">
        <v>1529</v>
      </c>
      <c r="D18" s="908" t="str">
        <f>结果表!H110</f>
        <v>——</v>
      </c>
    </row>
    <row r="19" spans="1:5" ht="15.75">
      <c r="B19" s="3134" t="str">
        <f>结果表!E111</f>
        <v>4.抵押净值</v>
      </c>
      <c r="C19" s="1542" t="s">
        <v>1527</v>
      </c>
      <c r="D19" s="900">
        <f ca="1">结果表!H111</f>
        <v>770918</v>
      </c>
    </row>
    <row r="20" spans="1:5" ht="15.75">
      <c r="B20" s="3135"/>
      <c r="C20" s="1537" t="s">
        <v>1540</v>
      </c>
      <c r="D20" s="899" t="str">
        <f ca="1">NUMBERSTRING(INT(D19*10000),2)&amp;"元整"</f>
        <v>柒拾柒亿零玖佰壹拾捌万元整</v>
      </c>
    </row>
    <row r="21" spans="1:5" ht="15.75" thickBot="1">
      <c r="B21" s="3136"/>
      <c r="C21" s="1544" t="s">
        <v>1538</v>
      </c>
      <c r="D21" s="909">
        <f ca="1">结果表!H112</f>
        <v>110891542</v>
      </c>
    </row>
    <row r="22" spans="1:5" ht="15" thickTop="1">
      <c r="B22" s="1545" t="s">
        <v>1541</v>
      </c>
    </row>
    <row r="24" spans="1:5" ht="18.75">
      <c r="A24" s="1546"/>
      <c r="B24" s="1547" t="s">
        <v>1532</v>
      </c>
      <c r="C24" s="1546"/>
      <c r="D24" s="1546"/>
      <c r="E24" s="1546"/>
    </row>
    <row r="25" spans="1:5">
      <c r="A25" s="1546"/>
      <c r="B25" s="1546"/>
      <c r="C25" s="1546"/>
      <c r="D25" s="1546"/>
      <c r="E25" s="1546"/>
    </row>
    <row r="26" spans="1:5">
      <c r="A26" s="1546"/>
      <c r="B26" s="1546"/>
      <c r="C26" s="1546"/>
      <c r="D26" s="1546"/>
      <c r="E26" s="1546"/>
    </row>
    <row r="27" spans="1:5">
      <c r="A27" s="1546"/>
      <c r="B27" s="1546"/>
      <c r="C27" s="1546"/>
      <c r="D27" s="1546"/>
      <c r="E27" s="1546"/>
    </row>
    <row r="28" spans="1:5">
      <c r="A28" s="1546"/>
      <c r="B28" s="1546"/>
      <c r="C28" s="1546"/>
      <c r="D28" s="1546"/>
      <c r="E28" s="1546"/>
    </row>
    <row r="29" spans="1:5">
      <c r="A29" s="1546"/>
      <c r="B29" s="1546"/>
      <c r="C29" s="1546"/>
      <c r="D29" s="1546"/>
      <c r="E29" s="1546"/>
    </row>
    <row r="30" spans="1:5">
      <c r="A30" s="1546"/>
      <c r="B30" s="1546"/>
      <c r="C30" s="1546"/>
      <c r="D30" s="1546"/>
      <c r="E30" s="1546"/>
    </row>
    <row r="31" spans="1:5">
      <c r="A31" s="1546"/>
      <c r="B31" s="1546"/>
      <c r="C31" s="1546"/>
      <c r="D31" s="1546"/>
      <c r="E31" s="1546"/>
    </row>
    <row r="32" spans="1:5">
      <c r="A32" s="1546"/>
      <c r="B32" s="1546"/>
      <c r="C32" s="1546"/>
      <c r="D32" s="1546"/>
      <c r="E32" s="1546"/>
    </row>
    <row r="33" spans="1:5">
      <c r="A33" s="1546"/>
      <c r="B33" s="1546"/>
      <c r="C33" s="1546"/>
      <c r="D33" s="1546"/>
      <c r="E33" s="1546"/>
    </row>
    <row r="34" spans="1:5">
      <c r="A34" s="1546"/>
      <c r="B34" s="1546"/>
      <c r="C34" s="1546"/>
      <c r="D34" s="1546"/>
      <c r="E34" s="1546"/>
    </row>
    <row r="35" spans="1:5">
      <c r="A35" s="1546"/>
      <c r="B35" s="1546"/>
      <c r="C35" s="1546"/>
      <c r="D35" s="1546"/>
      <c r="E35" s="1546"/>
    </row>
    <row r="36" spans="1:5">
      <c r="A36" s="1546"/>
      <c r="B36" s="1546"/>
      <c r="C36" s="1546"/>
      <c r="D36" s="1546"/>
      <c r="E36" s="1546"/>
    </row>
    <row r="37" spans="1:5">
      <c r="A37" s="1546"/>
      <c r="B37" s="1546"/>
      <c r="C37" s="1546"/>
      <c r="D37" s="1546"/>
      <c r="E37" s="1546"/>
    </row>
    <row r="38" spans="1:5">
      <c r="A38" s="1546"/>
      <c r="B38" s="1546"/>
      <c r="C38" s="1546"/>
      <c r="D38" s="1546"/>
      <c r="E38" s="1546"/>
    </row>
    <row r="39" spans="1:5">
      <c r="A39" s="1546"/>
      <c r="B39" s="1546"/>
      <c r="C39" s="1546"/>
      <c r="D39" s="1546"/>
      <c r="E39" s="1546"/>
    </row>
    <row r="40" spans="1:5">
      <c r="A40" s="1546"/>
      <c r="B40" s="1546"/>
      <c r="C40" s="1546"/>
      <c r="D40" s="1546"/>
      <c r="E40" s="1546"/>
    </row>
    <row r="41" spans="1:5">
      <c r="A41" s="1546"/>
      <c r="B41" s="1546"/>
      <c r="C41" s="1546"/>
      <c r="D41" s="1546"/>
      <c r="E41" s="1546"/>
    </row>
    <row r="42" spans="1:5">
      <c r="A42" s="1546"/>
      <c r="B42" s="1546"/>
      <c r="C42" s="1546"/>
      <c r="D42" s="1546"/>
      <c r="E42" s="154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F7" sqref="F7:G40"/>
    </sheetView>
  </sheetViews>
  <sheetFormatPr defaultColWidth="9" defaultRowHeight="14.25"/>
  <cols>
    <col min="1" max="1" width="23.375" style="650" customWidth="1"/>
    <col min="2" max="2" width="12.5" style="650" customWidth="1"/>
    <col min="3" max="3" width="12.125" style="650" customWidth="1"/>
    <col min="4" max="4" width="14.125" style="650" customWidth="1"/>
    <col min="5" max="5" width="12.5" style="650" customWidth="1"/>
    <col min="6" max="16384" width="9" style="650"/>
  </cols>
  <sheetData>
    <row r="1" spans="1:16" ht="21">
      <c r="A1" s="1869" t="s">
        <v>2753</v>
      </c>
      <c r="B1" s="7"/>
      <c r="C1" s="7"/>
      <c r="D1" s="7"/>
      <c r="E1" s="7"/>
      <c r="F1" s="2720"/>
      <c r="G1" s="2720"/>
      <c r="H1" s="2720"/>
      <c r="I1" s="2720"/>
      <c r="J1" s="2720"/>
      <c r="K1" s="2720"/>
      <c r="L1" s="2720"/>
      <c r="M1" s="2720"/>
      <c r="N1" s="2720"/>
      <c r="O1" s="2720"/>
      <c r="P1" s="2720"/>
    </row>
    <row r="2" spans="1:16" ht="15.75">
      <c r="A2" s="2150" t="s">
        <v>2745</v>
      </c>
      <c r="B2" s="2560">
        <f ca="1">SUMIF(B6:B13,"&lt;&gt;#ref!",B6:B13)</f>
        <v>759784</v>
      </c>
      <c r="C2" s="2150" t="s">
        <v>2746</v>
      </c>
      <c r="D2" s="2150" t="s">
        <v>2747</v>
      </c>
      <c r="E2" s="2570">
        <f ca="1">SUMIF(E6:E13,"&lt;&gt;#ref!",E6:E13)</f>
        <v>139.04</v>
      </c>
      <c r="F2" s="2720"/>
      <c r="G2" s="2720"/>
      <c r="H2" s="2720"/>
      <c r="I2" s="2720"/>
      <c r="J2" s="2720"/>
      <c r="K2" s="2720"/>
      <c r="L2" s="2720"/>
      <c r="M2" s="2720"/>
      <c r="N2" s="2720"/>
      <c r="O2" s="2720"/>
      <c r="P2" s="2720"/>
    </row>
    <row r="3" spans="1:16" ht="15.75">
      <c r="A3" s="2150" t="s">
        <v>2748</v>
      </c>
      <c r="B3" s="2560">
        <f ca="1">ROUND(B2*10000/E2,0)</f>
        <v>54644994</v>
      </c>
      <c r="C3" s="2150" t="s">
        <v>2754</v>
      </c>
      <c r="D3" s="2720"/>
      <c r="E3" s="2720"/>
      <c r="F3" s="2720"/>
      <c r="G3" s="2720"/>
      <c r="H3" s="2720"/>
      <c r="I3" s="2720"/>
      <c r="J3" s="2720"/>
      <c r="K3" s="2720"/>
      <c r="L3" s="2720"/>
      <c r="M3" s="2720"/>
      <c r="N3" s="2720"/>
      <c r="O3" s="2720"/>
      <c r="P3" s="2720"/>
    </row>
    <row r="4" spans="1:16" ht="15.75">
      <c r="A4" s="2734"/>
      <c r="B4" s="2720"/>
      <c r="C4" s="2720"/>
      <c r="D4" s="2720"/>
      <c r="E4" s="2720"/>
      <c r="F4" s="2720"/>
      <c r="G4" s="2720"/>
      <c r="H4" s="2720"/>
      <c r="I4" s="2720"/>
      <c r="J4" s="2720"/>
      <c r="K4" s="2720"/>
      <c r="L4" s="2720"/>
      <c r="M4" s="2720"/>
      <c r="N4" s="2720"/>
      <c r="O4" s="2720"/>
      <c r="P4" s="2720"/>
    </row>
    <row r="5" spans="1:16" ht="28.5">
      <c r="A5" s="2566" t="s">
        <v>2749</v>
      </c>
      <c r="B5" s="2568" t="s">
        <v>2750</v>
      </c>
      <c r="C5" s="2151"/>
      <c r="D5" s="2720"/>
      <c r="E5" s="2569" t="s">
        <v>2751</v>
      </c>
      <c r="F5" s="2720"/>
      <c r="G5" s="2720"/>
      <c r="H5" s="2720"/>
      <c r="I5" s="2720"/>
      <c r="J5" s="2720"/>
      <c r="K5" s="2720"/>
      <c r="L5" s="2720"/>
      <c r="M5" s="2720"/>
      <c r="N5" s="2720"/>
      <c r="O5" s="2720"/>
      <c r="P5" s="2720"/>
    </row>
    <row r="6" spans="1:16" ht="15.75">
      <c r="A6" s="2567" t="s">
        <v>2752</v>
      </c>
      <c r="B6" s="2560">
        <f ca="1">SUMIF(INDIRECT("'"&amp;A6&amp;"'"&amp;"!A:A"),"总价",INDIRECT("'"&amp;A6&amp;"'"&amp;"!B:B"))</f>
        <v>759784</v>
      </c>
      <c r="C6" s="2150" t="s">
        <v>2746</v>
      </c>
      <c r="D6" s="2720"/>
      <c r="E6" s="2570">
        <f ca="1">SUMIF(INDIRECT("'"&amp;A6&amp;"'"&amp;"!C:C"),"建筑面积",INDIRECT("'"&amp;A6&amp;"'"&amp;"!D:D"))</f>
        <v>139.04</v>
      </c>
      <c r="F6" s="2720"/>
      <c r="G6" s="2720"/>
      <c r="H6" s="2720"/>
      <c r="I6" s="2720"/>
      <c r="J6" s="2720"/>
      <c r="K6" s="2720"/>
      <c r="L6" s="2720"/>
      <c r="M6" s="2720"/>
      <c r="N6" s="2720"/>
      <c r="O6" s="2720"/>
      <c r="P6" s="2720"/>
    </row>
    <row r="7" spans="1:16" ht="15.75">
      <c r="A7" s="2567"/>
      <c r="B7" s="2560" t="e">
        <f ca="1">SUMIF(INDIRECT("'"&amp;A7&amp;"'"&amp;"!A:A"),"总价",INDIRECT("'"&amp;A7&amp;"'"&amp;"!B:B"))</f>
        <v>#REF!</v>
      </c>
      <c r="C7" s="2150" t="s">
        <v>2746</v>
      </c>
      <c r="D7" s="2720"/>
      <c r="E7" s="2570" t="e">
        <f t="shared" ref="E7:E13" ca="1" si="0">SUMIF(INDIRECT("'"&amp;A7&amp;"'"&amp;"!C:C"),"建筑面积",INDIRECT("'"&amp;A7&amp;"'"&amp;"!D:D"))</f>
        <v>#REF!</v>
      </c>
      <c r="F7" s="2720"/>
      <c r="G7" s="2720"/>
      <c r="H7" s="2720"/>
      <c r="I7" s="2720"/>
      <c r="J7" s="2720"/>
      <c r="K7" s="2720"/>
      <c r="L7" s="2720"/>
      <c r="M7" s="2720"/>
      <c r="N7" s="2720"/>
      <c r="O7" s="2720"/>
      <c r="P7" s="2720"/>
    </row>
    <row r="8" spans="1:16" ht="15.75">
      <c r="A8" s="2567"/>
      <c r="B8" s="2560" t="e">
        <f t="shared" ref="B8:B13" ca="1" si="1">SUMIF(INDIRECT("'"&amp;A8&amp;"'"&amp;"!A:A"),"总价",INDIRECT("'"&amp;A8&amp;"'"&amp;"!B:B"))</f>
        <v>#REF!</v>
      </c>
      <c r="C8" s="2150" t="s">
        <v>2746</v>
      </c>
      <c r="D8" s="2720"/>
      <c r="E8" s="2570" t="e">
        <f t="shared" ca="1" si="0"/>
        <v>#REF!</v>
      </c>
      <c r="F8" s="2720"/>
      <c r="G8" s="2720"/>
      <c r="H8" s="2720"/>
      <c r="I8" s="2720"/>
      <c r="J8" s="2720"/>
      <c r="K8" s="2720"/>
      <c r="L8" s="2720"/>
      <c r="M8" s="2720"/>
      <c r="N8" s="2720"/>
      <c r="O8" s="2720"/>
      <c r="P8" s="2720"/>
    </row>
    <row r="9" spans="1:16" ht="15.75">
      <c r="A9" s="2567"/>
      <c r="B9" s="2560" t="e">
        <f t="shared" ca="1" si="1"/>
        <v>#REF!</v>
      </c>
      <c r="C9" s="2150" t="s">
        <v>2746</v>
      </c>
      <c r="D9" s="2720"/>
      <c r="E9" s="2570" t="e">
        <f t="shared" ca="1" si="0"/>
        <v>#REF!</v>
      </c>
      <c r="F9" s="2720"/>
      <c r="G9" s="2720"/>
      <c r="H9" s="2720"/>
      <c r="I9" s="2720"/>
      <c r="J9" s="2720"/>
      <c r="K9" s="2720"/>
      <c r="L9" s="2720"/>
      <c r="M9" s="2720"/>
      <c r="N9" s="2720"/>
      <c r="O9" s="2720"/>
      <c r="P9" s="2720"/>
    </row>
    <row r="10" spans="1:16" ht="15.75">
      <c r="A10" s="2567"/>
      <c r="B10" s="2560" t="e">
        <f t="shared" ca="1" si="1"/>
        <v>#REF!</v>
      </c>
      <c r="C10" s="2150" t="s">
        <v>2746</v>
      </c>
      <c r="D10" s="2720"/>
      <c r="E10" s="2570" t="e">
        <f t="shared" ca="1" si="0"/>
        <v>#REF!</v>
      </c>
      <c r="F10" s="2720"/>
      <c r="G10" s="2720"/>
      <c r="H10" s="2720"/>
      <c r="I10" s="2720"/>
      <c r="J10" s="2720"/>
      <c r="K10" s="2720"/>
      <c r="L10" s="2720"/>
      <c r="M10" s="2720"/>
      <c r="N10" s="2720"/>
      <c r="O10" s="2720"/>
      <c r="P10" s="2720"/>
    </row>
    <row r="11" spans="1:16" ht="15.75">
      <c r="A11" s="2567"/>
      <c r="B11" s="2560" t="e">
        <f t="shared" ca="1" si="1"/>
        <v>#REF!</v>
      </c>
      <c r="C11" s="2150" t="s">
        <v>2746</v>
      </c>
      <c r="D11" s="2720"/>
      <c r="E11" s="2570" t="e">
        <f t="shared" ca="1" si="0"/>
        <v>#REF!</v>
      </c>
      <c r="F11" s="2720"/>
      <c r="G11" s="2720"/>
      <c r="H11" s="2720"/>
      <c r="I11" s="2720"/>
      <c r="J11" s="2720"/>
      <c r="K11" s="2720"/>
      <c r="L11" s="2720"/>
      <c r="M11" s="2720"/>
      <c r="N11" s="2720"/>
      <c r="O11" s="2720"/>
      <c r="P11" s="2720"/>
    </row>
    <row r="12" spans="1:16" ht="15.75">
      <c r="A12" s="2567"/>
      <c r="B12" s="2560" t="e">
        <f t="shared" ca="1" si="1"/>
        <v>#REF!</v>
      </c>
      <c r="C12" s="2150" t="s">
        <v>2746</v>
      </c>
      <c r="D12" s="2720"/>
      <c r="E12" s="2570" t="e">
        <f t="shared" ca="1" si="0"/>
        <v>#REF!</v>
      </c>
      <c r="F12" s="2720"/>
      <c r="G12" s="2720"/>
      <c r="H12" s="2720"/>
      <c r="I12" s="2720"/>
      <c r="J12" s="2720"/>
      <c r="K12" s="2720"/>
      <c r="L12" s="2720"/>
      <c r="M12" s="2720"/>
      <c r="N12" s="2720"/>
      <c r="O12" s="2720"/>
      <c r="P12" s="2720"/>
    </row>
    <row r="13" spans="1:16" ht="15.75">
      <c r="A13" s="2567"/>
      <c r="B13" s="2560" t="e">
        <f t="shared" ca="1" si="1"/>
        <v>#REF!</v>
      </c>
      <c r="C13" s="2150" t="s">
        <v>2746</v>
      </c>
      <c r="D13" s="2720"/>
      <c r="E13" s="2570" t="e">
        <f t="shared" ca="1" si="0"/>
        <v>#REF!</v>
      </c>
      <c r="F13" s="2720"/>
      <c r="G13" s="2720"/>
      <c r="H13" s="2720"/>
      <c r="I13" s="2720"/>
      <c r="J13" s="2720"/>
      <c r="K13" s="2720"/>
      <c r="L13" s="2720"/>
      <c r="M13" s="2720"/>
      <c r="N13" s="2720"/>
      <c r="O13" s="2720"/>
      <c r="P13" s="2720"/>
    </row>
    <row r="14" spans="1:16">
      <c r="A14" s="2720"/>
      <c r="B14" s="2720"/>
      <c r="C14" s="2720"/>
      <c r="D14" s="2720"/>
      <c r="E14" s="2720"/>
      <c r="F14" s="2720"/>
      <c r="G14" s="2720"/>
      <c r="H14" s="2720"/>
      <c r="I14" s="2720"/>
      <c r="J14" s="2720"/>
      <c r="K14" s="2720"/>
      <c r="L14" s="2720"/>
      <c r="M14" s="2720"/>
      <c r="N14" s="2720"/>
      <c r="O14" s="2720"/>
      <c r="P14" s="2720"/>
    </row>
    <row r="15" spans="1:16">
      <c r="A15" s="2720"/>
      <c r="B15" s="2720"/>
      <c r="C15" s="2720"/>
      <c r="D15" s="2720"/>
      <c r="E15" s="2720"/>
      <c r="F15" s="2720"/>
      <c r="G15" s="2720"/>
      <c r="H15" s="2720"/>
      <c r="I15" s="2720"/>
      <c r="J15" s="2720"/>
      <c r="K15" s="2720"/>
      <c r="L15" s="2720"/>
      <c r="M15" s="2720"/>
      <c r="N15" s="2720"/>
      <c r="O15" s="2720"/>
      <c r="P15" s="2720"/>
    </row>
    <row r="16" spans="1:16">
      <c r="A16" s="2720"/>
      <c r="B16" s="2720"/>
      <c r="C16" s="2720"/>
      <c r="D16" s="2720"/>
      <c r="E16" s="2720"/>
      <c r="F16" s="2720"/>
      <c r="G16" s="2720"/>
      <c r="H16" s="2720"/>
      <c r="I16" s="2720"/>
      <c r="J16" s="2720"/>
      <c r="K16" s="2720"/>
      <c r="L16" s="2720"/>
      <c r="M16" s="2720"/>
      <c r="N16" s="2720"/>
      <c r="O16" s="2720"/>
      <c r="P16" s="2720"/>
    </row>
    <row r="17" spans="1:16">
      <c r="A17" s="2720"/>
      <c r="B17" s="2720"/>
      <c r="C17" s="2720"/>
      <c r="D17" s="2720"/>
      <c r="E17" s="2720"/>
      <c r="F17" s="2720"/>
      <c r="G17" s="2720"/>
      <c r="H17" s="2720"/>
      <c r="I17" s="2720"/>
      <c r="J17" s="2720"/>
      <c r="K17" s="2720"/>
      <c r="L17" s="2720"/>
      <c r="M17" s="2720"/>
      <c r="N17" s="2720"/>
      <c r="O17" s="2720"/>
      <c r="P17" s="2720"/>
    </row>
    <row r="18" spans="1:16">
      <c r="A18" s="2720"/>
      <c r="B18" s="2720"/>
      <c r="C18" s="2720"/>
      <c r="D18" s="2720"/>
      <c r="E18" s="2720"/>
      <c r="F18" s="2720"/>
      <c r="G18" s="2720"/>
      <c r="H18" s="2720"/>
      <c r="I18" s="2720"/>
      <c r="J18" s="2720"/>
      <c r="K18" s="2720"/>
      <c r="L18" s="2720"/>
      <c r="M18" s="2720"/>
      <c r="N18" s="2720"/>
      <c r="O18" s="2720"/>
      <c r="P18" s="2720"/>
    </row>
    <row r="19" spans="1:16">
      <c r="A19" s="2720"/>
      <c r="B19" s="2720"/>
      <c r="C19" s="2720"/>
      <c r="D19" s="2720"/>
      <c r="E19" s="2720"/>
      <c r="F19" s="2720"/>
      <c r="G19" s="2720"/>
      <c r="H19" s="2720"/>
      <c r="I19" s="2720"/>
      <c r="J19" s="2720"/>
      <c r="K19" s="2720"/>
      <c r="L19" s="2720"/>
      <c r="M19" s="2720"/>
      <c r="N19" s="2720"/>
      <c r="O19" s="2720"/>
      <c r="P19" s="2720"/>
    </row>
    <row r="20" spans="1:16">
      <c r="A20" s="2720"/>
      <c r="B20" s="2720"/>
      <c r="C20" s="2720"/>
      <c r="D20" s="2720"/>
      <c r="E20" s="2720"/>
      <c r="F20" s="2720"/>
      <c r="G20" s="2720"/>
      <c r="H20" s="2720"/>
      <c r="I20" s="2720"/>
      <c r="J20" s="2720"/>
      <c r="K20" s="2720"/>
      <c r="L20" s="2720"/>
      <c r="M20" s="2720"/>
      <c r="N20" s="2720"/>
      <c r="O20" s="2720"/>
      <c r="P20" s="2720"/>
    </row>
    <row r="21" spans="1:16">
      <c r="A21" s="2720"/>
      <c r="B21" s="2720"/>
      <c r="C21" s="2720"/>
      <c r="D21" s="2720"/>
      <c r="E21" s="2720"/>
      <c r="F21" s="2720"/>
      <c r="G21" s="2720"/>
      <c r="H21" s="2720"/>
      <c r="I21" s="2720"/>
      <c r="J21" s="2720"/>
      <c r="K21" s="2720"/>
      <c r="L21" s="2720"/>
      <c r="M21" s="2720"/>
      <c r="N21" s="2720"/>
      <c r="O21" s="2720"/>
      <c r="P21" s="2720"/>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9"/>
  <sheetViews>
    <sheetView zoomScale="80" zoomScaleNormal="80" workbookViewId="0">
      <selection activeCell="L7" sqref="L7"/>
    </sheetView>
  </sheetViews>
  <sheetFormatPr defaultColWidth="9" defaultRowHeight="12.75"/>
  <cols>
    <col min="1" max="1" width="9" style="2195"/>
    <col min="2" max="6" width="9" style="2195" customWidth="1"/>
    <col min="7" max="7" width="9" style="2229"/>
    <col min="8" max="8" width="9" style="2195"/>
    <col min="9" max="12" width="9" style="2195" customWidth="1"/>
    <col min="13" max="13" width="2.25" style="2195" customWidth="1"/>
    <col min="14" max="14" width="9" style="2229" customWidth="1"/>
    <col min="15" max="17" width="9" style="2195" customWidth="1"/>
    <col min="18" max="18" width="2.375" style="2195" customWidth="1"/>
    <col min="19" max="19" width="7.125" style="2229" customWidth="1"/>
    <col min="20" max="22" width="7.125" style="2195" customWidth="1"/>
    <col min="23" max="23" width="24.25" style="2195" customWidth="1"/>
    <col min="24" max="25" width="9" style="2195"/>
    <col min="26" max="27" width="11.625" style="2195" customWidth="1"/>
    <col min="28" max="28" width="9" style="2195"/>
    <col min="29" max="29" width="2" style="2195" customWidth="1"/>
    <col min="30" max="16384" width="9" style="2195"/>
  </cols>
  <sheetData>
    <row r="1" spans="1:34" s="2177" customFormat="1">
      <c r="B1" s="3472" t="s">
        <v>1058</v>
      </c>
      <c r="C1" s="3472"/>
      <c r="D1" s="3472"/>
      <c r="E1" s="3472"/>
      <c r="F1" s="3472"/>
      <c r="G1" s="3471" t="s">
        <v>1059</v>
      </c>
      <c r="H1" s="3471"/>
      <c r="I1" s="3471"/>
      <c r="J1" s="3471"/>
      <c r="K1" s="3471"/>
      <c r="L1" s="3471"/>
      <c r="N1" s="3471" t="s">
        <v>1060</v>
      </c>
      <c r="O1" s="3471"/>
      <c r="P1" s="3471"/>
      <c r="Q1" s="3471"/>
      <c r="S1" s="3471" t="s">
        <v>1061</v>
      </c>
      <c r="T1" s="3471"/>
      <c r="U1" s="3471"/>
      <c r="V1" s="3471"/>
      <c r="X1" s="3470" t="s">
        <v>1062</v>
      </c>
      <c r="Y1" s="3471"/>
      <c r="Z1" s="3471"/>
      <c r="AA1" s="3471"/>
      <c r="AB1" s="3471"/>
      <c r="AD1" s="3470" t="s">
        <v>1063</v>
      </c>
      <c r="AE1" s="3471"/>
      <c r="AF1" s="3471"/>
      <c r="AG1" s="3471"/>
      <c r="AH1" s="3471"/>
    </row>
    <row r="2" spans="1:34" s="2178" customFormat="1" ht="14.25" thickBot="1">
      <c r="B2" s="2179" t="s">
        <v>1064</v>
      </c>
      <c r="C2" s="2179" t="s">
        <v>1065</v>
      </c>
      <c r="D2" s="2180" t="s">
        <v>1066</v>
      </c>
      <c r="E2" s="2180" t="s">
        <v>1067</v>
      </c>
      <c r="F2" s="2179" t="s">
        <v>1068</v>
      </c>
      <c r="G2" s="2181"/>
      <c r="I2" s="2179" t="s">
        <v>1064</v>
      </c>
      <c r="J2" s="2180" t="s">
        <v>1290</v>
      </c>
      <c r="K2" s="2180" t="s">
        <v>751</v>
      </c>
      <c r="L2" s="2179" t="s">
        <v>1068</v>
      </c>
      <c r="N2" s="2179" t="s">
        <v>1064</v>
      </c>
      <c r="O2" s="2180" t="s">
        <v>1290</v>
      </c>
      <c r="P2" s="2180" t="s">
        <v>751</v>
      </c>
      <c r="Q2" s="2179" t="s">
        <v>1068</v>
      </c>
      <c r="S2" s="2179" t="s">
        <v>1064</v>
      </c>
      <c r="T2" s="2180" t="s">
        <v>1290</v>
      </c>
      <c r="U2" s="2180" t="s">
        <v>751</v>
      </c>
      <c r="V2" s="2179" t="s">
        <v>1068</v>
      </c>
      <c r="X2" s="2179" t="s">
        <v>1064</v>
      </c>
      <c r="Y2" s="2179" t="s">
        <v>1065</v>
      </c>
      <c r="Z2" s="2180" t="s">
        <v>1066</v>
      </c>
      <c r="AA2" s="2180" t="s">
        <v>1067</v>
      </c>
      <c r="AB2" s="2179" t="s">
        <v>1068</v>
      </c>
      <c r="AD2" s="2179" t="s">
        <v>1064</v>
      </c>
      <c r="AE2" s="2179" t="s">
        <v>1065</v>
      </c>
      <c r="AF2" s="2180" t="s">
        <v>1066</v>
      </c>
      <c r="AG2" s="2180" t="s">
        <v>1067</v>
      </c>
      <c r="AH2" s="2179" t="s">
        <v>1068</v>
      </c>
    </row>
    <row r="3" spans="1:34" s="2186" customFormat="1" ht="14.25">
      <c r="A3" s="2182" t="s">
        <v>2782</v>
      </c>
      <c r="B3" s="2183"/>
      <c r="C3" s="2183"/>
      <c r="D3" s="2184"/>
      <c r="E3" s="2184"/>
      <c r="F3" s="2183"/>
      <c r="G3" s="2185"/>
      <c r="I3" s="2187">
        <f>ROUND(AVERAGE($I4:$I36),2)</f>
        <v>1.66</v>
      </c>
      <c r="J3" s="2187">
        <f>ROUND(AVERAGE($J4:$J36),2)</f>
        <v>1.05</v>
      </c>
      <c r="K3" s="2187">
        <f>ROUND(AVERAGE($K4:$K36),2)</f>
        <v>1.83</v>
      </c>
      <c r="L3" s="2187">
        <f>ROUND(AVERAGE($L4:$L36),2)</f>
        <v>1.22</v>
      </c>
      <c r="N3" s="2185"/>
      <c r="S3" s="2185"/>
      <c r="W3" s="2188"/>
      <c r="X3" s="2189">
        <f>ROUND(SUMPRODUCT(PRODUCT(1+N3:N$35)),4)</f>
        <v>1.6415999999999999</v>
      </c>
      <c r="Y3" s="2189">
        <f>ROUND(SUMPRODUCT(PRODUCT(1+O3:O$35)),4)</f>
        <v>1.3644000000000001</v>
      </c>
      <c r="Z3" s="2189">
        <f t="shared" ref="Z3:Z33" si="0">Y3</f>
        <v>1.3644000000000001</v>
      </c>
      <c r="AA3" s="2189">
        <f>ROUND(SUMPRODUCT(PRODUCT(1+P3:P$35)),4)</f>
        <v>1.7232000000000001</v>
      </c>
      <c r="AB3" s="2189">
        <f>ROUND(SUMPRODUCT(PRODUCT(1+Q3:Q$35)),4)</f>
        <v>1.4529000000000001</v>
      </c>
      <c r="AD3" s="2190">
        <f>ROUND(AVERAGE(I3:I$36)/100,4)</f>
        <v>1.66E-2</v>
      </c>
      <c r="AE3" s="2190">
        <f>ROUND(AVERAGE(J3:J$36)/100,4)</f>
        <v>1.0500000000000001E-2</v>
      </c>
      <c r="AF3" s="2190">
        <f t="shared" ref="AF3:AF34" si="1">AE3</f>
        <v>1.0500000000000001E-2</v>
      </c>
      <c r="AG3" s="2190">
        <f>ROUND(AVERAGE(K3:K$36)/100,4)</f>
        <v>1.83E-2</v>
      </c>
      <c r="AH3" s="2190">
        <f>ROUND(AVERAGE(L3:L$36)/100,4)</f>
        <v>1.2200000000000001E-2</v>
      </c>
    </row>
    <row r="4" spans="1:34" s="2177" customFormat="1" ht="14.25">
      <c r="B4" s="2191"/>
      <c r="C4" s="2191"/>
      <c r="D4" s="2192"/>
      <c r="E4" s="2192"/>
      <c r="F4" s="2191"/>
      <c r="G4" s="2193"/>
      <c r="I4" s="2194"/>
      <c r="J4" s="2194"/>
      <c r="K4" s="2194"/>
      <c r="L4" s="2194"/>
      <c r="N4" s="2193"/>
      <c r="S4" s="2193"/>
      <c r="X4" s="2195"/>
      <c r="Y4" s="2195"/>
      <c r="Z4" s="2195"/>
      <c r="AA4" s="2195"/>
      <c r="AB4" s="2195"/>
      <c r="AD4" s="2196"/>
      <c r="AE4" s="2196"/>
      <c r="AF4" s="2196"/>
      <c r="AG4" s="2196"/>
      <c r="AH4" s="2196"/>
    </row>
    <row r="5" spans="1:34" s="2202" customFormat="1">
      <c r="A5" s="2197" t="s">
        <v>2987</v>
      </c>
      <c r="B5" s="2198">
        <f t="shared" ref="B5" si="2">B6*(1+N5)</f>
        <v>504.87072809615569</v>
      </c>
      <c r="C5" s="2198">
        <f t="shared" ref="C5" si="3">C6*(1+O5)</f>
        <v>351.71182348101968</v>
      </c>
      <c r="D5" s="2198">
        <f t="shared" ref="D5" si="4">C5</f>
        <v>351.71182348101968</v>
      </c>
      <c r="E5" s="2198">
        <f t="shared" ref="E5" si="5">E6*(1+P5)</f>
        <v>728.75350858360832</v>
      </c>
      <c r="F5" s="2198">
        <f t="shared" ref="F5" si="6">F6*(1+Q5)</f>
        <v>334.04593931673656</v>
      </c>
      <c r="G5" s="2199">
        <v>2021</v>
      </c>
      <c r="H5" s="2200">
        <v>4</v>
      </c>
      <c r="I5" s="2201">
        <v>0</v>
      </c>
      <c r="J5" s="2201">
        <v>0</v>
      </c>
      <c r="K5" s="2201">
        <v>0</v>
      </c>
      <c r="L5" s="2201">
        <v>0</v>
      </c>
      <c r="N5" s="2203">
        <f t="shared" ref="N5" si="7">I5/100</f>
        <v>0</v>
      </c>
      <c r="O5" s="2203">
        <f t="shared" ref="O5" si="8">J5/100</f>
        <v>0</v>
      </c>
      <c r="P5" s="2203">
        <f t="shared" ref="P5" si="9">K5/100</f>
        <v>0</v>
      </c>
      <c r="Q5" s="2203">
        <f t="shared" ref="Q5" si="10">L5/100</f>
        <v>0</v>
      </c>
      <c r="S5" s="2204"/>
      <c r="W5" s="2205" t="s">
        <v>2783</v>
      </c>
      <c r="X5" s="2206">
        <f>ROUND(IF(项目基本情况!B2="出让",SUMPRODUCT(PRODUCT(1+N5:N$36)),SUMPRODUCT(PRODUCT(1+N5:N$35))),4)</f>
        <v>1.6415999999999999</v>
      </c>
      <c r="Y5" s="2206">
        <f>ROUND(IF(项目基本情况!B2="出让",SUMPRODUCT(PRODUCT(1+O5:O$36)),SUMPRODUCT(PRODUCT(1+O5:O$35))),4)</f>
        <v>1.3644000000000001</v>
      </c>
      <c r="Z5" s="2206">
        <f t="shared" ref="Z5" si="11">Y5</f>
        <v>1.3644000000000001</v>
      </c>
      <c r="AA5" s="2206">
        <f>ROUND(IF(项目基本情况!B2="出让",SUMPRODUCT(PRODUCT(1+P5:P$36)),SUMPRODUCT(PRODUCT(1+P5:P$35))),4)</f>
        <v>1.7232000000000001</v>
      </c>
      <c r="AB5" s="2206">
        <f>ROUND(IF(项目基本情况!B2="出让",SUMPRODUCT(PRODUCT(1+Q5:Q$36)),SUMPRODUCT(PRODUCT(1+Q5:Q$35))),4)</f>
        <v>1.4529000000000001</v>
      </c>
      <c r="AD5" s="2207">
        <f>ROUND(AVERAGE(I5:I$36)/100,4)</f>
        <v>1.66E-2</v>
      </c>
      <c r="AE5" s="2207">
        <f>ROUND(AVERAGE(J5:J$36)/100,4)</f>
        <v>1.0500000000000001E-2</v>
      </c>
      <c r="AF5" s="2207">
        <f t="shared" ref="AF5" si="12">AE5</f>
        <v>1.0500000000000001E-2</v>
      </c>
      <c r="AG5" s="2207">
        <f>ROUND(AVERAGE(K5:K$36)/100,4)</f>
        <v>1.83E-2</v>
      </c>
      <c r="AH5" s="2207">
        <f>ROUND(AVERAGE(L5:L$36)/100,4)</f>
        <v>1.2200000000000001E-2</v>
      </c>
    </row>
    <row r="6" spans="1:34" s="2213" customFormat="1">
      <c r="A6" s="2208" t="s">
        <v>2986</v>
      </c>
      <c r="B6" s="2209">
        <f t="shared" ref="B6" si="13">B7*(1+N6)</f>
        <v>504.87072809615569</v>
      </c>
      <c r="C6" s="2209">
        <f t="shared" ref="C6" si="14">C7*(1+O6)</f>
        <v>351.71182348101968</v>
      </c>
      <c r="D6" s="2209">
        <f t="shared" ref="D6" si="15">C6</f>
        <v>351.71182348101968</v>
      </c>
      <c r="E6" s="2209">
        <f t="shared" ref="E6" si="16">E7*(1+P6)</f>
        <v>728.75350858360832</v>
      </c>
      <c r="F6" s="2209">
        <f t="shared" ref="F6" si="17">F7*(1+Q6)</f>
        <v>334.04593931673656</v>
      </c>
      <c r="G6" s="2199">
        <v>2021</v>
      </c>
      <c r="H6" s="2210">
        <v>3</v>
      </c>
      <c r="I6" s="2175">
        <v>0.47</v>
      </c>
      <c r="J6" s="2175">
        <v>0.41</v>
      </c>
      <c r="K6" s="2175">
        <v>0.48</v>
      </c>
      <c r="L6" s="2176">
        <v>0.48</v>
      </c>
      <c r="M6" s="2195"/>
      <c r="N6" s="2211">
        <f t="shared" ref="N6" si="18">I6/100</f>
        <v>4.6999999999999993E-3</v>
      </c>
      <c r="O6" s="2196">
        <f t="shared" ref="O6" si="19">J6/100</f>
        <v>4.0999999999999995E-3</v>
      </c>
      <c r="P6" s="2196">
        <f t="shared" ref="P6" si="20">K6/100</f>
        <v>4.7999999999999996E-3</v>
      </c>
      <c r="Q6" s="2196">
        <f t="shared" ref="Q6" si="21">L6/100</f>
        <v>4.7999999999999996E-3</v>
      </c>
      <c r="R6" s="2212"/>
      <c r="S6" s="2211"/>
      <c r="T6" s="2196"/>
      <c r="U6" s="2196"/>
      <c r="V6" s="2196"/>
      <c r="W6" s="2195"/>
      <c r="X6" s="2195">
        <f>ROUND(IF(项目基本情况!B3="出让",SUMPRODUCT(PRODUCT(1+N6:N$36)),SUMPRODUCT(PRODUCT(1+N6:N$35))),4)</f>
        <v>1.6415999999999999</v>
      </c>
      <c r="Y6" s="2195">
        <f>ROUND(IF(项目基本情况!B3="出让",SUMPRODUCT(PRODUCT(1+O6:O$36)),SUMPRODUCT(PRODUCT(1+O6:O$35))),4)</f>
        <v>1.3644000000000001</v>
      </c>
      <c r="Z6" s="2195">
        <f t="shared" ref="Z6" si="22">Y6</f>
        <v>1.3644000000000001</v>
      </c>
      <c r="AA6" s="2195">
        <f>ROUND(IF(项目基本情况!B3="出让",SUMPRODUCT(PRODUCT(1+P6:P$36)),SUMPRODUCT(PRODUCT(1+P6:P$35))),4)</f>
        <v>1.7232000000000001</v>
      </c>
      <c r="AB6" s="2195">
        <f>ROUND(IF(项目基本情况!B3="出让",SUMPRODUCT(PRODUCT(1+Q6:Q$36)),SUMPRODUCT(PRODUCT(1+Q6:Q$35))),4)</f>
        <v>1.4529000000000001</v>
      </c>
      <c r="AC6" s="2195"/>
      <c r="AD6" s="2196">
        <f>ROUND(AVERAGE(I6:I$36)/100,4)</f>
        <v>1.72E-2</v>
      </c>
      <c r="AE6" s="2196">
        <f>ROUND(AVERAGE(J6:J$36)/100,4)</f>
        <v>1.09E-2</v>
      </c>
      <c r="AF6" s="2196">
        <f t="shared" ref="AF6" si="23">AE6</f>
        <v>1.09E-2</v>
      </c>
      <c r="AG6" s="2196">
        <f>ROUND(AVERAGE(K6:K$36)/100,4)</f>
        <v>1.89E-2</v>
      </c>
      <c r="AH6" s="2196">
        <f>ROUND(AVERAGE(L6:L$36)/100,4)</f>
        <v>1.26E-2</v>
      </c>
    </row>
    <row r="7" spans="1:34" s="2213" customFormat="1">
      <c r="A7" s="2208" t="s">
        <v>2985</v>
      </c>
      <c r="B7" s="2209">
        <f t="shared" ref="B7" si="24">B8*(1+N7)</f>
        <v>502.50893609650217</v>
      </c>
      <c r="C7" s="2209">
        <f t="shared" ref="C7" si="25">C8*(1+O7)</f>
        <v>350.27569313914915</v>
      </c>
      <c r="D7" s="2209">
        <f t="shared" ref="D7" si="26">C7</f>
        <v>350.27569313914915</v>
      </c>
      <c r="E7" s="2209">
        <f t="shared" ref="E7" si="27">E8*(1+P7)</f>
        <v>725.27220201394141</v>
      </c>
      <c r="F7" s="2209">
        <f t="shared" ref="F7" si="28">F8*(1+Q7)</f>
        <v>332.45017846012797</v>
      </c>
      <c r="G7" s="2199">
        <v>2021</v>
      </c>
      <c r="H7" s="2210">
        <v>2</v>
      </c>
      <c r="I7" s="2175">
        <v>0.92</v>
      </c>
      <c r="J7" s="2175">
        <v>0.72</v>
      </c>
      <c r="K7" s="2175">
        <v>0.95</v>
      </c>
      <c r="L7" s="2176">
        <v>1.01</v>
      </c>
      <c r="M7" s="2195"/>
      <c r="N7" s="2211">
        <f t="shared" ref="N7" si="29">I7/100</f>
        <v>9.1999999999999998E-3</v>
      </c>
      <c r="O7" s="2196">
        <f t="shared" ref="O7" si="30">J7/100</f>
        <v>7.1999999999999998E-3</v>
      </c>
      <c r="P7" s="2196">
        <f t="shared" ref="P7" si="31">K7/100</f>
        <v>9.4999999999999998E-3</v>
      </c>
      <c r="Q7" s="2196">
        <f t="shared" ref="Q7" si="32">L7/100</f>
        <v>1.01E-2</v>
      </c>
      <c r="R7" s="2212"/>
      <c r="S7" s="2211"/>
      <c r="T7" s="2196"/>
      <c r="U7" s="2196"/>
      <c r="V7" s="2196"/>
      <c r="W7" s="2195"/>
      <c r="X7" s="2195">
        <f>ROUND(IF(项目基本情况!B4="出让",SUMPRODUCT(PRODUCT(1+N7:N$36)),SUMPRODUCT(PRODUCT(1+N7:N$35))),4)</f>
        <v>1.6338999999999999</v>
      </c>
      <c r="Y7" s="2195">
        <f>ROUND(IF(项目基本情况!B4="出让",SUMPRODUCT(PRODUCT(1+O7:O$36)),SUMPRODUCT(PRODUCT(1+O7:O$35))),4)</f>
        <v>1.3588</v>
      </c>
      <c r="Z7" s="2195">
        <f t="shared" ref="Z7" si="33">Y7</f>
        <v>1.3588</v>
      </c>
      <c r="AA7" s="2195">
        <f>ROUND(IF(项目基本情况!B4="出让",SUMPRODUCT(PRODUCT(1+P7:P$36)),SUMPRODUCT(PRODUCT(1+P7:P$35))),4)</f>
        <v>1.7150000000000001</v>
      </c>
      <c r="AB7" s="2195">
        <f>ROUND(IF(项目基本情况!B4="出让",SUMPRODUCT(PRODUCT(1+Q7:Q$36)),SUMPRODUCT(PRODUCT(1+Q7:Q$35))),4)</f>
        <v>1.446</v>
      </c>
      <c r="AC7" s="2195"/>
      <c r="AD7" s="2196">
        <f>ROUND(AVERAGE(I7:I$36)/100,4)</f>
        <v>1.7600000000000001E-2</v>
      </c>
      <c r="AE7" s="2196">
        <f>ROUND(AVERAGE(J7:J$36)/100,4)</f>
        <v>1.11E-2</v>
      </c>
      <c r="AF7" s="2196">
        <f t="shared" ref="AF7" si="34">AE7</f>
        <v>1.11E-2</v>
      </c>
      <c r="AG7" s="2196">
        <f>ROUND(AVERAGE(K7:K$36)/100,4)</f>
        <v>1.9400000000000001E-2</v>
      </c>
      <c r="AH7" s="2196">
        <f>ROUND(AVERAGE(L7:L$36)/100,4)</f>
        <v>1.2800000000000001E-2</v>
      </c>
    </row>
    <row r="8" spans="1:34" s="2213" customFormat="1">
      <c r="A8" s="2208" t="s">
        <v>2984</v>
      </c>
      <c r="B8" s="2209">
        <f t="shared" ref="B8" si="35">B9*(1+N8)</f>
        <v>497.92799851020823</v>
      </c>
      <c r="C8" s="2209">
        <f t="shared" ref="C8" si="36">C9*(1+O8)</f>
        <v>347.77173663537445</v>
      </c>
      <c r="D8" s="2209">
        <f t="shared" ref="D8" si="37">C8</f>
        <v>347.77173663537445</v>
      </c>
      <c r="E8" s="2209">
        <f t="shared" ref="E8" si="38">E9*(1+P8)</f>
        <v>718.44695593258189</v>
      </c>
      <c r="F8" s="2209">
        <f t="shared" ref="F8" si="39">F9*(1+Q8)</f>
        <v>329.12600580153247</v>
      </c>
      <c r="G8" s="2199">
        <v>2021</v>
      </c>
      <c r="H8" s="2210">
        <v>1</v>
      </c>
      <c r="I8" s="2175">
        <v>0.97</v>
      </c>
      <c r="J8" s="2175">
        <v>0.16</v>
      </c>
      <c r="K8" s="2175">
        <v>1.1100000000000001</v>
      </c>
      <c r="L8" s="2176">
        <v>0.36</v>
      </c>
      <c r="M8" s="2195"/>
      <c r="N8" s="2211">
        <f t="shared" ref="N8" si="40">I8/100</f>
        <v>9.7000000000000003E-3</v>
      </c>
      <c r="O8" s="2196">
        <f t="shared" ref="O8" si="41">J8/100</f>
        <v>1.6000000000000001E-3</v>
      </c>
      <c r="P8" s="2196">
        <f t="shared" ref="P8" si="42">K8/100</f>
        <v>1.11E-2</v>
      </c>
      <c r="Q8" s="2196">
        <f t="shared" ref="Q8" si="43">L8/100</f>
        <v>3.5999999999999999E-3</v>
      </c>
      <c r="R8" s="2212"/>
      <c r="S8" s="2211">
        <f>B8/B9-1</f>
        <v>9.7000000000000419E-3</v>
      </c>
      <c r="T8" s="2196">
        <f t="shared" ref="T8" si="44">C8/C9-1</f>
        <v>1.6000000000000458E-3</v>
      </c>
      <c r="U8" s="2196">
        <f t="shared" ref="U8" si="45">D8/D9-1</f>
        <v>1.6000000000000458E-3</v>
      </c>
      <c r="V8" s="2196">
        <f t="shared" ref="V8" si="46">E8/E9-1</f>
        <v>1.110000000000011E-2</v>
      </c>
      <c r="W8" s="2195"/>
      <c r="X8" s="2195">
        <f>ROUND(IF(项目基本情况!B5="出让",SUMPRODUCT(PRODUCT(1+N8:N$36)),SUMPRODUCT(PRODUCT(1+N8:N$35))),4)</f>
        <v>1.619</v>
      </c>
      <c r="Y8" s="2195">
        <f>ROUND(IF(项目基本情况!B5="出让",SUMPRODUCT(PRODUCT(1+O8:O$36)),SUMPRODUCT(PRODUCT(1+O8:O$35))),4)</f>
        <v>1.3491</v>
      </c>
      <c r="Z8" s="2195">
        <f t="shared" ref="Z8" si="47">Y8</f>
        <v>1.3491</v>
      </c>
      <c r="AA8" s="2195">
        <f>ROUND(IF(项目基本情况!B5="出让",SUMPRODUCT(PRODUCT(1+P8:P$36)),SUMPRODUCT(PRODUCT(1+P8:P$35))),4)</f>
        <v>1.6988000000000001</v>
      </c>
      <c r="AB8" s="2195">
        <f>ROUND(IF(项目基本情况!B5="出让",SUMPRODUCT(PRODUCT(1+Q8:Q$36)),SUMPRODUCT(PRODUCT(1+Q8:Q$35))),4)</f>
        <v>1.4315</v>
      </c>
      <c r="AC8" s="2195"/>
      <c r="AD8" s="2196">
        <f>ROUND(AVERAGE(I8:I$36)/100,4)</f>
        <v>1.7899999999999999E-2</v>
      </c>
      <c r="AE8" s="2196">
        <f>ROUND(AVERAGE(J8:J$36)/100,4)</f>
        <v>1.12E-2</v>
      </c>
      <c r="AF8" s="2196">
        <f t="shared" ref="AF8" si="48">AE8</f>
        <v>1.12E-2</v>
      </c>
      <c r="AG8" s="2196">
        <f>ROUND(AVERAGE(K8:K$36)/100,4)</f>
        <v>1.9699999999999999E-2</v>
      </c>
      <c r="AH8" s="2196">
        <f>ROUND(AVERAGE(L8:L$36)/100,4)</f>
        <v>1.29E-2</v>
      </c>
    </row>
    <row r="9" spans="1:34" s="2213" customFormat="1">
      <c r="A9" s="2208" t="s">
        <v>2982</v>
      </c>
      <c r="B9" s="2209">
        <f t="shared" ref="B9" si="49">B10*(1+N9)</f>
        <v>493.14449689037161</v>
      </c>
      <c r="C9" s="2209">
        <f t="shared" ref="C9" si="50">C10*(1+O9)</f>
        <v>347.21619073020611</v>
      </c>
      <c r="D9" s="2209">
        <f t="shared" ref="D9" si="51">C9</f>
        <v>347.21619073020611</v>
      </c>
      <c r="E9" s="2209">
        <f t="shared" ref="E9" si="52">E10*(1+P9)</f>
        <v>710.55974278763904</v>
      </c>
      <c r="F9" s="2209">
        <f t="shared" ref="F9" si="53">F10*(1+Q9)</f>
        <v>327.94540235306141</v>
      </c>
      <c r="G9" s="2199">
        <v>2020</v>
      </c>
      <c r="H9" s="2210">
        <v>4</v>
      </c>
      <c r="I9" s="2175">
        <v>2.0699999999999998</v>
      </c>
      <c r="J9" s="2175">
        <v>0.37</v>
      </c>
      <c r="K9" s="2175">
        <v>2.35</v>
      </c>
      <c r="L9" s="2176">
        <v>2.69</v>
      </c>
      <c r="M9" s="2195"/>
      <c r="N9" s="2211">
        <f t="shared" ref="N9" si="54">I9/100</f>
        <v>2.07E-2</v>
      </c>
      <c r="O9" s="2196">
        <f t="shared" ref="O9" si="55">J9/100</f>
        <v>3.7000000000000002E-3</v>
      </c>
      <c r="P9" s="2196">
        <f t="shared" ref="P9" si="56">K9/100</f>
        <v>2.35E-2</v>
      </c>
      <c r="Q9" s="2196">
        <f t="shared" ref="Q9" si="57">L9/100</f>
        <v>2.69E-2</v>
      </c>
      <c r="R9" s="2212"/>
      <c r="S9" s="2211"/>
      <c r="T9" s="2196"/>
      <c r="U9" s="2196"/>
      <c r="V9" s="2196"/>
      <c r="W9" s="2195"/>
      <c r="X9" s="2195">
        <f>ROUND(IF(项目基本情况!B6="出让",SUMPRODUCT(PRODUCT(1+N9:N$36)),SUMPRODUCT(PRODUCT(1+N9:N$35))),4)</f>
        <v>1.6034999999999999</v>
      </c>
      <c r="Y9" s="2195">
        <f>ROUND(IF(项目基本情况!B6="出让",SUMPRODUCT(PRODUCT(1+O9:O$36)),SUMPRODUCT(PRODUCT(1+O9:O$35))),4)</f>
        <v>1.3469</v>
      </c>
      <c r="Z9" s="2195">
        <f t="shared" ref="Z9" si="58">Y9</f>
        <v>1.3469</v>
      </c>
      <c r="AA9" s="2195">
        <f>ROUND(IF(项目基本情况!B6="出让",SUMPRODUCT(PRODUCT(1+P9:P$36)),SUMPRODUCT(PRODUCT(1+P9:P$35))),4)</f>
        <v>1.6801999999999999</v>
      </c>
      <c r="AB9" s="2195">
        <f>ROUND(IF(项目基本情况!B6="出让",SUMPRODUCT(PRODUCT(1+Q9:Q$36)),SUMPRODUCT(PRODUCT(1+Q9:Q$35))),4)</f>
        <v>1.4263999999999999</v>
      </c>
      <c r="AC9" s="2195"/>
      <c r="AD9" s="2196">
        <f>ROUND(AVERAGE(I9:I$36)/100,4)</f>
        <v>1.8200000000000001E-2</v>
      </c>
      <c r="AE9" s="2196">
        <f>ROUND(AVERAGE(J9:J$36)/100,4)</f>
        <v>1.1599999999999999E-2</v>
      </c>
      <c r="AF9" s="2196">
        <f t="shared" ref="AF9" si="59">AE9</f>
        <v>1.1599999999999999E-2</v>
      </c>
      <c r="AG9" s="2196">
        <f>ROUND(AVERAGE(K9:K$36)/100,4)</f>
        <v>0.02</v>
      </c>
      <c r="AH9" s="2196">
        <f>ROUND(AVERAGE(L9:L$36)/100,4)</f>
        <v>1.3299999999999999E-2</v>
      </c>
    </row>
    <row r="10" spans="1:34" s="2213" customFormat="1">
      <c r="A10" s="2208" t="s">
        <v>2981</v>
      </c>
      <c r="B10" s="2209">
        <f t="shared" ref="B10" si="60">B11*(1+N10)</f>
        <v>483.1434279321756</v>
      </c>
      <c r="C10" s="2209">
        <f t="shared" ref="C10" si="61">C11*(1+O10)</f>
        <v>345.93622669144776</v>
      </c>
      <c r="D10" s="2209">
        <f t="shared" ref="D10" si="62">C10</f>
        <v>345.93622669144776</v>
      </c>
      <c r="E10" s="2209">
        <f t="shared" ref="E10" si="63">E11*(1+P10)</f>
        <v>694.24498562544113</v>
      </c>
      <c r="F10" s="2209">
        <f t="shared" ref="F10" si="64">F11*(1+Q10)</f>
        <v>319.35475932716082</v>
      </c>
      <c r="G10" s="2199">
        <v>2020</v>
      </c>
      <c r="H10" s="2210">
        <v>3</v>
      </c>
      <c r="I10" s="2175">
        <v>0.36</v>
      </c>
      <c r="J10" s="2175">
        <v>-0.39</v>
      </c>
      <c r="K10" s="2175">
        <v>0.49</v>
      </c>
      <c r="L10" s="2176">
        <v>7.0000000000000007E-2</v>
      </c>
      <c r="M10" s="2195"/>
      <c r="N10" s="2211">
        <f t="shared" ref="N10" si="65">I10/100</f>
        <v>3.5999999999999999E-3</v>
      </c>
      <c r="O10" s="2196">
        <f t="shared" ref="O10" si="66">J10/100</f>
        <v>-3.9000000000000003E-3</v>
      </c>
      <c r="P10" s="2196">
        <f t="shared" ref="P10" si="67">K10/100</f>
        <v>4.8999999999999998E-3</v>
      </c>
      <c r="Q10" s="2196">
        <f t="shared" ref="Q10" si="68">L10/100</f>
        <v>7.000000000000001E-4</v>
      </c>
      <c r="R10" s="2212"/>
      <c r="S10" s="2211"/>
      <c r="T10" s="2196"/>
      <c r="U10" s="2196"/>
      <c r="V10" s="2196"/>
      <c r="W10" s="2195"/>
      <c r="X10" s="2195">
        <f>ROUND(IF(项目基本情况!B7="出让",SUMPRODUCT(PRODUCT(1+N10:N$36)),SUMPRODUCT(PRODUCT(1+N10:N$35))),4)</f>
        <v>1.571</v>
      </c>
      <c r="Y10" s="2195">
        <f>ROUND(IF(项目基本情况!B7="出让",SUMPRODUCT(PRODUCT(1+O10:O$36)),SUMPRODUCT(PRODUCT(1+O10:O$35))),4)</f>
        <v>1.3420000000000001</v>
      </c>
      <c r="Z10" s="2195">
        <f t="shared" ref="Z10" si="69">Y10</f>
        <v>1.3420000000000001</v>
      </c>
      <c r="AA10" s="2195">
        <f>ROUND(IF(项目基本情况!B7="出让",SUMPRODUCT(PRODUCT(1+P10:P$36)),SUMPRODUCT(PRODUCT(1+P10:P$35))),4)</f>
        <v>1.6415999999999999</v>
      </c>
      <c r="AB10" s="2195">
        <f>ROUND(IF(项目基本情况!B7="出让",SUMPRODUCT(PRODUCT(1+Q10:Q$36)),SUMPRODUCT(PRODUCT(1+Q10:Q$35))),4)</f>
        <v>1.389</v>
      </c>
      <c r="AC10" s="2195"/>
      <c r="AD10" s="2196">
        <f>ROUND(AVERAGE(I10:I$36)/100,4)</f>
        <v>1.8100000000000002E-2</v>
      </c>
      <c r="AE10" s="2196">
        <f>ROUND(AVERAGE(J10:J$36)/100,4)</f>
        <v>1.1900000000000001E-2</v>
      </c>
      <c r="AF10" s="2196">
        <f t="shared" ref="AF10" si="70">AE10</f>
        <v>1.1900000000000001E-2</v>
      </c>
      <c r="AG10" s="2196">
        <f>ROUND(AVERAGE(K10:K$36)/100,4)</f>
        <v>1.9900000000000001E-2</v>
      </c>
      <c r="AH10" s="2196">
        <f>ROUND(AVERAGE(L10:L$36)/100,4)</f>
        <v>1.2800000000000001E-2</v>
      </c>
    </row>
    <row r="11" spans="1:34" s="2213" customFormat="1">
      <c r="A11" s="2208" t="s">
        <v>2799</v>
      </c>
      <c r="B11" s="2209">
        <f t="shared" ref="B11" si="71">B12*(1+N11)</f>
        <v>481.4103506697644</v>
      </c>
      <c r="C11" s="2209">
        <f t="shared" ref="C11" si="72">C12*(1+O11)</f>
        <v>347.29066026648707</v>
      </c>
      <c r="D11" s="2209">
        <f t="shared" ref="D11" si="73">C11</f>
        <v>347.29066026648707</v>
      </c>
      <c r="E11" s="2209">
        <f t="shared" ref="E11" si="74">E12*(1+P11)</f>
        <v>690.85977273901995</v>
      </c>
      <c r="F11" s="2209">
        <f t="shared" ref="F11" si="75">F12*(1+Q11)</f>
        <v>319.13136737000184</v>
      </c>
      <c r="G11" s="2199">
        <v>2020</v>
      </c>
      <c r="H11" s="2210">
        <v>2</v>
      </c>
      <c r="I11" s="2175">
        <v>0.31</v>
      </c>
      <c r="J11" s="2175">
        <v>-0.78</v>
      </c>
      <c r="K11" s="2175">
        <v>0.5</v>
      </c>
      <c r="L11" s="2176">
        <v>0.47</v>
      </c>
      <c r="M11" s="2195"/>
      <c r="N11" s="2211">
        <f t="shared" ref="N11" si="76">I11/100</f>
        <v>3.0999999999999999E-3</v>
      </c>
      <c r="O11" s="2196">
        <f t="shared" ref="O11" si="77">J11/100</f>
        <v>-7.8000000000000005E-3</v>
      </c>
      <c r="P11" s="2196">
        <f t="shared" ref="P11" si="78">K11/100</f>
        <v>5.0000000000000001E-3</v>
      </c>
      <c r="Q11" s="2196">
        <f t="shared" ref="Q11" si="79">L11/100</f>
        <v>4.6999999999999993E-3</v>
      </c>
      <c r="R11" s="2212"/>
      <c r="S11" s="2211"/>
      <c r="T11" s="2196"/>
      <c r="U11" s="2196"/>
      <c r="V11" s="2196"/>
      <c r="W11" s="2195"/>
      <c r="X11" s="2195">
        <f>ROUND(IF(项目基本情况!B8="出让",SUMPRODUCT(PRODUCT(1+N11:N$36)),SUMPRODUCT(PRODUCT(1+N11:N$35))),4)</f>
        <v>1.5652999999999999</v>
      </c>
      <c r="Y11" s="2195">
        <f>ROUND(IF(项目基本情况!B8="出让",SUMPRODUCT(PRODUCT(1+O11:O$36)),SUMPRODUCT(PRODUCT(1+O11:O$35))),4)</f>
        <v>1.3472</v>
      </c>
      <c r="Z11" s="2195">
        <f t="shared" ref="Z11" si="80">Y11</f>
        <v>1.3472</v>
      </c>
      <c r="AA11" s="2195">
        <f>ROUND(IF(项目基本情况!B8="出让",SUMPRODUCT(PRODUCT(1+P11:P$36)),SUMPRODUCT(PRODUCT(1+P11:P$35))),4)</f>
        <v>1.6335999999999999</v>
      </c>
      <c r="AB11" s="2195">
        <f>ROUND(IF(项目基本情况!B8="出让",SUMPRODUCT(PRODUCT(1+Q11:Q$36)),SUMPRODUCT(PRODUCT(1+Q11:Q$35))),4)</f>
        <v>1.3880999999999999</v>
      </c>
      <c r="AC11" s="2195"/>
      <c r="AD11" s="2196">
        <f>ROUND(AVERAGE(I11:I$36)/100,4)</f>
        <v>1.8599999999999998E-2</v>
      </c>
      <c r="AE11" s="2196">
        <f>ROUND(AVERAGE(J11:J$36)/100,4)</f>
        <v>1.2500000000000001E-2</v>
      </c>
      <c r="AF11" s="2196">
        <f t="shared" ref="AF11" si="81">AE11</f>
        <v>1.2500000000000001E-2</v>
      </c>
      <c r="AG11" s="2196">
        <f>ROUND(AVERAGE(K11:K$36)/100,4)</f>
        <v>2.0400000000000001E-2</v>
      </c>
      <c r="AH11" s="2196">
        <f>ROUND(AVERAGE(L11:L$36)/100,4)</f>
        <v>1.32E-2</v>
      </c>
    </row>
    <row r="12" spans="1:34" s="2213" customFormat="1">
      <c r="A12" s="2208" t="s">
        <v>2797</v>
      </c>
      <c r="B12" s="2209">
        <f t="shared" ref="B12" si="82">B13*(1+N12)</f>
        <v>479.92259063878413</v>
      </c>
      <c r="C12" s="2209">
        <f t="shared" ref="C12" si="83">C13*(1+O12)</f>
        <v>350.02082268341775</v>
      </c>
      <c r="D12" s="2209">
        <f t="shared" ref="D12" si="84">C12</f>
        <v>350.02082268341775</v>
      </c>
      <c r="E12" s="2209">
        <f t="shared" ref="E12" si="85">E13*(1+P12)</f>
        <v>687.42265944181099</v>
      </c>
      <c r="F12" s="2209">
        <f t="shared" ref="F12" si="86">F13*(1+Q12)</f>
        <v>317.63846657708956</v>
      </c>
      <c r="G12" s="2199">
        <v>2020</v>
      </c>
      <c r="H12" s="2210">
        <v>1</v>
      </c>
      <c r="I12" s="2175">
        <v>0.12</v>
      </c>
      <c r="J12" s="2175">
        <v>-0.4</v>
      </c>
      <c r="K12" s="2175">
        <v>0.21</v>
      </c>
      <c r="L12" s="2176">
        <v>0.27</v>
      </c>
      <c r="M12" s="2195"/>
      <c r="N12" s="2211">
        <f t="shared" ref="N12" si="87">I12/100</f>
        <v>1.1999999999999999E-3</v>
      </c>
      <c r="O12" s="2196">
        <f t="shared" ref="O12" si="88">J12/100</f>
        <v>-4.0000000000000001E-3</v>
      </c>
      <c r="P12" s="2196">
        <f t="shared" ref="P12" si="89">K12/100</f>
        <v>2.0999999999999999E-3</v>
      </c>
      <c r="Q12" s="2196">
        <f t="shared" ref="Q12" si="90">L12/100</f>
        <v>2.7000000000000001E-3</v>
      </c>
      <c r="R12" s="2212"/>
      <c r="S12" s="2211">
        <f>B12/B13-1</f>
        <v>1.2000000000000899E-3</v>
      </c>
      <c r="T12" s="2196">
        <f t="shared" ref="T12" si="91">C12/C13-1</f>
        <v>-4.0000000000000036E-3</v>
      </c>
      <c r="U12" s="2196">
        <f t="shared" ref="U12" si="92">D12/D13-1</f>
        <v>-4.0000000000000036E-3</v>
      </c>
      <c r="V12" s="2196">
        <f t="shared" ref="V12" si="93">E12/E13-1</f>
        <v>2.0999999999999908E-3</v>
      </c>
      <c r="W12" s="2195"/>
      <c r="X12" s="2195">
        <f>ROUND(IF(项目基本情况!B8="出让",SUMPRODUCT(PRODUCT(1+N12:N$36)),SUMPRODUCT(PRODUCT(1+N12:N$35))),4)</f>
        <v>1.5605</v>
      </c>
      <c r="Y12" s="2195">
        <f>ROUND(IF(项目基本情况!B8="出让",SUMPRODUCT(PRODUCT(1+O12:O$36)),SUMPRODUCT(PRODUCT(1+O12:O$35))),4)</f>
        <v>1.3577999999999999</v>
      </c>
      <c r="Z12" s="2195">
        <f t="shared" ref="Z12" si="94">Y12</f>
        <v>1.3577999999999999</v>
      </c>
      <c r="AA12" s="2195">
        <f>ROUND(IF(项目基本情况!B8="出让",SUMPRODUCT(PRODUCT(1+P12:P$36)),SUMPRODUCT(PRODUCT(1+P12:P$35))),4)</f>
        <v>1.6254999999999999</v>
      </c>
      <c r="AB12" s="2195">
        <f>ROUND(IF(项目基本情况!B8="出让",SUMPRODUCT(PRODUCT(1+Q12:Q$36)),SUMPRODUCT(PRODUCT(1+Q12:Q$35))),4)</f>
        <v>1.3815999999999999</v>
      </c>
      <c r="AC12" s="2195"/>
      <c r="AD12" s="2196">
        <f>ROUND(AVERAGE(I12:I$36)/100,4)</f>
        <v>1.9199999999999998E-2</v>
      </c>
      <c r="AE12" s="2196">
        <f>ROUND(AVERAGE(J12:J$36)/100,4)</f>
        <v>1.3299999999999999E-2</v>
      </c>
      <c r="AF12" s="2196">
        <f t="shared" ref="AF12" si="95">AE12</f>
        <v>1.3299999999999999E-2</v>
      </c>
      <c r="AG12" s="2196">
        <f>ROUND(AVERAGE(K12:K$36)/100,4)</f>
        <v>2.1100000000000001E-2</v>
      </c>
      <c r="AH12" s="2196">
        <f>ROUND(AVERAGE(L12:L$36)/100,4)</f>
        <v>1.3599999999999999E-2</v>
      </c>
    </row>
    <row r="13" spans="1:34" s="2213" customFormat="1">
      <c r="A13" s="2208" t="s">
        <v>2796</v>
      </c>
      <c r="B13" s="2209">
        <f t="shared" ref="B13" si="96">B14*(1+N13)</f>
        <v>479.34737379023579</v>
      </c>
      <c r="C13" s="2209">
        <f t="shared" ref="C13" si="97">C14*(1+O13)</f>
        <v>351.4265287986122</v>
      </c>
      <c r="D13" s="2209">
        <f t="shared" ref="D13" si="98">C13</f>
        <v>351.4265287986122</v>
      </c>
      <c r="E13" s="2209">
        <f t="shared" ref="E13" si="99">E14*(1+P13)</f>
        <v>685.98209703803116</v>
      </c>
      <c r="F13" s="2209">
        <f t="shared" ref="F13" si="100">F14*(1+Q13)</f>
        <v>316.78315206651001</v>
      </c>
      <c r="G13" s="2199">
        <v>2019</v>
      </c>
      <c r="H13" s="2210">
        <v>4</v>
      </c>
      <c r="I13" s="2210">
        <v>0.45</v>
      </c>
      <c r="J13" s="2210">
        <v>-0.12</v>
      </c>
      <c r="K13" s="2210">
        <v>0.54</v>
      </c>
      <c r="L13" s="2214">
        <v>0.48</v>
      </c>
      <c r="M13" s="2195"/>
      <c r="N13" s="2211">
        <f t="shared" ref="N13:N18" si="101">I13/100</f>
        <v>4.5000000000000005E-3</v>
      </c>
      <c r="O13" s="2196">
        <f t="shared" ref="O13" si="102">J13/100</f>
        <v>-1.1999999999999999E-3</v>
      </c>
      <c r="P13" s="2196">
        <f t="shared" ref="P13" si="103">K13/100</f>
        <v>5.4000000000000003E-3</v>
      </c>
      <c r="Q13" s="2196">
        <f t="shared" ref="Q13" si="104">L13/100</f>
        <v>4.7999999999999996E-3</v>
      </c>
      <c r="R13" s="2212"/>
      <c r="S13" s="2211"/>
      <c r="T13" s="2196"/>
      <c r="U13" s="2196"/>
      <c r="V13" s="2196"/>
      <c r="W13" s="2195"/>
      <c r="X13" s="2195">
        <f>ROUND(IF(项目基本情况!B8="出让",SUMPRODUCT(PRODUCT(1+N13:N$36)),SUMPRODUCT(PRODUCT(1+N13:N$35))),4)</f>
        <v>1.5586</v>
      </c>
      <c r="Y13" s="2195">
        <f>ROUND(IF(项目基本情况!B8="出让",SUMPRODUCT(PRODUCT(1+O13:O$36)),SUMPRODUCT(PRODUCT(1+O13:O$35))),4)</f>
        <v>1.3633</v>
      </c>
      <c r="Z13" s="2195">
        <f t="shared" ref="Z13" si="105">Y13</f>
        <v>1.3633</v>
      </c>
      <c r="AA13" s="2195">
        <f>ROUND(IF(项目基本情况!B8="出让",SUMPRODUCT(PRODUCT(1+P13:P$36)),SUMPRODUCT(PRODUCT(1+P13:P$35))),4)</f>
        <v>1.6221000000000001</v>
      </c>
      <c r="AB13" s="2195">
        <f>ROUND(IF(项目基本情况!B8="出让",SUMPRODUCT(PRODUCT(1+Q13:Q$36)),SUMPRODUCT(PRODUCT(1+Q13:Q$35))),4)</f>
        <v>1.3777999999999999</v>
      </c>
      <c r="AC13" s="2195"/>
      <c r="AD13" s="2196">
        <f>ROUND(AVERAGE(I13:I$36)/100,4)</f>
        <v>0.02</v>
      </c>
      <c r="AE13" s="2196">
        <f>ROUND(AVERAGE(J13:J$36)/100,4)</f>
        <v>1.4E-2</v>
      </c>
      <c r="AF13" s="2196">
        <f t="shared" ref="AF13" si="106">AE13</f>
        <v>1.4E-2</v>
      </c>
      <c r="AG13" s="2196">
        <f>ROUND(AVERAGE(K13:K$36)/100,4)</f>
        <v>2.1899999999999999E-2</v>
      </c>
      <c r="AH13" s="2196">
        <f>ROUND(AVERAGE(L13:L$36)/100,4)</f>
        <v>1.4E-2</v>
      </c>
    </row>
    <row r="14" spans="1:34" s="2213" customFormat="1" ht="13.5" thickBot="1">
      <c r="A14" s="2208" t="s">
        <v>2795</v>
      </c>
      <c r="B14" s="2209">
        <f t="shared" ref="B14" si="107">B15*(1+N14)</f>
        <v>477.19997390765138</v>
      </c>
      <c r="C14" s="2209">
        <f t="shared" ref="C14" si="108">C15*(1+O14)</f>
        <v>351.84874729536665</v>
      </c>
      <c r="D14" s="2209">
        <f t="shared" ref="D14" si="109">C14</f>
        <v>351.84874729536665</v>
      </c>
      <c r="E14" s="2209">
        <f t="shared" ref="E14" si="110">E15*(1+P14)</f>
        <v>682.29768951465201</v>
      </c>
      <c r="F14" s="2209">
        <f t="shared" ref="F14" si="111">F15*(1+Q14)</f>
        <v>315.26985675409043</v>
      </c>
      <c r="G14" s="2199">
        <v>2019</v>
      </c>
      <c r="H14" s="2210">
        <v>3</v>
      </c>
      <c r="I14" s="2210">
        <v>0.61</v>
      </c>
      <c r="J14" s="2210">
        <v>0.67</v>
      </c>
      <c r="K14" s="2210">
        <v>0.6</v>
      </c>
      <c r="L14" s="2214">
        <v>1.03</v>
      </c>
      <c r="M14" s="2195"/>
      <c r="N14" s="2211">
        <f t="shared" si="101"/>
        <v>6.0999999999999995E-3</v>
      </c>
      <c r="O14" s="2196">
        <f t="shared" ref="O14" si="112">J14/100</f>
        <v>6.7000000000000002E-3</v>
      </c>
      <c r="P14" s="2196">
        <f t="shared" ref="P14" si="113">K14/100</f>
        <v>6.0000000000000001E-3</v>
      </c>
      <c r="Q14" s="2196">
        <f t="shared" ref="Q14" si="114">L14/100</f>
        <v>1.03E-2</v>
      </c>
      <c r="R14" s="2212"/>
      <c r="S14" s="2211"/>
      <c r="T14" s="2196"/>
      <c r="U14" s="2196"/>
      <c r="V14" s="2196"/>
      <c r="W14" s="2195"/>
      <c r="X14" s="2195">
        <f>ROUND(IF(项目基本情况!B8="出让",SUMPRODUCT(PRODUCT(1+N14:N$36)),SUMPRODUCT(PRODUCT(1+N14:N$35))),4)</f>
        <v>1.5516000000000001</v>
      </c>
      <c r="Y14" s="2195">
        <f>ROUND(IF(项目基本情况!B8="出让",SUMPRODUCT(PRODUCT(1+O14:O$36)),SUMPRODUCT(PRODUCT(1+O14:O$35))),4)</f>
        <v>1.3649</v>
      </c>
      <c r="Z14" s="2195">
        <f t="shared" ref="Z14" si="115">Y14</f>
        <v>1.3649</v>
      </c>
      <c r="AA14" s="2195">
        <f>ROUND(IF(项目基本情况!B8="出让",SUMPRODUCT(PRODUCT(1+P14:P$36)),SUMPRODUCT(PRODUCT(1+P14:P$35))),4)</f>
        <v>1.6133999999999999</v>
      </c>
      <c r="AB14" s="2195">
        <f>ROUND(IF(项目基本情况!B8="出让",SUMPRODUCT(PRODUCT(1+Q14:Q$36)),SUMPRODUCT(PRODUCT(1+Q14:Q$35))),4)</f>
        <v>1.3713</v>
      </c>
      <c r="AC14" s="2195"/>
      <c r="AD14" s="2196">
        <f>ROUND(AVERAGE(I14:I$36)/100,4)</f>
        <v>2.07E-2</v>
      </c>
      <c r="AE14" s="2196">
        <f>ROUND(AVERAGE(J14:J$36)/100,4)</f>
        <v>1.47E-2</v>
      </c>
      <c r="AF14" s="2196">
        <f t="shared" ref="AF14" si="116">AE14</f>
        <v>1.47E-2</v>
      </c>
      <c r="AG14" s="2196">
        <f>ROUND(AVERAGE(K14:K$36)/100,4)</f>
        <v>2.2599999999999999E-2</v>
      </c>
      <c r="AH14" s="2196">
        <f>ROUND(AVERAGE(L14:L$36)/100,4)</f>
        <v>1.44E-2</v>
      </c>
    </row>
    <row r="15" spans="1:34" s="2213" customFormat="1">
      <c r="A15" s="2208" t="s">
        <v>2793</v>
      </c>
      <c r="B15" s="2209">
        <f t="shared" ref="B15" si="117">B16*(1+N15)</f>
        <v>474.30670301923408</v>
      </c>
      <c r="C15" s="2209">
        <f t="shared" ref="C15" si="118">C16*(1+O15)</f>
        <v>349.50705005996491</v>
      </c>
      <c r="D15" s="2209">
        <f t="shared" ref="D15" si="119">C15</f>
        <v>349.50705005996491</v>
      </c>
      <c r="E15" s="2209">
        <f t="shared" ref="E15" si="120">E16*(1+P15)</f>
        <v>678.22831959706957</v>
      </c>
      <c r="F15" s="2209">
        <f t="shared" ref="F15" si="121">F16*(1+Q15)</f>
        <v>312.0556832169558</v>
      </c>
      <c r="G15" s="2199">
        <v>2019</v>
      </c>
      <c r="H15" s="2215">
        <v>2</v>
      </c>
      <c r="I15" s="2215">
        <v>1.53</v>
      </c>
      <c r="J15" s="2215">
        <v>1.01</v>
      </c>
      <c r="K15" s="2215">
        <v>1.62</v>
      </c>
      <c r="L15" s="2216">
        <v>1.25</v>
      </c>
      <c r="M15" s="2195"/>
      <c r="N15" s="2211">
        <f t="shared" si="101"/>
        <v>1.5300000000000001E-2</v>
      </c>
      <c r="O15" s="2196">
        <f t="shared" ref="O15" si="122">J15/100</f>
        <v>1.01E-2</v>
      </c>
      <c r="P15" s="2196">
        <f t="shared" ref="P15" si="123">K15/100</f>
        <v>1.6200000000000003E-2</v>
      </c>
      <c r="Q15" s="2196">
        <f t="shared" ref="Q15" si="124">L15/100</f>
        <v>1.2500000000000001E-2</v>
      </c>
      <c r="R15" s="2212"/>
      <c r="S15" s="2211"/>
      <c r="T15" s="2196"/>
      <c r="U15" s="2196"/>
      <c r="V15" s="2196"/>
      <c r="W15" s="2195"/>
      <c r="X15" s="2195">
        <f>ROUND(IF(项目基本情况!B8="出让",SUMPRODUCT(PRODUCT(1+N15:N$36)),SUMPRODUCT(PRODUCT(1+N15:N$35))),4)</f>
        <v>1.5422</v>
      </c>
      <c r="Y15" s="2195">
        <f>ROUND(IF(项目基本情况!B8="出让",SUMPRODUCT(PRODUCT(1+O15:O$36)),SUMPRODUCT(PRODUCT(1+O15:O$35))),4)</f>
        <v>1.3557999999999999</v>
      </c>
      <c r="Z15" s="2195">
        <f t="shared" ref="Z15" si="125">Y15</f>
        <v>1.3557999999999999</v>
      </c>
      <c r="AA15" s="2195">
        <f>ROUND(IF(项目基本情况!B8="出让",SUMPRODUCT(PRODUCT(1+P15:P$36)),SUMPRODUCT(PRODUCT(1+P15:P$35))),4)</f>
        <v>1.6036999999999999</v>
      </c>
      <c r="AB15" s="2195">
        <f>ROUND(IF(项目基本情况!B8="出让",SUMPRODUCT(PRODUCT(1+Q15:Q$36)),SUMPRODUCT(PRODUCT(1+Q15:Q$35))),4)</f>
        <v>1.3573</v>
      </c>
      <c r="AC15" s="2195"/>
      <c r="AD15" s="2196">
        <f>ROUND(AVERAGE(I15:I$36)/100,4)</f>
        <v>2.1299999999999999E-2</v>
      </c>
      <c r="AE15" s="2196">
        <f>ROUND(AVERAGE(J15:J$36)/100,4)</f>
        <v>1.4999999999999999E-2</v>
      </c>
      <c r="AF15" s="2196">
        <f t="shared" ref="AF15" si="126">AE15</f>
        <v>1.4999999999999999E-2</v>
      </c>
      <c r="AG15" s="2196">
        <f>ROUND(AVERAGE(K15:K$36)/100,4)</f>
        <v>2.3300000000000001E-2</v>
      </c>
      <c r="AH15" s="2196">
        <f>ROUND(AVERAGE(L15:L$36)/100,4)</f>
        <v>1.46E-2</v>
      </c>
    </row>
    <row r="16" spans="1:34" s="2213" customFormat="1" ht="13.5" thickBot="1">
      <c r="A16" s="2208" t="s">
        <v>2791</v>
      </c>
      <c r="B16" s="2209">
        <f t="shared" ref="B16" si="127">B17*(1+N16)</f>
        <v>467.15916775261894</v>
      </c>
      <c r="C16" s="2209">
        <f t="shared" ref="C16" si="128">C17*(1+O16)</f>
        <v>346.01232557169084</v>
      </c>
      <c r="D16" s="2209">
        <f t="shared" ref="D16" si="129">C16</f>
        <v>346.01232557169084</v>
      </c>
      <c r="E16" s="2209">
        <f t="shared" ref="E16" si="130">E17*(1+P16)</f>
        <v>667.41617752122568</v>
      </c>
      <c r="F16" s="2209">
        <f t="shared" ref="F16" si="131">F17*(1+Q16)</f>
        <v>308.20314391798104</v>
      </c>
      <c r="G16" s="2199">
        <v>2019</v>
      </c>
      <c r="H16" s="2210">
        <v>1</v>
      </c>
      <c r="I16" s="2210">
        <v>0.6</v>
      </c>
      <c r="J16" s="2210">
        <v>0.37</v>
      </c>
      <c r="K16" s="2210">
        <v>0.63</v>
      </c>
      <c r="L16" s="2214">
        <v>1.1299999999999999</v>
      </c>
      <c r="M16" s="2195"/>
      <c r="N16" s="2211">
        <f t="shared" si="101"/>
        <v>6.0000000000000001E-3</v>
      </c>
      <c r="O16" s="2196">
        <f t="shared" ref="O16" si="132">J16/100</f>
        <v>3.7000000000000002E-3</v>
      </c>
      <c r="P16" s="2196">
        <f t="shared" ref="P16" si="133">K16/100</f>
        <v>6.3E-3</v>
      </c>
      <c r="Q16" s="2196">
        <f t="shared" ref="Q16" si="134">L16/100</f>
        <v>1.1299999999999999E-2</v>
      </c>
      <c r="R16" s="2212"/>
      <c r="S16" s="2211">
        <f>B16/B17-1</f>
        <v>6.0000000000000053E-3</v>
      </c>
      <c r="T16" s="2196">
        <f t="shared" ref="T16" si="135">C16/C17-1</f>
        <v>3.7000000000000366E-3</v>
      </c>
      <c r="U16" s="2196">
        <f t="shared" ref="U16" si="136">D16/D17-1</f>
        <v>3.7000000000000366E-3</v>
      </c>
      <c r="V16" s="2196">
        <f t="shared" ref="V16" si="137">E16/E17-1</f>
        <v>6.2999999999999723E-3</v>
      </c>
      <c r="W16" s="2195"/>
      <c r="X16" s="2195">
        <f>ROUND(IF(项目基本情况!B8="出让",SUMPRODUCT(PRODUCT(1+N16:N$36)),SUMPRODUCT(PRODUCT(1+N16:N$35))),4)</f>
        <v>1.5189999999999999</v>
      </c>
      <c r="Y16" s="2195">
        <f>ROUND(IF(项目基本情况!B8="出让",SUMPRODUCT(PRODUCT(1+O16:O$36)),SUMPRODUCT(PRODUCT(1+O16:O$35))),4)</f>
        <v>1.3423</v>
      </c>
      <c r="Z16" s="2195">
        <f t="shared" ref="Z16" si="138">Y16</f>
        <v>1.3423</v>
      </c>
      <c r="AA16" s="2195">
        <f>ROUND(IF(项目基本情况!B8="出让",SUMPRODUCT(PRODUCT(1+P16:P$36)),SUMPRODUCT(PRODUCT(1+P16:P$35))),4)</f>
        <v>1.5782</v>
      </c>
      <c r="AB16" s="2195">
        <f>ROUND(IF(项目基本情况!B8="出让",SUMPRODUCT(PRODUCT(1+Q16:Q$36)),SUMPRODUCT(PRODUCT(1+Q16:Q$35))),4)</f>
        <v>1.3405</v>
      </c>
      <c r="AC16" s="2195"/>
      <c r="AD16" s="2196">
        <f>ROUND(AVERAGE(I16:I$36)/100,4)</f>
        <v>2.1600000000000001E-2</v>
      </c>
      <c r="AE16" s="2196">
        <f>ROUND(AVERAGE(J16:J$36)/100,4)</f>
        <v>1.5299999999999999E-2</v>
      </c>
      <c r="AF16" s="2196">
        <f t="shared" ref="AF16" si="139">AE16</f>
        <v>1.5299999999999999E-2</v>
      </c>
      <c r="AG16" s="2196">
        <f>ROUND(AVERAGE(K16:K$36)/100,4)</f>
        <v>2.3699999999999999E-2</v>
      </c>
      <c r="AH16" s="2196">
        <f>ROUND(AVERAGE(L16:L$36)/100,4)</f>
        <v>1.47E-2</v>
      </c>
    </row>
    <row r="17" spans="1:34" s="2213" customFormat="1">
      <c r="A17" s="2208" t="s">
        <v>2794</v>
      </c>
      <c r="B17" s="2217">
        <f t="shared" ref="B17" si="140">B18*(1+N17)</f>
        <v>464.37293017158942</v>
      </c>
      <c r="C17" s="2217">
        <f t="shared" ref="C17" si="141">C18*(1+O17)</f>
        <v>344.73679941385956</v>
      </c>
      <c r="D17" s="2217">
        <f t="shared" ref="D17" si="142">C17</f>
        <v>344.73679941385956</v>
      </c>
      <c r="E17" s="2217">
        <f t="shared" ref="E17" si="143">E18*(1+P17)</f>
        <v>663.2377795103107</v>
      </c>
      <c r="F17" s="2218">
        <f t="shared" ref="F17" si="144">F18*(1+Q17)</f>
        <v>304.75936311478398</v>
      </c>
      <c r="G17" s="3468">
        <v>2018</v>
      </c>
      <c r="H17" s="2215">
        <v>4</v>
      </c>
      <c r="I17" s="2215">
        <v>0.96</v>
      </c>
      <c r="J17" s="2215">
        <v>1.03</v>
      </c>
      <c r="K17" s="2215">
        <v>0.92</v>
      </c>
      <c r="L17" s="2216">
        <v>1.29</v>
      </c>
      <c r="M17" s="2195"/>
      <c r="N17" s="2211">
        <f t="shared" si="101"/>
        <v>9.5999999999999992E-3</v>
      </c>
      <c r="O17" s="2196">
        <f t="shared" ref="O17" si="145">J17/100</f>
        <v>1.03E-2</v>
      </c>
      <c r="P17" s="2196">
        <f t="shared" ref="P17" si="146">K17/100</f>
        <v>9.1999999999999998E-3</v>
      </c>
      <c r="Q17" s="2196">
        <f t="shared" ref="Q17" si="147">L17/100</f>
        <v>1.29E-2</v>
      </c>
      <c r="R17" s="2212"/>
      <c r="S17" s="2211"/>
      <c r="T17" s="2196"/>
      <c r="U17" s="2196"/>
      <c r="V17" s="2196"/>
      <c r="W17" s="2195"/>
      <c r="X17" s="2195">
        <f>ROUND(SUMPRODUCT(PRODUCT(1+N17:N$35)),4)</f>
        <v>1.5099</v>
      </c>
      <c r="Y17" s="2195">
        <f>ROUND(SUMPRODUCT(PRODUCT(1+O17:O$35)),4)</f>
        <v>1.3372999999999999</v>
      </c>
      <c r="Z17" s="2195">
        <f t="shared" ref="Z17" si="148">Y17</f>
        <v>1.3372999999999999</v>
      </c>
      <c r="AA17" s="2195">
        <f>ROUND(SUMPRODUCT(PRODUCT(1+P17:P$35)),4)</f>
        <v>1.5683</v>
      </c>
      <c r="AB17" s="2195">
        <f>ROUND(SUMPRODUCT(PRODUCT(1+Q17:Q$35)),4)</f>
        <v>1.3255999999999999</v>
      </c>
      <c r="AC17" s="2195"/>
      <c r="AD17" s="2196">
        <f>ROUND(AVERAGE(I17:I$36)/100,4)</f>
        <v>2.24E-2</v>
      </c>
      <c r="AE17" s="2196">
        <f>ROUND(AVERAGE(J17:J$36)/100,4)</f>
        <v>1.5800000000000002E-2</v>
      </c>
      <c r="AF17" s="2196">
        <f t="shared" ref="AF17" si="149">AE17</f>
        <v>1.5800000000000002E-2</v>
      </c>
      <c r="AG17" s="2196">
        <f>ROUND(AVERAGE(K17:K$36)/100,4)</f>
        <v>2.4500000000000001E-2</v>
      </c>
      <c r="AH17" s="2196">
        <f>ROUND(AVERAGE(L17:L$36)/100,4)</f>
        <v>1.49E-2</v>
      </c>
    </row>
    <row r="18" spans="1:34" s="2213" customFormat="1" ht="14.45" customHeight="1">
      <c r="A18" s="2208" t="s">
        <v>2789</v>
      </c>
      <c r="B18" s="2209">
        <f t="shared" ref="B18" si="150">B19*(1+N18)</f>
        <v>459.95733971036987</v>
      </c>
      <c r="C18" s="2209">
        <f t="shared" ref="C18" si="151">C19*(1+O18)</f>
        <v>341.22221064422405</v>
      </c>
      <c r="D18" s="2209">
        <f t="shared" ref="D18" si="152">C18</f>
        <v>341.22221064422405</v>
      </c>
      <c r="E18" s="2209">
        <f t="shared" ref="E18" si="153">E19*(1+P18)</f>
        <v>657.19161663724799</v>
      </c>
      <c r="F18" s="2209">
        <f t="shared" ref="F18" si="154">F19*(1+Q18)</f>
        <v>300.87803644464805</v>
      </c>
      <c r="G18" s="3468"/>
      <c r="H18" s="2210">
        <v>3</v>
      </c>
      <c r="I18" s="2210">
        <v>1.51</v>
      </c>
      <c r="J18" s="2210">
        <v>1.41</v>
      </c>
      <c r="K18" s="2210">
        <v>1.52</v>
      </c>
      <c r="L18" s="2214">
        <v>1.74</v>
      </c>
      <c r="M18" s="2195"/>
      <c r="N18" s="2211">
        <f t="shared" si="101"/>
        <v>1.5100000000000001E-2</v>
      </c>
      <c r="O18" s="2196">
        <f t="shared" ref="O18" si="155">J18/100</f>
        <v>1.41E-2</v>
      </c>
      <c r="P18" s="2196">
        <f t="shared" ref="P18" si="156">K18/100</f>
        <v>1.52E-2</v>
      </c>
      <c r="Q18" s="2196">
        <f t="shared" ref="Q18" si="157">L18/100</f>
        <v>1.7399999999999999E-2</v>
      </c>
      <c r="R18" s="2212"/>
      <c r="S18" s="2211"/>
      <c r="T18" s="2196"/>
      <c r="U18" s="2196"/>
      <c r="V18" s="2196"/>
      <c r="W18" s="2195"/>
      <c r="X18" s="2195">
        <f>ROUND(SUMPRODUCT(PRODUCT(1+N18:N$35)),4)</f>
        <v>1.4956</v>
      </c>
      <c r="Y18" s="2195">
        <f>ROUND(SUMPRODUCT(PRODUCT(1+O18:O$35)),4)</f>
        <v>1.3237000000000001</v>
      </c>
      <c r="Z18" s="2195">
        <f t="shared" ref="Z18" si="158">Y18</f>
        <v>1.3237000000000001</v>
      </c>
      <c r="AA18" s="2195">
        <f>ROUND(SUMPRODUCT(PRODUCT(1+P18:P$35)),4)</f>
        <v>1.554</v>
      </c>
      <c r="AB18" s="2195">
        <f>ROUND(SUMPRODUCT(PRODUCT(1+Q18:Q$35)),4)</f>
        <v>1.3087</v>
      </c>
      <c r="AC18" s="2195"/>
      <c r="AD18" s="2196">
        <f>ROUND(AVERAGE(I18:I$36)/100,4)</f>
        <v>2.3099999999999999E-2</v>
      </c>
      <c r="AE18" s="2196">
        <f>ROUND(AVERAGE(J18:J$36)/100,4)</f>
        <v>1.61E-2</v>
      </c>
      <c r="AF18" s="2196">
        <f t="shared" ref="AF18" si="159">AE18</f>
        <v>1.61E-2</v>
      </c>
      <c r="AG18" s="2196">
        <f>ROUND(AVERAGE(K18:K$36)/100,4)</f>
        <v>2.53E-2</v>
      </c>
      <c r="AH18" s="2196">
        <f>ROUND(AVERAGE(L18:L$36)/100,4)</f>
        <v>1.4999999999999999E-2</v>
      </c>
    </row>
    <row r="19" spans="1:34" s="2213" customFormat="1" ht="14.45" customHeight="1">
      <c r="A19" s="2208" t="s">
        <v>2788</v>
      </c>
      <c r="B19" s="2209">
        <f t="shared" ref="B19" si="160">B20*(1+N19)</f>
        <v>453.11529869999993</v>
      </c>
      <c r="C19" s="2209">
        <f t="shared" ref="C19" si="161">C20*(1+O19)</f>
        <v>336.47787264000004</v>
      </c>
      <c r="D19" s="2209">
        <f t="shared" ref="D19" si="162">C19</f>
        <v>336.47787264000004</v>
      </c>
      <c r="E19" s="2209">
        <f t="shared" ref="E19" si="163">E20*(1+P19)</f>
        <v>647.35186823999993</v>
      </c>
      <c r="F19" s="2209">
        <f t="shared" ref="F19" si="164">F20*(1+Q19)</f>
        <v>295.73229452000004</v>
      </c>
      <c r="G19" s="3468"/>
      <c r="H19" s="2219">
        <v>2</v>
      </c>
      <c r="I19" s="2219">
        <v>1.49</v>
      </c>
      <c r="J19" s="2219">
        <v>0.96</v>
      </c>
      <c r="K19" s="2219">
        <v>1.58</v>
      </c>
      <c r="L19" s="2220">
        <v>2.44</v>
      </c>
      <c r="M19" s="2195"/>
      <c r="N19" s="2211">
        <f t="shared" ref="N19" si="165">I19/100</f>
        <v>1.49E-2</v>
      </c>
      <c r="O19" s="2196">
        <f t="shared" ref="O19" si="166">J19/100</f>
        <v>9.5999999999999992E-3</v>
      </c>
      <c r="P19" s="2196">
        <f t="shared" ref="P19" si="167">K19/100</f>
        <v>1.5800000000000002E-2</v>
      </c>
      <c r="Q19" s="2196">
        <f t="shared" ref="Q19" si="168">L19/100</f>
        <v>2.4399999999999998E-2</v>
      </c>
      <c r="R19" s="2212"/>
      <c r="S19" s="2211"/>
      <c r="T19" s="2196"/>
      <c r="U19" s="2196"/>
      <c r="V19" s="2196"/>
      <c r="W19" s="2195"/>
      <c r="X19" s="2195">
        <f>ROUND(SUMPRODUCT(PRODUCT(1+N19:N$35)),4)</f>
        <v>1.4733000000000001</v>
      </c>
      <c r="Y19" s="2195">
        <f>ROUND(SUMPRODUCT(PRODUCT(1+O19:O$35)),4)</f>
        <v>1.3052999999999999</v>
      </c>
      <c r="Z19" s="2195">
        <f t="shared" ref="Z19" si="169">Y19</f>
        <v>1.3052999999999999</v>
      </c>
      <c r="AA19" s="2195">
        <f>ROUND(SUMPRODUCT(PRODUCT(1+P19:P$35)),4)</f>
        <v>1.5306999999999999</v>
      </c>
      <c r="AB19" s="2195">
        <f>ROUND(SUMPRODUCT(PRODUCT(1+Q19:Q$35)),4)</f>
        <v>1.2863</v>
      </c>
      <c r="AC19" s="2195"/>
      <c r="AD19" s="2196">
        <f>ROUND(AVERAGE(I19:I$36)/100,4)</f>
        <v>2.35E-2</v>
      </c>
      <c r="AE19" s="2196">
        <f>ROUND(AVERAGE(J19:J$36)/100,4)</f>
        <v>1.6199999999999999E-2</v>
      </c>
      <c r="AF19" s="2196">
        <f t="shared" ref="AF19" si="170">AE19</f>
        <v>1.6199999999999999E-2</v>
      </c>
      <c r="AG19" s="2196">
        <f>ROUND(AVERAGE(K19:K$36)/100,4)</f>
        <v>2.5899999999999999E-2</v>
      </c>
      <c r="AH19" s="2196">
        <f>ROUND(AVERAGE(L19:L$36)/100,4)</f>
        <v>1.49E-2</v>
      </c>
    </row>
    <row r="20" spans="1:34" s="2213" customFormat="1" ht="15" customHeight="1" thickBot="1">
      <c r="A20" s="2208" t="s">
        <v>2781</v>
      </c>
      <c r="B20" s="2209">
        <f t="shared" ref="B20" si="171">B21*(1+N20)</f>
        <v>446.46299999999997</v>
      </c>
      <c r="C20" s="2209">
        <f t="shared" ref="C20" si="172">C21*(1+O20)</f>
        <v>333.27840000000003</v>
      </c>
      <c r="D20" s="2209">
        <f t="shared" ref="D20" si="173">C20</f>
        <v>333.27840000000003</v>
      </c>
      <c r="E20" s="2209">
        <f t="shared" ref="E20" si="174">E21*(1+P20)</f>
        <v>637.28279999999995</v>
      </c>
      <c r="F20" s="2209">
        <f t="shared" ref="F20" si="175">F21*(1+Q20)</f>
        <v>288.68830000000003</v>
      </c>
      <c r="G20" s="3477"/>
      <c r="H20" s="2210">
        <v>1</v>
      </c>
      <c r="I20" s="2210">
        <v>1.7</v>
      </c>
      <c r="J20" s="2210">
        <v>1.92</v>
      </c>
      <c r="K20" s="2210">
        <v>1.64</v>
      </c>
      <c r="L20" s="2214">
        <v>2.0099999999999998</v>
      </c>
      <c r="M20" s="2195"/>
      <c r="N20" s="2211">
        <f t="shared" ref="N20:N25" si="176">I20/100</f>
        <v>1.7000000000000001E-2</v>
      </c>
      <c r="O20" s="2196">
        <f t="shared" ref="O20" si="177">J20/100</f>
        <v>1.9199999999999998E-2</v>
      </c>
      <c r="P20" s="2196">
        <f t="shared" ref="P20" si="178">K20/100</f>
        <v>1.6399999999999998E-2</v>
      </c>
      <c r="Q20" s="2196">
        <f t="shared" ref="Q20" si="179">L20/100</f>
        <v>2.0099999999999996E-2</v>
      </c>
      <c r="R20" s="2212"/>
      <c r="S20" s="2211">
        <f>B20/B21-1</f>
        <v>1.6999999999999904E-2</v>
      </c>
      <c r="T20" s="2196">
        <f t="shared" ref="T20" si="180">C20/C21-1</f>
        <v>1.9200000000000106E-2</v>
      </c>
      <c r="U20" s="2196">
        <f t="shared" ref="U20" si="181">D20/D21-1</f>
        <v>1.9200000000000106E-2</v>
      </c>
      <c r="V20" s="2196">
        <f t="shared" ref="V20" si="182">E20/E21-1</f>
        <v>1.639999999999997E-2</v>
      </c>
      <c r="W20" s="2195"/>
      <c r="X20" s="2195">
        <f>ROUND(SUMPRODUCT(PRODUCT(1+N20:N$35)),4)</f>
        <v>1.4517</v>
      </c>
      <c r="Y20" s="2195">
        <f>ROUND(SUMPRODUCT(PRODUCT(1+O20:O$35)),4)</f>
        <v>1.2928999999999999</v>
      </c>
      <c r="Z20" s="2195">
        <f t="shared" ref="Z20" si="183">Y20</f>
        <v>1.2928999999999999</v>
      </c>
      <c r="AA20" s="2195">
        <f>ROUND(SUMPRODUCT(PRODUCT(1+P20:P$35)),4)</f>
        <v>1.5068999999999999</v>
      </c>
      <c r="AB20" s="2195">
        <f>ROUND(SUMPRODUCT(PRODUCT(1+Q20:Q$35)),4)</f>
        <v>1.2557</v>
      </c>
      <c r="AC20" s="2195"/>
      <c r="AD20" s="2196">
        <f>ROUND(AVERAGE(I20:I$36)/100,4)</f>
        <v>2.4E-2</v>
      </c>
      <c r="AE20" s="2196">
        <f>ROUND(AVERAGE(J20:J$36)/100,4)</f>
        <v>1.66E-2</v>
      </c>
      <c r="AF20" s="2196">
        <f t="shared" ref="AF20" si="184">AE20</f>
        <v>1.66E-2</v>
      </c>
      <c r="AG20" s="2196">
        <f>ROUND(AVERAGE(K20:K$36)/100,4)</f>
        <v>2.6499999999999999E-2</v>
      </c>
      <c r="AH20" s="2196">
        <f>ROUND(AVERAGE(L20:L$36)/100,4)</f>
        <v>1.43E-2</v>
      </c>
    </row>
    <row r="21" spans="1:34">
      <c r="A21" s="2208" t="s">
        <v>2779</v>
      </c>
      <c r="B21" s="2217">
        <v>439</v>
      </c>
      <c r="C21" s="2217">
        <v>327</v>
      </c>
      <c r="D21" s="2217">
        <f>C21</f>
        <v>327</v>
      </c>
      <c r="E21" s="2217">
        <v>627</v>
      </c>
      <c r="F21" s="2218">
        <v>283</v>
      </c>
      <c r="G21" s="3473">
        <v>2017</v>
      </c>
      <c r="H21" s="2215">
        <v>4</v>
      </c>
      <c r="I21" s="2215">
        <v>1.71</v>
      </c>
      <c r="J21" s="2215">
        <v>1.78</v>
      </c>
      <c r="K21" s="2215">
        <v>1.71</v>
      </c>
      <c r="L21" s="2216">
        <v>1.43</v>
      </c>
      <c r="N21" s="2211">
        <f t="shared" si="176"/>
        <v>1.7100000000000001E-2</v>
      </c>
      <c r="O21" s="2196">
        <f t="shared" ref="O21" si="185">J21/100</f>
        <v>1.78E-2</v>
      </c>
      <c r="P21" s="2196">
        <f t="shared" ref="P21" si="186">K21/100</f>
        <v>1.7100000000000001E-2</v>
      </c>
      <c r="Q21" s="2196">
        <f t="shared" ref="Q21" si="187">L21/100</f>
        <v>1.43E-2</v>
      </c>
      <c r="R21" s="2212"/>
      <c r="S21" s="2221"/>
      <c r="T21" s="2222"/>
      <c r="U21" s="2222"/>
      <c r="V21" s="2222"/>
      <c r="X21" s="2195">
        <f>ROUND(SUMPRODUCT(PRODUCT(1+N21:N$35)),4)</f>
        <v>1.4274</v>
      </c>
      <c r="Y21" s="2195">
        <f>ROUND(SUMPRODUCT(PRODUCT(1+O21:O$35)),4)</f>
        <v>1.2685</v>
      </c>
      <c r="Z21" s="2195">
        <f t="shared" si="0"/>
        <v>1.2685</v>
      </c>
      <c r="AA21" s="2195">
        <f>ROUND(SUMPRODUCT(PRODUCT(1+P21:P$35)),4)</f>
        <v>1.4825999999999999</v>
      </c>
      <c r="AB21" s="2195">
        <f>ROUND(SUMPRODUCT(PRODUCT(1+Q21:Q$35)),4)</f>
        <v>1.2309000000000001</v>
      </c>
      <c r="AD21" s="2196">
        <f>ROUND(AVERAGE(I21:I$36)/100,4)</f>
        <v>2.4500000000000001E-2</v>
      </c>
      <c r="AE21" s="2196">
        <f>ROUND(AVERAGE(J21:J$36)/100,4)</f>
        <v>1.6500000000000001E-2</v>
      </c>
      <c r="AF21" s="2196">
        <f t="shared" si="1"/>
        <v>1.6500000000000001E-2</v>
      </c>
      <c r="AG21" s="2196">
        <f>ROUND(AVERAGE(K21:K$36)/100,4)</f>
        <v>2.7099999999999999E-2</v>
      </c>
      <c r="AH21" s="2196">
        <f>ROUND(AVERAGE(L21:L$36)/100,4)</f>
        <v>1.3899999999999999E-2</v>
      </c>
    </row>
    <row r="22" spans="1:34" s="2213" customFormat="1" ht="14.45" customHeight="1">
      <c r="A22" s="2208" t="s">
        <v>2780</v>
      </c>
      <c r="B22" s="2209">
        <f t="shared" ref="B22:B23" si="188">B23*(1+N22)</f>
        <v>431.80730811680002</v>
      </c>
      <c r="C22" s="2209">
        <f t="shared" ref="C22:C23" si="189">C23*(1+O22)</f>
        <v>320.57880516480003</v>
      </c>
      <c r="D22" s="2209">
        <f t="shared" ref="D22:D23" si="190">C22</f>
        <v>320.57880516480003</v>
      </c>
      <c r="E22" s="2209">
        <f t="shared" ref="E22:E23" si="191">E23*(1+P22)</f>
        <v>615.96110553196797</v>
      </c>
      <c r="F22" s="2209">
        <f t="shared" ref="F22:F23" si="192">F23*(1+Q22)</f>
        <v>279.46777300108801</v>
      </c>
      <c r="G22" s="3468"/>
      <c r="H22" s="2210">
        <v>3</v>
      </c>
      <c r="I22" s="2210">
        <v>2.98</v>
      </c>
      <c r="J22" s="2210">
        <v>2.11</v>
      </c>
      <c r="K22" s="2210">
        <v>3.24</v>
      </c>
      <c r="L22" s="2214">
        <v>1.72</v>
      </c>
      <c r="M22" s="2195"/>
      <c r="N22" s="2211">
        <f t="shared" si="176"/>
        <v>2.98E-2</v>
      </c>
      <c r="O22" s="2196">
        <f t="shared" ref="O22" si="193">J22/100</f>
        <v>2.1099999999999997E-2</v>
      </c>
      <c r="P22" s="2196">
        <f t="shared" ref="P22" si="194">K22/100</f>
        <v>3.2400000000000005E-2</v>
      </c>
      <c r="Q22" s="2196">
        <f t="shared" ref="Q22" si="195">L22/100</f>
        <v>1.72E-2</v>
      </c>
      <c r="R22" s="2212"/>
      <c r="S22" s="2211"/>
      <c r="T22" s="2196"/>
      <c r="U22" s="2196"/>
      <c r="V22" s="2196"/>
      <c r="W22" s="2195"/>
      <c r="X22" s="2195">
        <f>ROUND(SUMPRODUCT(PRODUCT(1+N22:N$35)),4)</f>
        <v>1.4034</v>
      </c>
      <c r="Y22" s="2195">
        <f>ROUND(SUMPRODUCT(PRODUCT(1+O22:O$35)),4)</f>
        <v>1.2463</v>
      </c>
      <c r="Z22" s="2195">
        <f t="shared" si="0"/>
        <v>1.2463</v>
      </c>
      <c r="AA22" s="2195">
        <f>ROUND(SUMPRODUCT(PRODUCT(1+P22:P$35)),4)</f>
        <v>1.4577</v>
      </c>
      <c r="AB22" s="2195">
        <f>ROUND(SUMPRODUCT(PRODUCT(1+Q22:Q$35)),4)</f>
        <v>1.2136</v>
      </c>
      <c r="AC22" s="2195"/>
      <c r="AD22" s="2196">
        <f>ROUND(AVERAGE(I22:I$36)/100,4)</f>
        <v>2.4899999999999999E-2</v>
      </c>
      <c r="AE22" s="2196">
        <f>ROUND(AVERAGE(J22:J$36)/100,4)</f>
        <v>1.6400000000000001E-2</v>
      </c>
      <c r="AF22" s="2196">
        <f t="shared" si="1"/>
        <v>1.6400000000000001E-2</v>
      </c>
      <c r="AG22" s="2196">
        <f>ROUND(AVERAGE(K22:K$36)/100,4)</f>
        <v>2.7799999999999998E-2</v>
      </c>
      <c r="AH22" s="2196">
        <f>ROUND(AVERAGE(L22:L$36)/100,4)</f>
        <v>1.3899999999999999E-2</v>
      </c>
    </row>
    <row r="23" spans="1:34" s="2202" customFormat="1" ht="14.45" customHeight="1">
      <c r="A23" s="2208" t="s">
        <v>1291</v>
      </c>
      <c r="B23" s="2209">
        <f t="shared" si="188"/>
        <v>419.31181600000002</v>
      </c>
      <c r="C23" s="2209">
        <f t="shared" si="189"/>
        <v>313.95436800000004</v>
      </c>
      <c r="D23" s="2209">
        <f t="shared" si="190"/>
        <v>313.95436800000004</v>
      </c>
      <c r="E23" s="2209">
        <f t="shared" si="191"/>
        <v>596.63028431999999</v>
      </c>
      <c r="F23" s="2209">
        <f t="shared" si="192"/>
        <v>274.74220703999998</v>
      </c>
      <c r="G23" s="3468"/>
      <c r="H23" s="2219">
        <v>2</v>
      </c>
      <c r="I23" s="2219">
        <v>3.4</v>
      </c>
      <c r="J23" s="2219">
        <v>2</v>
      </c>
      <c r="K23" s="2219">
        <v>3.82</v>
      </c>
      <c r="L23" s="2220">
        <v>1.68</v>
      </c>
      <c r="M23" s="2195"/>
      <c r="N23" s="2211">
        <f t="shared" si="176"/>
        <v>3.4000000000000002E-2</v>
      </c>
      <c r="O23" s="2196">
        <f t="shared" ref="O23" si="196">J23/100</f>
        <v>0.02</v>
      </c>
      <c r="P23" s="2196">
        <f t="shared" ref="P23" si="197">K23/100</f>
        <v>3.8199999999999998E-2</v>
      </c>
      <c r="Q23" s="2196">
        <f t="shared" ref="Q23" si="198">L23/100</f>
        <v>1.6799999999999999E-2</v>
      </c>
      <c r="R23" s="2212"/>
      <c r="S23" s="2221"/>
      <c r="T23" s="2222"/>
      <c r="U23" s="2222"/>
      <c r="V23" s="2222"/>
      <c r="W23" s="2177"/>
      <c r="X23" s="2195">
        <f>ROUND(SUMPRODUCT(PRODUCT(1+N23:N$35)),4)</f>
        <v>1.3628</v>
      </c>
      <c r="Y23" s="2195">
        <f>ROUND(SUMPRODUCT(PRODUCT(1+O23:O$35)),4)</f>
        <v>1.2205999999999999</v>
      </c>
      <c r="Z23" s="2195">
        <f t="shared" si="0"/>
        <v>1.2205999999999999</v>
      </c>
      <c r="AA23" s="2195">
        <f>ROUND(SUMPRODUCT(PRODUCT(1+P23:P$35)),4)</f>
        <v>1.4118999999999999</v>
      </c>
      <c r="AB23" s="2195">
        <f>ROUND(SUMPRODUCT(PRODUCT(1+Q23:Q$35)),4)</f>
        <v>1.1930000000000001</v>
      </c>
      <c r="AC23" s="2177"/>
      <c r="AD23" s="2196">
        <f>ROUND(AVERAGE(I23:I$36)/100,4)</f>
        <v>2.46E-2</v>
      </c>
      <c r="AE23" s="2196">
        <f>ROUND(AVERAGE(J23:J$36)/100,4)</f>
        <v>1.6E-2</v>
      </c>
      <c r="AF23" s="2196">
        <f t="shared" si="1"/>
        <v>1.6E-2</v>
      </c>
      <c r="AG23" s="2196">
        <f>ROUND(AVERAGE(K23:K$36)/100,4)</f>
        <v>2.75E-2</v>
      </c>
      <c r="AH23" s="2196">
        <f>ROUND(AVERAGE(L23:L$36)/100,4)</f>
        <v>1.37E-2</v>
      </c>
    </row>
    <row r="24" spans="1:34" s="2213" customFormat="1" ht="15" customHeight="1" thickBot="1">
      <c r="A24" s="2208" t="s">
        <v>1069</v>
      </c>
      <c r="B24" s="2209">
        <f>B25*(1+N24)</f>
        <v>405.524</v>
      </c>
      <c r="C24" s="2209">
        <f>C25*(1+O24)</f>
        <v>307.79840000000002</v>
      </c>
      <c r="D24" s="2209">
        <f>C24</f>
        <v>307.79840000000002</v>
      </c>
      <c r="E24" s="2209">
        <f>E25*(1+P24)</f>
        <v>574.67759999999998</v>
      </c>
      <c r="F24" s="2209">
        <f>F25*(1+Q24)</f>
        <v>270.20280000000002</v>
      </c>
      <c r="G24" s="3477"/>
      <c r="H24" s="2210">
        <v>1</v>
      </c>
      <c r="I24" s="2210">
        <v>3.45</v>
      </c>
      <c r="J24" s="2210">
        <v>1.92</v>
      </c>
      <c r="K24" s="2210">
        <v>3.92</v>
      </c>
      <c r="L24" s="2214">
        <v>1.58</v>
      </c>
      <c r="M24" s="2195"/>
      <c r="N24" s="2211">
        <f t="shared" si="176"/>
        <v>3.4500000000000003E-2</v>
      </c>
      <c r="O24" s="2196">
        <f t="shared" ref="O24:Q39" si="199">J24/100</f>
        <v>1.9199999999999998E-2</v>
      </c>
      <c r="P24" s="2196">
        <f t="shared" si="199"/>
        <v>3.9199999999999999E-2</v>
      </c>
      <c r="Q24" s="2196">
        <f t="shared" si="199"/>
        <v>1.5800000000000002E-2</v>
      </c>
      <c r="R24" s="2212"/>
      <c r="S24" s="2211">
        <f>B24/B25-1</f>
        <v>3.4499999999999975E-2</v>
      </c>
      <c r="T24" s="2196">
        <f t="shared" ref="T24:V24" si="200">C24/C25-1</f>
        <v>1.9200000000000106E-2</v>
      </c>
      <c r="U24" s="2196">
        <f t="shared" si="200"/>
        <v>1.9200000000000106E-2</v>
      </c>
      <c r="V24" s="2196">
        <f t="shared" si="200"/>
        <v>3.9199999999999902E-2</v>
      </c>
      <c r="W24" s="2195"/>
      <c r="X24" s="2195">
        <f>ROUND(SUMPRODUCT(PRODUCT(1+N24:N$35)),4)</f>
        <v>1.3180000000000001</v>
      </c>
      <c r="Y24" s="2195">
        <f>ROUND(SUMPRODUCT(PRODUCT(1+O24:O$35)),4)</f>
        <v>1.1966000000000001</v>
      </c>
      <c r="Z24" s="2195">
        <f t="shared" si="0"/>
        <v>1.1966000000000001</v>
      </c>
      <c r="AA24" s="2195">
        <f>ROUND(SUMPRODUCT(PRODUCT(1+P24:P$35)),4)</f>
        <v>1.36</v>
      </c>
      <c r="AB24" s="2195">
        <f>ROUND(SUMPRODUCT(PRODUCT(1+Q24:Q$35)),4)</f>
        <v>1.1733</v>
      </c>
      <c r="AC24" s="2195"/>
      <c r="AD24" s="2196">
        <f>ROUND(AVERAGE(I24:I$36)/100,4)</f>
        <v>2.3900000000000001E-2</v>
      </c>
      <c r="AE24" s="2196">
        <f>ROUND(AVERAGE(J24:J$36)/100,4)</f>
        <v>1.5699999999999999E-2</v>
      </c>
      <c r="AF24" s="2196">
        <f t="shared" si="1"/>
        <v>1.5699999999999999E-2</v>
      </c>
      <c r="AG24" s="2196">
        <f>ROUND(AVERAGE(K24:K$36)/100,4)</f>
        <v>2.6599999999999999E-2</v>
      </c>
      <c r="AH24" s="2196">
        <f>ROUND(AVERAGE(L24:L$36)/100,4)</f>
        <v>1.34E-2</v>
      </c>
    </row>
    <row r="25" spans="1:34">
      <c r="A25" s="2208" t="s">
        <v>154</v>
      </c>
      <c r="B25" s="2217">
        <v>392</v>
      </c>
      <c r="C25" s="2217">
        <v>302</v>
      </c>
      <c r="D25" s="2217">
        <f>C25</f>
        <v>302</v>
      </c>
      <c r="E25" s="2217">
        <v>553</v>
      </c>
      <c r="F25" s="2218">
        <v>266</v>
      </c>
      <c r="G25" s="3473">
        <v>2016</v>
      </c>
      <c r="H25" s="2215">
        <v>4</v>
      </c>
      <c r="I25" s="2215">
        <v>4.5599999999999996</v>
      </c>
      <c r="J25" s="2215">
        <v>2.15</v>
      </c>
      <c r="K25" s="2215">
        <v>5.32</v>
      </c>
      <c r="L25" s="2216">
        <v>1.57</v>
      </c>
      <c r="N25" s="2211">
        <f t="shared" si="176"/>
        <v>4.5599999999999995E-2</v>
      </c>
      <c r="O25" s="2196">
        <f t="shared" si="199"/>
        <v>2.1499999999999998E-2</v>
      </c>
      <c r="P25" s="2196">
        <f t="shared" si="199"/>
        <v>5.3200000000000004E-2</v>
      </c>
      <c r="Q25" s="2196">
        <f t="shared" si="199"/>
        <v>1.5700000000000002E-2</v>
      </c>
      <c r="R25" s="2212"/>
      <c r="S25" s="2221"/>
      <c r="T25" s="2222"/>
      <c r="U25" s="2222"/>
      <c r="V25" s="2222"/>
      <c r="X25" s="2195">
        <f>ROUND(SUMPRODUCT(PRODUCT(1+N25:N$35)),4)</f>
        <v>1.274</v>
      </c>
      <c r="Y25" s="2195">
        <f>ROUND(SUMPRODUCT(PRODUCT(1+O25:O$35)),4)</f>
        <v>1.1740999999999999</v>
      </c>
      <c r="Z25" s="2195">
        <f t="shared" si="0"/>
        <v>1.1740999999999999</v>
      </c>
      <c r="AA25" s="2195">
        <f>ROUND(SUMPRODUCT(PRODUCT(1+P25:P$35)),4)</f>
        <v>1.3087</v>
      </c>
      <c r="AB25" s="2195">
        <f>ROUND(SUMPRODUCT(PRODUCT(1+Q25:Q$35)),4)</f>
        <v>1.1551</v>
      </c>
      <c r="AD25" s="2196">
        <f>ROUND(AVERAGE(I25:I$36)/100,4)</f>
        <v>2.3E-2</v>
      </c>
      <c r="AE25" s="2196">
        <f>ROUND(AVERAGE(J25:J$36)/100,4)</f>
        <v>1.55E-2</v>
      </c>
      <c r="AF25" s="2196">
        <f t="shared" si="1"/>
        <v>1.55E-2</v>
      </c>
      <c r="AG25" s="2196">
        <f>ROUND(AVERAGE(K25:K$36)/100,4)</f>
        <v>2.5600000000000001E-2</v>
      </c>
      <c r="AH25" s="2196">
        <f>ROUND(AVERAGE(L25:L$36)/100,4)</f>
        <v>1.32E-2</v>
      </c>
    </row>
    <row r="26" spans="1:34">
      <c r="A26" s="2208" t="s">
        <v>153</v>
      </c>
      <c r="B26" s="2209">
        <f t="shared" ref="B26:C28" si="201">B25/(1+N25)</f>
        <v>374.90436113236416</v>
      </c>
      <c r="C26" s="2209">
        <f t="shared" si="201"/>
        <v>295.64366128242779</v>
      </c>
      <c r="D26" s="2209">
        <f t="shared" ref="D26:D85" si="202">C26</f>
        <v>295.64366128242779</v>
      </c>
      <c r="E26" s="2209">
        <f t="shared" ref="E26:F28" si="203">E25/(1+P25)</f>
        <v>525.06646410938095</v>
      </c>
      <c r="F26" s="2209">
        <f t="shared" si="203"/>
        <v>261.88835286009646</v>
      </c>
      <c r="G26" s="3468"/>
      <c r="H26" s="2210">
        <v>3</v>
      </c>
      <c r="I26" s="2210">
        <v>4.12</v>
      </c>
      <c r="J26" s="2210">
        <v>2</v>
      </c>
      <c r="K26" s="2210">
        <v>4.79</v>
      </c>
      <c r="L26" s="2214">
        <v>1.97</v>
      </c>
      <c r="N26" s="2211">
        <f t="shared" ref="N26:Q60" si="204">I26/100</f>
        <v>4.1200000000000001E-2</v>
      </c>
      <c r="O26" s="2196">
        <f t="shared" si="199"/>
        <v>0.02</v>
      </c>
      <c r="P26" s="2196">
        <f t="shared" si="199"/>
        <v>4.7899999999999998E-2</v>
      </c>
      <c r="Q26" s="2196">
        <f t="shared" si="199"/>
        <v>1.9699999999999999E-2</v>
      </c>
      <c r="R26" s="2212"/>
      <c r="S26" s="2211"/>
      <c r="T26" s="2196"/>
      <c r="U26" s="2196"/>
      <c r="V26" s="2196"/>
      <c r="X26" s="2195">
        <f>ROUND(SUMPRODUCT(PRODUCT(1+N26:N$35)),4)</f>
        <v>1.2184999999999999</v>
      </c>
      <c r="Y26" s="2195">
        <f>ROUND(SUMPRODUCT(PRODUCT(1+O26:O$35)),4)</f>
        <v>1.1494</v>
      </c>
      <c r="Z26" s="2195">
        <f t="shared" si="0"/>
        <v>1.1494</v>
      </c>
      <c r="AA26" s="2195">
        <f>ROUND(SUMPRODUCT(PRODUCT(1+P26:P$35)),4)</f>
        <v>1.2425999999999999</v>
      </c>
      <c r="AB26" s="2195">
        <f>ROUND(SUMPRODUCT(PRODUCT(1+Q26:Q$35)),4)</f>
        <v>1.1372</v>
      </c>
      <c r="AD26" s="2196">
        <f>ROUND(AVERAGE(I26:I$36)/100,4)</f>
        <v>2.0899999999999998E-2</v>
      </c>
      <c r="AE26" s="2196">
        <f>ROUND(AVERAGE(J26:J$36)/100,4)</f>
        <v>1.49E-2</v>
      </c>
      <c r="AF26" s="2196">
        <f t="shared" si="1"/>
        <v>1.49E-2</v>
      </c>
      <c r="AG26" s="2196">
        <f>ROUND(AVERAGE(K26:K$36)/100,4)</f>
        <v>2.3099999999999999E-2</v>
      </c>
      <c r="AH26" s="2196">
        <f>ROUND(AVERAGE(L26:L$36)/100,4)</f>
        <v>1.2999999999999999E-2</v>
      </c>
    </row>
    <row r="27" spans="1:34">
      <c r="A27" s="2208" t="s">
        <v>143</v>
      </c>
      <c r="B27" s="2209">
        <f t="shared" si="201"/>
        <v>360.06949782209392</v>
      </c>
      <c r="C27" s="2209">
        <f t="shared" si="201"/>
        <v>289.84672674747821</v>
      </c>
      <c r="D27" s="2209">
        <f t="shared" si="202"/>
        <v>289.84672674747821</v>
      </c>
      <c r="E27" s="2209">
        <f t="shared" si="203"/>
        <v>501.06543001181495</v>
      </c>
      <c r="F27" s="2209">
        <f t="shared" si="203"/>
        <v>256.82882500744967</v>
      </c>
      <c r="G27" s="3468"/>
      <c r="H27" s="2219">
        <v>2</v>
      </c>
      <c r="I27" s="2219">
        <v>3.85</v>
      </c>
      <c r="J27" s="2219">
        <v>1.95</v>
      </c>
      <c r="K27" s="2219">
        <v>4.4800000000000004</v>
      </c>
      <c r="L27" s="2220">
        <v>1.41</v>
      </c>
      <c r="N27" s="2211">
        <f t="shared" si="204"/>
        <v>3.85E-2</v>
      </c>
      <c r="O27" s="2196">
        <f t="shared" si="199"/>
        <v>1.95E-2</v>
      </c>
      <c r="P27" s="2196">
        <f t="shared" si="199"/>
        <v>4.4800000000000006E-2</v>
      </c>
      <c r="Q27" s="2196">
        <f t="shared" si="199"/>
        <v>1.41E-2</v>
      </c>
      <c r="R27" s="2212"/>
      <c r="S27" s="2211"/>
      <c r="T27" s="2196"/>
      <c r="U27" s="2196"/>
      <c r="V27" s="2196"/>
      <c r="X27" s="2195">
        <f>ROUND(SUMPRODUCT(PRODUCT(1+N27:N$35)),4)</f>
        <v>1.1702999999999999</v>
      </c>
      <c r="Y27" s="2195">
        <f>ROUND(SUMPRODUCT(PRODUCT(1+O27:O$35)),4)</f>
        <v>1.1269</v>
      </c>
      <c r="Z27" s="2195">
        <f t="shared" si="0"/>
        <v>1.1269</v>
      </c>
      <c r="AA27" s="2195">
        <f>ROUND(SUMPRODUCT(PRODUCT(1+P27:P$35)),4)</f>
        <v>1.1858</v>
      </c>
      <c r="AB27" s="2195">
        <f>ROUND(SUMPRODUCT(PRODUCT(1+Q27:Q$35)),4)</f>
        <v>1.1152</v>
      </c>
      <c r="AD27" s="2196">
        <f>ROUND(AVERAGE(I27:I$36)/100,4)</f>
        <v>1.89E-2</v>
      </c>
      <c r="AE27" s="2196">
        <f>ROUND(AVERAGE(J27:J$36)/100,4)</f>
        <v>1.44E-2</v>
      </c>
      <c r="AF27" s="2196">
        <f t="shared" si="1"/>
        <v>1.44E-2</v>
      </c>
      <c r="AG27" s="2196">
        <f>ROUND(AVERAGE(K27:K$36)/100,4)</f>
        <v>2.06E-2</v>
      </c>
      <c r="AH27" s="2196">
        <f>ROUND(AVERAGE(L27:L$36)/100,4)</f>
        <v>1.23E-2</v>
      </c>
    </row>
    <row r="28" spans="1:34" ht="13.5" thickBot="1">
      <c r="A28" s="2208" t="s">
        <v>152</v>
      </c>
      <c r="B28" s="2209">
        <f t="shared" si="201"/>
        <v>346.720748986128</v>
      </c>
      <c r="C28" s="2209">
        <f t="shared" si="201"/>
        <v>284.30282172386285</v>
      </c>
      <c r="D28" s="2209">
        <f t="shared" si="202"/>
        <v>284.30282172386285</v>
      </c>
      <c r="E28" s="2209">
        <f t="shared" si="203"/>
        <v>479.58023546306947</v>
      </c>
      <c r="F28" s="2209">
        <f t="shared" si="203"/>
        <v>253.25788877571213</v>
      </c>
      <c r="G28" s="3469"/>
      <c r="H28" s="2210">
        <v>1</v>
      </c>
      <c r="I28" s="2210">
        <v>4.09</v>
      </c>
      <c r="J28" s="2210">
        <v>2.93</v>
      </c>
      <c r="K28" s="2210">
        <v>4.54</v>
      </c>
      <c r="L28" s="2214">
        <v>1.48</v>
      </c>
      <c r="N28" s="2211">
        <f t="shared" si="204"/>
        <v>4.0899999999999999E-2</v>
      </c>
      <c r="O28" s="2196">
        <f t="shared" si="199"/>
        <v>2.9300000000000003E-2</v>
      </c>
      <c r="P28" s="2196">
        <f t="shared" si="199"/>
        <v>4.5400000000000003E-2</v>
      </c>
      <c r="Q28" s="2196">
        <f t="shared" si="199"/>
        <v>1.4800000000000001E-2</v>
      </c>
      <c r="R28" s="2212"/>
      <c r="S28" s="2223">
        <f>B28/B29-1</f>
        <v>4.1203450408792808E-2</v>
      </c>
      <c r="T28" s="2224">
        <f>C28/C29-1</f>
        <v>2.6363977342465095E-2</v>
      </c>
      <c r="U28" s="2224">
        <f>E28/E29-1</f>
        <v>4.4837114298626357E-2</v>
      </c>
      <c r="V28" s="2224">
        <f>F28/F29-1</f>
        <v>1.7099954922538574E-2</v>
      </c>
      <c r="X28" s="2195">
        <f>ROUND(SUMPRODUCT(PRODUCT(1+N28:N$35)),4)</f>
        <v>1.1269</v>
      </c>
      <c r="Y28" s="2195">
        <f>ROUND(SUMPRODUCT(PRODUCT(1+O28:O$35)),4)</f>
        <v>1.1052999999999999</v>
      </c>
      <c r="Z28" s="2195">
        <f t="shared" si="0"/>
        <v>1.1052999999999999</v>
      </c>
      <c r="AA28" s="2195">
        <f>ROUND(SUMPRODUCT(PRODUCT(1+P28:P$35)),4)</f>
        <v>1.1349</v>
      </c>
      <c r="AB28" s="2195">
        <f>ROUND(SUMPRODUCT(PRODUCT(1+Q28:Q$35)),4)</f>
        <v>1.0996999999999999</v>
      </c>
      <c r="AD28" s="2196">
        <f>ROUND(AVERAGE(I28:I$36)/100,4)</f>
        <v>1.67E-2</v>
      </c>
      <c r="AE28" s="2196">
        <f>ROUND(AVERAGE(J28:J$36)/100,4)</f>
        <v>1.38E-2</v>
      </c>
      <c r="AF28" s="2196">
        <f t="shared" si="1"/>
        <v>1.38E-2</v>
      </c>
      <c r="AG28" s="2196">
        <f>ROUND(AVERAGE(K28:K$36)/100,4)</f>
        <v>1.7899999999999999E-2</v>
      </c>
      <c r="AH28" s="2196">
        <f>ROUND(AVERAGE(L28:L$36)/100,4)</f>
        <v>1.21E-2</v>
      </c>
    </row>
    <row r="29" spans="1:34" ht="13.5" thickBot="1">
      <c r="A29" s="2208" t="s">
        <v>151</v>
      </c>
      <c r="B29" s="2217">
        <v>333</v>
      </c>
      <c r="C29" s="2217">
        <v>277</v>
      </c>
      <c r="D29" s="2217">
        <f t="shared" si="202"/>
        <v>277</v>
      </c>
      <c r="E29" s="2217">
        <v>459</v>
      </c>
      <c r="F29" s="2218">
        <v>249</v>
      </c>
      <c r="G29" s="3467">
        <v>2015</v>
      </c>
      <c r="H29" s="2225">
        <v>4</v>
      </c>
      <c r="I29" s="2225">
        <v>1.63</v>
      </c>
      <c r="J29" s="2225">
        <v>1.1100000000000001</v>
      </c>
      <c r="K29" s="2225">
        <v>1.77</v>
      </c>
      <c r="L29" s="2226">
        <v>1.89</v>
      </c>
      <c r="N29" s="2227">
        <f t="shared" si="204"/>
        <v>1.6299999999999999E-2</v>
      </c>
      <c r="O29" s="2228">
        <f t="shared" si="199"/>
        <v>1.11E-2</v>
      </c>
      <c r="P29" s="2228">
        <f t="shared" si="199"/>
        <v>1.77E-2</v>
      </c>
      <c r="Q29" s="2228">
        <f t="shared" si="199"/>
        <v>1.89E-2</v>
      </c>
      <c r="R29" s="2212"/>
      <c r="X29" s="2195">
        <f>ROUND(SUMPRODUCT(PRODUCT(1+N29:N$35)),4)</f>
        <v>1.0826</v>
      </c>
      <c r="Y29" s="2195">
        <f>ROUND(SUMPRODUCT(PRODUCT(1+O29:O$35)),4)</f>
        <v>1.0738000000000001</v>
      </c>
      <c r="Z29" s="2195">
        <f t="shared" si="0"/>
        <v>1.0738000000000001</v>
      </c>
      <c r="AA29" s="2195">
        <f>ROUND(SUMPRODUCT(PRODUCT(1+P29:P$35)),4)</f>
        <v>1.0855999999999999</v>
      </c>
      <c r="AB29" s="2195">
        <f>ROUND(SUMPRODUCT(PRODUCT(1+Q29:Q$35)),4)</f>
        <v>1.0837000000000001</v>
      </c>
      <c r="AD29" s="2196">
        <f>ROUND(AVERAGE(I29:I$36)/100,4)</f>
        <v>1.37E-2</v>
      </c>
      <c r="AE29" s="2196">
        <f>ROUND(AVERAGE(J29:J$36)/100,4)</f>
        <v>1.1900000000000001E-2</v>
      </c>
      <c r="AF29" s="2196">
        <f t="shared" si="1"/>
        <v>1.1900000000000001E-2</v>
      </c>
      <c r="AG29" s="2196">
        <f>ROUND(AVERAGE(K29:K$36)/100,4)</f>
        <v>1.4500000000000001E-2</v>
      </c>
      <c r="AH29" s="2196">
        <f>ROUND(AVERAGE(L29:L$36)/100,4)</f>
        <v>1.18E-2</v>
      </c>
    </row>
    <row r="30" spans="1:34">
      <c r="A30" s="2208" t="s">
        <v>150</v>
      </c>
      <c r="B30" s="2209">
        <f t="shared" ref="B30:C32" si="205">B29/(1+N29)</f>
        <v>327.65915576109415</v>
      </c>
      <c r="C30" s="2209">
        <f t="shared" si="205"/>
        <v>273.95905449510434</v>
      </c>
      <c r="D30" s="2209">
        <f t="shared" si="202"/>
        <v>273.95905449510434</v>
      </c>
      <c r="E30" s="2209">
        <f t="shared" ref="E30:F32" si="206">E29/(1+P29)</f>
        <v>451.01699911565294</v>
      </c>
      <c r="F30" s="2209">
        <f t="shared" si="206"/>
        <v>244.38119540681129</v>
      </c>
      <c r="G30" s="3468"/>
      <c r="H30" s="2230">
        <v>3</v>
      </c>
      <c r="I30" s="2230">
        <v>1.65</v>
      </c>
      <c r="J30" s="2230">
        <v>0.92</v>
      </c>
      <c r="K30" s="2230">
        <v>1.88</v>
      </c>
      <c r="L30" s="2231">
        <v>1.26</v>
      </c>
      <c r="N30" s="2211">
        <f t="shared" si="204"/>
        <v>1.6500000000000001E-2</v>
      </c>
      <c r="O30" s="2196">
        <f t="shared" si="199"/>
        <v>9.1999999999999998E-3</v>
      </c>
      <c r="P30" s="2196">
        <f t="shared" si="199"/>
        <v>1.8799999999999997E-2</v>
      </c>
      <c r="Q30" s="2196">
        <f t="shared" si="199"/>
        <v>1.26E-2</v>
      </c>
      <c r="R30" s="2212"/>
      <c r="S30" s="2211"/>
      <c r="T30" s="2196"/>
      <c r="U30" s="2196"/>
      <c r="V30" s="2196"/>
      <c r="X30" s="2195">
        <f>ROUND(SUMPRODUCT(PRODUCT(1+N30:N$35)),4)</f>
        <v>1.0651999999999999</v>
      </c>
      <c r="Y30" s="2195">
        <f>ROUND(SUMPRODUCT(PRODUCT(1+O30:O$35)),4)</f>
        <v>1.0621</v>
      </c>
      <c r="Z30" s="2195">
        <f t="shared" si="0"/>
        <v>1.0621</v>
      </c>
      <c r="AA30" s="2195">
        <f>ROUND(SUMPRODUCT(PRODUCT(1+P30:P$35)),4)</f>
        <v>1.0668</v>
      </c>
      <c r="AB30" s="2195">
        <f>ROUND(SUMPRODUCT(PRODUCT(1+Q30:Q$35)),4)</f>
        <v>1.0636000000000001</v>
      </c>
      <c r="AD30" s="2196">
        <f>ROUND(AVERAGE(I30:I$36)/100,4)</f>
        <v>1.3299999999999999E-2</v>
      </c>
      <c r="AE30" s="2196">
        <f>ROUND(AVERAGE(J30:J$36)/100,4)</f>
        <v>1.2E-2</v>
      </c>
      <c r="AF30" s="2196">
        <f t="shared" si="1"/>
        <v>1.2E-2</v>
      </c>
      <c r="AG30" s="2196">
        <f>ROUND(AVERAGE(K30:K$36)/100,4)</f>
        <v>1.4E-2</v>
      </c>
      <c r="AH30" s="2196">
        <f>ROUND(AVERAGE(L30:L$36)/100,4)</f>
        <v>1.0800000000000001E-2</v>
      </c>
    </row>
    <row r="31" spans="1:34">
      <c r="A31" s="2208" t="s">
        <v>149</v>
      </c>
      <c r="B31" s="2209">
        <f t="shared" si="205"/>
        <v>322.34053690220776</v>
      </c>
      <c r="C31" s="2209">
        <f t="shared" si="205"/>
        <v>271.46160770422546</v>
      </c>
      <c r="D31" s="2209">
        <f t="shared" si="202"/>
        <v>271.46160770422546</v>
      </c>
      <c r="E31" s="2209">
        <f t="shared" si="206"/>
        <v>442.69434542172456</v>
      </c>
      <c r="F31" s="2209">
        <f t="shared" si="206"/>
        <v>241.34030753190925</v>
      </c>
      <c r="G31" s="3468"/>
      <c r="H31" s="2219">
        <v>2</v>
      </c>
      <c r="I31" s="2219">
        <v>0.77</v>
      </c>
      <c r="J31" s="2219">
        <v>0.69</v>
      </c>
      <c r="K31" s="2219">
        <v>0.8</v>
      </c>
      <c r="L31" s="2220">
        <v>0.88</v>
      </c>
      <c r="N31" s="2211">
        <f t="shared" si="204"/>
        <v>7.7000000000000002E-3</v>
      </c>
      <c r="O31" s="2196">
        <f t="shared" si="199"/>
        <v>6.8999999999999999E-3</v>
      </c>
      <c r="P31" s="2196">
        <f t="shared" si="199"/>
        <v>8.0000000000000002E-3</v>
      </c>
      <c r="Q31" s="2196">
        <f t="shared" si="199"/>
        <v>8.8000000000000005E-3</v>
      </c>
      <c r="R31" s="2212"/>
      <c r="S31" s="2211"/>
      <c r="T31" s="2196"/>
      <c r="U31" s="2196"/>
      <c r="V31" s="2196"/>
      <c r="X31" s="2195">
        <f>ROUND(SUMPRODUCT(PRODUCT(1+N31:N$35)),4)</f>
        <v>1.048</v>
      </c>
      <c r="Y31" s="2195">
        <f>ROUND(SUMPRODUCT(PRODUCT(1+O31:O$35)),4)</f>
        <v>1.0524</v>
      </c>
      <c r="Z31" s="2195">
        <f t="shared" si="0"/>
        <v>1.0524</v>
      </c>
      <c r="AA31" s="2195">
        <f>ROUND(SUMPRODUCT(PRODUCT(1+P31:P$35)),4)</f>
        <v>1.0470999999999999</v>
      </c>
      <c r="AB31" s="2195">
        <f>ROUND(SUMPRODUCT(PRODUCT(1+Q31:Q$35)),4)</f>
        <v>1.0504</v>
      </c>
      <c r="AD31" s="2196">
        <f>ROUND(AVERAGE(I31:I$36)/100,4)</f>
        <v>1.2800000000000001E-2</v>
      </c>
      <c r="AE31" s="2196">
        <f>ROUND(AVERAGE(J31:J$36)/100,4)</f>
        <v>1.2500000000000001E-2</v>
      </c>
      <c r="AF31" s="2196">
        <f t="shared" si="1"/>
        <v>1.2500000000000001E-2</v>
      </c>
      <c r="AG31" s="2196">
        <f>ROUND(AVERAGE(K31:K$36)/100,4)</f>
        <v>1.32E-2</v>
      </c>
      <c r="AH31" s="2196">
        <f>ROUND(AVERAGE(L31:L$36)/100,4)</f>
        <v>1.0500000000000001E-2</v>
      </c>
    </row>
    <row r="32" spans="1:34">
      <c r="A32" s="2208" t="s">
        <v>148</v>
      </c>
      <c r="B32" s="2209">
        <f t="shared" si="205"/>
        <v>319.87748030386797</v>
      </c>
      <c r="C32" s="2209">
        <f t="shared" si="205"/>
        <v>269.60135833173649</v>
      </c>
      <c r="D32" s="2209">
        <f t="shared" si="202"/>
        <v>269.60135833173649</v>
      </c>
      <c r="E32" s="2209">
        <f t="shared" si="206"/>
        <v>439.18089823583784</v>
      </c>
      <c r="F32" s="2209">
        <f t="shared" si="206"/>
        <v>239.23503918706311</v>
      </c>
      <c r="G32" s="3469"/>
      <c r="H32" s="2210">
        <v>1</v>
      </c>
      <c r="I32" s="2210">
        <v>0.51</v>
      </c>
      <c r="J32" s="2210">
        <v>0.54</v>
      </c>
      <c r="K32" s="2210">
        <v>0.48</v>
      </c>
      <c r="L32" s="2214">
        <v>0.93</v>
      </c>
      <c r="N32" s="2223">
        <f t="shared" si="204"/>
        <v>5.1000000000000004E-3</v>
      </c>
      <c r="O32" s="2224">
        <f t="shared" si="199"/>
        <v>5.4000000000000003E-3</v>
      </c>
      <c r="P32" s="2224">
        <f t="shared" si="199"/>
        <v>4.7999999999999996E-3</v>
      </c>
      <c r="Q32" s="2224">
        <f t="shared" si="199"/>
        <v>9.300000000000001E-3</v>
      </c>
      <c r="R32" s="2212"/>
      <c r="S32" s="2223">
        <f>B32/B33-1</f>
        <v>5.9040261127922822E-3</v>
      </c>
      <c r="T32" s="2224">
        <f>C32/C33-1</f>
        <v>5.9752176557332781E-3</v>
      </c>
      <c r="U32" s="2224">
        <f>E32/E33-1</f>
        <v>4.9906138119859556E-3</v>
      </c>
      <c r="V32" s="2224">
        <f>F32/F33-1</f>
        <v>9.4305450930933787E-3</v>
      </c>
      <c r="X32" s="2195">
        <f>ROUND(SUMPRODUCT(PRODUCT(1+N32:N$35)),4)</f>
        <v>1.0399</v>
      </c>
      <c r="Y32" s="2195">
        <f>ROUND(SUMPRODUCT(PRODUCT(1+O32:O$35)),4)</f>
        <v>1.0451999999999999</v>
      </c>
      <c r="Z32" s="2195">
        <f t="shared" si="0"/>
        <v>1.0451999999999999</v>
      </c>
      <c r="AA32" s="2195">
        <f>ROUND(SUMPRODUCT(PRODUCT(1+P32:P$35)),4)</f>
        <v>1.0387999999999999</v>
      </c>
      <c r="AB32" s="2195">
        <f>ROUND(SUMPRODUCT(PRODUCT(1+Q32:Q$35)),4)</f>
        <v>1.0411999999999999</v>
      </c>
      <c r="AD32" s="2196">
        <f>ROUND(AVERAGE(I32:I$36)/100,4)</f>
        <v>1.38E-2</v>
      </c>
      <c r="AE32" s="2196">
        <f>ROUND(AVERAGE(J32:J$36)/100,4)</f>
        <v>1.3599999999999999E-2</v>
      </c>
      <c r="AF32" s="2196">
        <f t="shared" si="1"/>
        <v>1.3599999999999999E-2</v>
      </c>
      <c r="AG32" s="2196">
        <f>ROUND(AVERAGE(K32:K$36)/100,4)</f>
        <v>1.4200000000000001E-2</v>
      </c>
      <c r="AH32" s="2196">
        <f>ROUND(AVERAGE(L32:L$36)/100,4)</f>
        <v>1.0800000000000001E-2</v>
      </c>
    </row>
    <row r="33" spans="1:34" ht="13.5" thickBot="1">
      <c r="A33" s="2208" t="s">
        <v>147</v>
      </c>
      <c r="B33" s="2232">
        <v>318</v>
      </c>
      <c r="C33" s="2232">
        <v>268</v>
      </c>
      <c r="D33" s="2232">
        <f t="shared" si="202"/>
        <v>268</v>
      </c>
      <c r="E33" s="2232">
        <v>437</v>
      </c>
      <c r="F33" s="2233">
        <v>237</v>
      </c>
      <c r="G33" s="3467">
        <v>2014</v>
      </c>
      <c r="H33" s="2225">
        <v>4</v>
      </c>
      <c r="I33" s="2225">
        <v>0.21</v>
      </c>
      <c r="J33" s="2225">
        <v>0.41</v>
      </c>
      <c r="K33" s="2225">
        <v>0.12</v>
      </c>
      <c r="L33" s="2226">
        <v>0.89</v>
      </c>
      <c r="N33" s="2211">
        <f t="shared" si="204"/>
        <v>2.0999999999999999E-3</v>
      </c>
      <c r="O33" s="2196">
        <f t="shared" si="199"/>
        <v>4.0999999999999995E-3</v>
      </c>
      <c r="P33" s="2196">
        <f t="shared" si="199"/>
        <v>1.1999999999999999E-3</v>
      </c>
      <c r="Q33" s="2196">
        <f t="shared" si="199"/>
        <v>8.8999999999999999E-3</v>
      </c>
      <c r="R33" s="2212"/>
      <c r="S33" s="2221"/>
      <c r="T33" s="2222"/>
      <c r="U33" s="2222"/>
      <c r="V33" s="2222"/>
      <c r="X33" s="2195">
        <f>ROUND(SUMPRODUCT(PRODUCT(1+N33:N$35)),4)</f>
        <v>1.0347</v>
      </c>
      <c r="Y33" s="2195">
        <f>ROUND(SUMPRODUCT(PRODUCT(1+O33:O$35)),4)</f>
        <v>1.0395000000000001</v>
      </c>
      <c r="Z33" s="2195">
        <f t="shared" si="0"/>
        <v>1.0395000000000001</v>
      </c>
      <c r="AA33" s="2195">
        <f>ROUND(SUMPRODUCT(PRODUCT(1+P33:P$35)),4)</f>
        <v>1.0338000000000001</v>
      </c>
      <c r="AB33" s="2195">
        <f>ROUND(SUMPRODUCT(PRODUCT(1+Q33:Q$35)),4)</f>
        <v>1.0316000000000001</v>
      </c>
      <c r="AD33" s="2196">
        <f>ROUND(AVERAGE(I33:I$36)/100,4)</f>
        <v>1.6E-2</v>
      </c>
      <c r="AE33" s="2196">
        <f>ROUND(AVERAGE(J33:J$36)/100,4)</f>
        <v>1.5599999999999999E-2</v>
      </c>
      <c r="AF33" s="2196">
        <f t="shared" si="1"/>
        <v>1.5599999999999999E-2</v>
      </c>
      <c r="AG33" s="2196">
        <f>ROUND(AVERAGE(K33:K$36)/100,4)</f>
        <v>1.66E-2</v>
      </c>
      <c r="AH33" s="2196">
        <f>ROUND(AVERAGE(L33:L$36)/100,4)</f>
        <v>1.12E-2</v>
      </c>
    </row>
    <row r="34" spans="1:34">
      <c r="A34" s="2208" t="s">
        <v>146</v>
      </c>
      <c r="B34" s="2209">
        <f t="shared" ref="B34:C36" si="207">B33/(1+N33)</f>
        <v>317.33359944117353</v>
      </c>
      <c r="C34" s="2209">
        <f t="shared" si="207"/>
        <v>266.90568668459315</v>
      </c>
      <c r="D34" s="2209">
        <f t="shared" si="202"/>
        <v>266.90568668459315</v>
      </c>
      <c r="E34" s="2209">
        <f t="shared" ref="E34:F36" si="208">E33/(1+P33)</f>
        <v>436.47622852576905</v>
      </c>
      <c r="F34" s="2209">
        <f t="shared" si="208"/>
        <v>234.90930716622066</v>
      </c>
      <c r="G34" s="3468"/>
      <c r="H34" s="2234">
        <v>3</v>
      </c>
      <c r="I34" s="2234">
        <v>0.83</v>
      </c>
      <c r="J34" s="2234">
        <v>1.47</v>
      </c>
      <c r="K34" s="2234">
        <v>0.65</v>
      </c>
      <c r="L34" s="2235">
        <v>0.72</v>
      </c>
      <c r="N34" s="2211">
        <f t="shared" si="204"/>
        <v>8.3000000000000001E-3</v>
      </c>
      <c r="O34" s="2196">
        <f t="shared" si="199"/>
        <v>1.47E-2</v>
      </c>
      <c r="P34" s="2196">
        <f t="shared" si="199"/>
        <v>6.5000000000000006E-3</v>
      </c>
      <c r="Q34" s="2196">
        <f t="shared" si="199"/>
        <v>7.1999999999999998E-3</v>
      </c>
      <c r="R34" s="2212"/>
      <c r="S34" s="2211"/>
      <c r="T34" s="2196"/>
      <c r="U34" s="2196"/>
      <c r="V34" s="2196"/>
      <c r="X34" s="2195">
        <f>ROUND(SUMPRODUCT(PRODUCT(1+N34:N$35)),4)</f>
        <v>1.0325</v>
      </c>
      <c r="Y34" s="2195">
        <f>ROUND(SUMPRODUCT(PRODUCT(1+O34:O$35)),4)</f>
        <v>1.0353000000000001</v>
      </c>
      <c r="Z34" s="2195">
        <f t="shared" ref="Z34:Z35" si="209">Y34</f>
        <v>1.0353000000000001</v>
      </c>
      <c r="AA34" s="2195">
        <f>ROUND(SUMPRODUCT(PRODUCT(1+P34:P$35)),4)</f>
        <v>1.0326</v>
      </c>
      <c r="AB34" s="2195">
        <f>ROUND(SUMPRODUCT(PRODUCT(1+Q34:Q$35)),4)</f>
        <v>1.0225</v>
      </c>
      <c r="AD34" s="2196">
        <f>ROUND(AVERAGE(I34:I$36)/100,4)</f>
        <v>2.07E-2</v>
      </c>
      <c r="AE34" s="2196">
        <f>ROUND(AVERAGE(J34:J$36)/100,4)</f>
        <v>1.95E-2</v>
      </c>
      <c r="AF34" s="2196">
        <f t="shared" si="1"/>
        <v>1.95E-2</v>
      </c>
      <c r="AG34" s="2196">
        <f>ROUND(AVERAGE(K34:K$36)/100,4)</f>
        <v>2.1700000000000001E-2</v>
      </c>
      <c r="AH34" s="2196">
        <f>ROUND(AVERAGE(L34:L$36)/100,4)</f>
        <v>1.2E-2</v>
      </c>
    </row>
    <row r="35" spans="1:34" ht="13.5" thickBot="1">
      <c r="A35" s="2208" t="s">
        <v>145</v>
      </c>
      <c r="B35" s="2209">
        <f t="shared" si="207"/>
        <v>314.72141172386546</v>
      </c>
      <c r="C35" s="2209">
        <f t="shared" si="207"/>
        <v>263.03901319069001</v>
      </c>
      <c r="D35" s="2209">
        <f t="shared" si="202"/>
        <v>263.03901319069001</v>
      </c>
      <c r="E35" s="2209">
        <f t="shared" si="208"/>
        <v>433.65745506782821</v>
      </c>
      <c r="F35" s="2209">
        <f t="shared" si="208"/>
        <v>233.23005080045735</v>
      </c>
      <c r="G35" s="3468"/>
      <c r="H35" s="2225">
        <v>2</v>
      </c>
      <c r="I35" s="2225">
        <v>2.4</v>
      </c>
      <c r="J35" s="2225">
        <v>2.0299999999999998</v>
      </c>
      <c r="K35" s="2225">
        <v>2.59</v>
      </c>
      <c r="L35" s="2226">
        <v>1.52</v>
      </c>
      <c r="N35" s="2211">
        <f t="shared" si="204"/>
        <v>2.4E-2</v>
      </c>
      <c r="O35" s="2196">
        <f t="shared" si="199"/>
        <v>2.0299999999999999E-2</v>
      </c>
      <c r="P35" s="2196">
        <f t="shared" si="199"/>
        <v>2.5899999999999999E-2</v>
      </c>
      <c r="Q35" s="2196">
        <f t="shared" si="199"/>
        <v>1.52E-2</v>
      </c>
      <c r="R35" s="2212"/>
      <c r="S35" s="2211"/>
      <c r="T35" s="2196"/>
      <c r="U35" s="2196"/>
      <c r="V35" s="2196"/>
      <c r="X35" s="2195">
        <f>1+N35</f>
        <v>1.024</v>
      </c>
      <c r="Y35" s="2195">
        <f>1+O35</f>
        <v>1.0203</v>
      </c>
      <c r="Z35" s="2195">
        <f t="shared" si="209"/>
        <v>1.0203</v>
      </c>
      <c r="AA35" s="2195">
        <f>1+P35</f>
        <v>1.0259</v>
      </c>
      <c r="AB35" s="2195">
        <f>1+Q35</f>
        <v>1.0152000000000001</v>
      </c>
      <c r="AD35" s="2196">
        <f>ROUND(AVERAGE(I35:I$36)/100,4)</f>
        <v>2.69E-2</v>
      </c>
      <c r="AE35" s="2196">
        <f>ROUND(AVERAGE(J35:J$36)/100,4)</f>
        <v>2.1899999999999999E-2</v>
      </c>
      <c r="AF35" s="2196">
        <f t="shared" ref="AF35" si="210">AE35</f>
        <v>2.1899999999999999E-2</v>
      </c>
      <c r="AG35" s="2196">
        <f>ROUND(AVERAGE(K35:K$36)/100,4)</f>
        <v>2.9399999999999999E-2</v>
      </c>
      <c r="AH35" s="2196">
        <f>ROUND(AVERAGE(L35:L$36)/100,4)</f>
        <v>1.44E-2</v>
      </c>
    </row>
    <row r="36" spans="1:34" s="2240" customFormat="1" ht="13.5" thickBot="1">
      <c r="A36" s="2236" t="s">
        <v>144</v>
      </c>
      <c r="B36" s="2237">
        <f t="shared" si="207"/>
        <v>307.34512863658733</v>
      </c>
      <c r="C36" s="2237">
        <f t="shared" si="207"/>
        <v>257.80556031626975</v>
      </c>
      <c r="D36" s="2237">
        <f t="shared" si="202"/>
        <v>257.80556031626975</v>
      </c>
      <c r="E36" s="2237">
        <f t="shared" si="208"/>
        <v>422.70928459677179</v>
      </c>
      <c r="F36" s="2237">
        <f t="shared" si="208"/>
        <v>229.73803270336617</v>
      </c>
      <c r="G36" s="3469"/>
      <c r="H36" s="2238">
        <v>1</v>
      </c>
      <c r="I36" s="2238">
        <v>2.97</v>
      </c>
      <c r="J36" s="2238">
        <v>2.34</v>
      </c>
      <c r="K36" s="2238">
        <v>3.28</v>
      </c>
      <c r="L36" s="2239">
        <v>1.36</v>
      </c>
      <c r="N36" s="2241">
        <f t="shared" si="204"/>
        <v>2.9700000000000001E-2</v>
      </c>
      <c r="O36" s="2242">
        <f t="shared" si="199"/>
        <v>2.3399999999999997E-2</v>
      </c>
      <c r="P36" s="2242">
        <f t="shared" si="199"/>
        <v>3.2799999999999996E-2</v>
      </c>
      <c r="Q36" s="2242">
        <f t="shared" si="199"/>
        <v>1.3600000000000001E-2</v>
      </c>
      <c r="R36" s="2243"/>
      <c r="S36" s="2244">
        <f>B36/B37-1</f>
        <v>2.7910129219355539E-2</v>
      </c>
      <c r="T36" s="2245">
        <f>C36/C37-1</f>
        <v>2.3037937762975247E-2</v>
      </c>
      <c r="U36" s="2245">
        <f>E36/E37-1</f>
        <v>3.3519033243940788E-2</v>
      </c>
      <c r="V36" s="2245">
        <f>F36/F37-1</f>
        <v>1.2061818076502862E-2</v>
      </c>
      <c r="W36" s="2246" t="s">
        <v>1070</v>
      </c>
      <c r="X36" s="2240">
        <v>1</v>
      </c>
      <c r="Y36" s="2240">
        <v>1</v>
      </c>
      <c r="Z36" s="2240">
        <v>1</v>
      </c>
      <c r="AA36" s="2240">
        <v>1</v>
      </c>
      <c r="AB36" s="2240">
        <v>1</v>
      </c>
      <c r="AD36" s="2242">
        <f>I36/100</f>
        <v>2.9700000000000001E-2</v>
      </c>
      <c r="AE36" s="2242">
        <f>J36/100</f>
        <v>2.3399999999999997E-2</v>
      </c>
      <c r="AF36" s="2242">
        <f>AE36</f>
        <v>2.3399999999999997E-2</v>
      </c>
      <c r="AG36" s="2242">
        <f>K36/100</f>
        <v>3.2799999999999996E-2</v>
      </c>
      <c r="AH36" s="2242">
        <f>L36/100</f>
        <v>1.3600000000000001E-2</v>
      </c>
    </row>
    <row r="37" spans="1:34" ht="13.5" thickBot="1">
      <c r="A37" s="2208" t="s">
        <v>1071</v>
      </c>
      <c r="B37" s="2217">
        <v>299</v>
      </c>
      <c r="C37" s="2217">
        <v>252</v>
      </c>
      <c r="D37" s="2217">
        <f t="shared" si="202"/>
        <v>252</v>
      </c>
      <c r="E37" s="2217">
        <v>409</v>
      </c>
      <c r="F37" s="2218">
        <v>227</v>
      </c>
      <c r="G37" s="3474">
        <v>2013</v>
      </c>
      <c r="H37" s="2247">
        <v>4</v>
      </c>
      <c r="I37" s="2247">
        <v>1.83</v>
      </c>
      <c r="J37" s="2247">
        <v>1.68</v>
      </c>
      <c r="K37" s="2247">
        <v>1.97</v>
      </c>
      <c r="L37" s="2248">
        <v>0.87</v>
      </c>
      <c r="N37" s="2227">
        <f t="shared" si="204"/>
        <v>1.83E-2</v>
      </c>
      <c r="O37" s="2228">
        <f t="shared" si="199"/>
        <v>1.6799999999999999E-2</v>
      </c>
      <c r="P37" s="2228">
        <f t="shared" si="199"/>
        <v>1.9699999999999999E-2</v>
      </c>
      <c r="Q37" s="2228">
        <f t="shared" si="199"/>
        <v>8.6999999999999994E-3</v>
      </c>
      <c r="R37" s="2212"/>
      <c r="S37" s="2221"/>
      <c r="T37" s="2222"/>
      <c r="U37" s="2222"/>
      <c r="V37" s="2222"/>
      <c r="X37" s="2222"/>
      <c r="Y37" s="2222"/>
      <c r="Z37" s="2222"/>
    </row>
    <row r="38" spans="1:34">
      <c r="A38" s="2208" t="s">
        <v>1072</v>
      </c>
      <c r="B38" s="2209">
        <f t="shared" ref="B38:C40" si="211">B37/(1+N37)</f>
        <v>293.62663262299913</v>
      </c>
      <c r="C38" s="2209">
        <f t="shared" si="211"/>
        <v>247.83634933123525</v>
      </c>
      <c r="D38" s="2209">
        <f t="shared" si="202"/>
        <v>247.83634933123525</v>
      </c>
      <c r="E38" s="2209">
        <f t="shared" ref="E38:F40" si="212">E37/(1+P37)</f>
        <v>401.09836226341076</v>
      </c>
      <c r="F38" s="2209">
        <f t="shared" si="212"/>
        <v>225.04213343908003</v>
      </c>
      <c r="G38" s="3475"/>
      <c r="H38" s="2230">
        <v>3</v>
      </c>
      <c r="I38" s="2230">
        <v>1.86</v>
      </c>
      <c r="J38" s="2230">
        <v>1.72</v>
      </c>
      <c r="K38" s="2230">
        <v>1.98</v>
      </c>
      <c r="L38" s="2231">
        <v>0.88</v>
      </c>
      <c r="N38" s="2211">
        <f t="shared" si="204"/>
        <v>1.8600000000000002E-2</v>
      </c>
      <c r="O38" s="2196">
        <f t="shared" si="199"/>
        <v>1.72E-2</v>
      </c>
      <c r="P38" s="2196">
        <f t="shared" si="199"/>
        <v>1.9799999999999998E-2</v>
      </c>
      <c r="Q38" s="2196">
        <f t="shared" si="199"/>
        <v>8.8000000000000005E-3</v>
      </c>
      <c r="R38" s="2212"/>
      <c r="S38" s="2211"/>
      <c r="T38" s="2196"/>
      <c r="U38" s="2196"/>
      <c r="V38" s="2196"/>
    </row>
    <row r="39" spans="1:34">
      <c r="A39" s="2208" t="s">
        <v>1073</v>
      </c>
      <c r="B39" s="2209">
        <f t="shared" si="211"/>
        <v>288.2649053828776</v>
      </c>
      <c r="C39" s="2209">
        <f t="shared" si="211"/>
        <v>243.64564425013293</v>
      </c>
      <c r="D39" s="2209">
        <f t="shared" si="202"/>
        <v>243.64564425013293</v>
      </c>
      <c r="E39" s="2209">
        <f t="shared" si="212"/>
        <v>393.31080825986544</v>
      </c>
      <c r="F39" s="2209">
        <f t="shared" si="212"/>
        <v>223.07903790551154</v>
      </c>
      <c r="G39" s="3475"/>
      <c r="H39" s="2219">
        <v>2</v>
      </c>
      <c r="I39" s="2219">
        <v>2.04</v>
      </c>
      <c r="J39" s="2219">
        <v>2.33</v>
      </c>
      <c r="K39" s="2219">
        <v>2.0699999999999998</v>
      </c>
      <c r="L39" s="2220">
        <v>0.69</v>
      </c>
      <c r="N39" s="2211">
        <f t="shared" si="204"/>
        <v>2.0400000000000001E-2</v>
      </c>
      <c r="O39" s="2196">
        <f t="shared" si="199"/>
        <v>2.3300000000000001E-2</v>
      </c>
      <c r="P39" s="2196">
        <f t="shared" si="199"/>
        <v>2.07E-2</v>
      </c>
      <c r="Q39" s="2196">
        <f t="shared" si="199"/>
        <v>6.8999999999999999E-3</v>
      </c>
      <c r="R39" s="2212"/>
      <c r="S39" s="2211"/>
      <c r="T39" s="2196"/>
      <c r="U39" s="2196"/>
      <c r="V39" s="2196"/>
      <c r="X39" s="2249"/>
      <c r="Y39" s="2250"/>
    </row>
    <row r="40" spans="1:34">
      <c r="A40" s="2208" t="s">
        <v>1074</v>
      </c>
      <c r="B40" s="2209">
        <f t="shared" si="211"/>
        <v>282.50186729015837</v>
      </c>
      <c r="C40" s="2209">
        <f t="shared" si="211"/>
        <v>238.09796174155468</v>
      </c>
      <c r="D40" s="2209">
        <f t="shared" si="202"/>
        <v>238.09796174155468</v>
      </c>
      <c r="E40" s="2209">
        <f t="shared" si="212"/>
        <v>385.33438646014054</v>
      </c>
      <c r="F40" s="2209">
        <f t="shared" si="212"/>
        <v>221.55034055567739</v>
      </c>
      <c r="G40" s="3476"/>
      <c r="H40" s="2210">
        <v>1</v>
      </c>
      <c r="I40" s="2210">
        <v>1.67</v>
      </c>
      <c r="J40" s="2210">
        <v>1.31</v>
      </c>
      <c r="K40" s="2210">
        <v>1.85</v>
      </c>
      <c r="L40" s="2214">
        <v>0.96</v>
      </c>
      <c r="N40" s="2223">
        <f t="shared" si="204"/>
        <v>1.67E-2</v>
      </c>
      <c r="O40" s="2224">
        <f t="shared" si="204"/>
        <v>1.3100000000000001E-2</v>
      </c>
      <c r="P40" s="2224">
        <f t="shared" si="204"/>
        <v>1.8500000000000003E-2</v>
      </c>
      <c r="Q40" s="2224">
        <f t="shared" si="204"/>
        <v>9.5999999999999992E-3</v>
      </c>
      <c r="R40" s="2212"/>
      <c r="S40" s="2223">
        <f>B40/B41-1</f>
        <v>1.6193767230785472E-2</v>
      </c>
      <c r="T40" s="2224">
        <f>C40/C41-1</f>
        <v>1.7512657015190891E-2</v>
      </c>
      <c r="U40" s="2224">
        <f>E40/E41-1</f>
        <v>1.6713420739157048E-2</v>
      </c>
      <c r="V40" s="2224">
        <f>F40/F41-1</f>
        <v>7.0470025258062563E-3</v>
      </c>
      <c r="Y40" s="2196"/>
      <c r="Z40" s="2196"/>
    </row>
    <row r="41" spans="1:34" ht="13.5" thickBot="1">
      <c r="A41" s="2208" t="s">
        <v>1075</v>
      </c>
      <c r="B41" s="2251">
        <v>278</v>
      </c>
      <c r="C41" s="2251">
        <v>234</v>
      </c>
      <c r="D41" s="2251">
        <f t="shared" si="202"/>
        <v>234</v>
      </c>
      <c r="E41" s="2251">
        <v>379</v>
      </c>
      <c r="F41" s="2252">
        <v>220</v>
      </c>
      <c r="G41" s="3467">
        <v>2012</v>
      </c>
      <c r="H41" s="2225">
        <v>4</v>
      </c>
      <c r="I41" s="2225">
        <v>0.91</v>
      </c>
      <c r="J41" s="2225">
        <v>0.68</v>
      </c>
      <c r="K41" s="2225">
        <v>0.98</v>
      </c>
      <c r="L41" s="2226">
        <v>0.9</v>
      </c>
      <c r="N41" s="2211">
        <f t="shared" si="204"/>
        <v>9.1000000000000004E-3</v>
      </c>
      <c r="O41" s="2196">
        <f t="shared" si="204"/>
        <v>6.8000000000000005E-3</v>
      </c>
      <c r="P41" s="2196">
        <f t="shared" si="204"/>
        <v>9.7999999999999997E-3</v>
      </c>
      <c r="Q41" s="2196">
        <f t="shared" si="204"/>
        <v>9.0000000000000011E-3</v>
      </c>
      <c r="R41" s="2212"/>
      <c r="S41" s="2221"/>
      <c r="T41" s="2222"/>
      <c r="U41" s="2222"/>
      <c r="V41" s="2222"/>
      <c r="X41" s="2222"/>
      <c r="Y41" s="2222"/>
      <c r="Z41" s="2222"/>
    </row>
    <row r="42" spans="1:34">
      <c r="A42" s="2208" t="s">
        <v>1076</v>
      </c>
      <c r="B42" s="2209">
        <f>B41/(1+N41)</f>
        <v>275.49301357645425</v>
      </c>
      <c r="C42" s="2209">
        <f>C41/(1+O41)</f>
        <v>232.41954707985698</v>
      </c>
      <c r="D42" s="2209">
        <f t="shared" si="202"/>
        <v>232.41954707985698</v>
      </c>
      <c r="E42" s="2209">
        <f t="shared" ref="E42:F44" si="213">E41/(1+P41)</f>
        <v>375.32184591008121</v>
      </c>
      <c r="F42" s="2209">
        <f t="shared" si="213"/>
        <v>218.03766105054513</v>
      </c>
      <c r="G42" s="3468"/>
      <c r="H42" s="2230">
        <v>3</v>
      </c>
      <c r="I42" s="2230">
        <v>0.09</v>
      </c>
      <c r="J42" s="2230">
        <v>0.28999999999999998</v>
      </c>
      <c r="K42" s="2230">
        <v>-0.01</v>
      </c>
      <c r="L42" s="2231">
        <v>0.57999999999999996</v>
      </c>
      <c r="N42" s="2211">
        <f t="shared" si="204"/>
        <v>8.9999999999999998E-4</v>
      </c>
      <c r="O42" s="2196">
        <f t="shared" si="204"/>
        <v>2.8999999999999998E-3</v>
      </c>
      <c r="P42" s="2196">
        <f t="shared" si="204"/>
        <v>-1E-4</v>
      </c>
      <c r="Q42" s="2196">
        <f t="shared" si="204"/>
        <v>5.7999999999999996E-3</v>
      </c>
      <c r="R42" s="2212"/>
      <c r="S42" s="2211"/>
      <c r="T42" s="2196"/>
      <c r="U42" s="2196"/>
      <c r="V42" s="2196"/>
    </row>
    <row r="43" spans="1:34">
      <c r="A43" s="2208" t="s">
        <v>1077</v>
      </c>
      <c r="B43" s="2209">
        <f>B42/(1+N42)</f>
        <v>275.24529281292263</v>
      </c>
      <c r="C43" s="2209">
        <f>C42/(1+O42)</f>
        <v>231.74747938962707</v>
      </c>
      <c r="D43" s="2209">
        <f t="shared" si="202"/>
        <v>231.74747938962707</v>
      </c>
      <c r="E43" s="2209">
        <f t="shared" si="213"/>
        <v>375.35938184826603</v>
      </c>
      <c r="F43" s="2209">
        <f t="shared" si="213"/>
        <v>216.78033510692495</v>
      </c>
      <c r="G43" s="3468"/>
      <c r="H43" s="2219">
        <v>2</v>
      </c>
      <c r="I43" s="2219">
        <v>0.02</v>
      </c>
      <c r="J43" s="2219">
        <v>0.12</v>
      </c>
      <c r="K43" s="2219">
        <v>-0.08</v>
      </c>
      <c r="L43" s="2220">
        <v>1.24</v>
      </c>
      <c r="N43" s="2211">
        <f t="shared" si="204"/>
        <v>2.0000000000000001E-4</v>
      </c>
      <c r="O43" s="2196">
        <f t="shared" si="204"/>
        <v>1.1999999999999999E-3</v>
      </c>
      <c r="P43" s="2196">
        <f t="shared" si="204"/>
        <v>-8.0000000000000004E-4</v>
      </c>
      <c r="Q43" s="2196">
        <f t="shared" si="204"/>
        <v>1.24E-2</v>
      </c>
      <c r="R43" s="2212"/>
      <c r="S43" s="2211"/>
      <c r="T43" s="2196"/>
      <c r="U43" s="2196"/>
      <c r="V43" s="2196"/>
    </row>
    <row r="44" spans="1:34" ht="13.5" thickBot="1">
      <c r="A44" s="2208" t="s">
        <v>1078</v>
      </c>
      <c r="B44" s="2209">
        <f>B43/(1+N43)</f>
        <v>275.19025476197027</v>
      </c>
      <c r="C44" s="2253">
        <v>232</v>
      </c>
      <c r="D44" s="2253">
        <f t="shared" si="202"/>
        <v>232</v>
      </c>
      <c r="E44" s="2209">
        <f t="shared" si="213"/>
        <v>375.65990977608692</v>
      </c>
      <c r="F44" s="2209">
        <f t="shared" si="213"/>
        <v>214.12518283971252</v>
      </c>
      <c r="G44" s="3469"/>
      <c r="H44" s="2210">
        <v>1</v>
      </c>
      <c r="I44" s="2210">
        <v>0.02</v>
      </c>
      <c r="J44" s="2210">
        <v>0.13</v>
      </c>
      <c r="K44" s="2210">
        <v>-0.04</v>
      </c>
      <c r="L44" s="2214">
        <v>0.46</v>
      </c>
      <c r="N44" s="2211">
        <f t="shared" si="204"/>
        <v>2.0000000000000001E-4</v>
      </c>
      <c r="O44" s="2196">
        <f t="shared" si="204"/>
        <v>1.2999999999999999E-3</v>
      </c>
      <c r="P44" s="2196">
        <f t="shared" si="204"/>
        <v>-4.0000000000000002E-4</v>
      </c>
      <c r="Q44" s="2196">
        <f t="shared" si="204"/>
        <v>4.5999999999999999E-3</v>
      </c>
      <c r="R44" s="2212"/>
      <c r="S44" s="2223">
        <f>B44/B45-1</f>
        <v>6.9183549807361189E-4</v>
      </c>
      <c r="T44" s="2224">
        <f>C44/C45-1</f>
        <v>0</v>
      </c>
      <c r="U44" s="2224">
        <f>E44/E45-1</f>
        <v>-9.0449527636460303E-4</v>
      </c>
      <c r="V44" s="2224">
        <f>F44/F45-1</f>
        <v>5.2825485432512753E-3</v>
      </c>
      <c r="X44" s="2196"/>
      <c r="Y44" s="2196"/>
      <c r="Z44" s="2196"/>
    </row>
    <row r="45" spans="1:34" ht="13.5" thickBot="1">
      <c r="A45" s="2208" t="s">
        <v>1079</v>
      </c>
      <c r="B45" s="2217">
        <v>275</v>
      </c>
      <c r="C45" s="2217">
        <v>232</v>
      </c>
      <c r="D45" s="2217">
        <f t="shared" si="202"/>
        <v>232</v>
      </c>
      <c r="E45" s="2217">
        <v>376</v>
      </c>
      <c r="F45" s="2218">
        <v>213</v>
      </c>
      <c r="G45" s="3467">
        <v>2011</v>
      </c>
      <c r="H45" s="2225">
        <v>4</v>
      </c>
      <c r="I45" s="2225">
        <v>-0.2</v>
      </c>
      <c r="J45" s="2225">
        <v>0.04</v>
      </c>
      <c r="K45" s="2225">
        <v>-0.34</v>
      </c>
      <c r="L45" s="2226">
        <v>0.46</v>
      </c>
      <c r="N45" s="2227">
        <f t="shared" si="204"/>
        <v>-2E-3</v>
      </c>
      <c r="O45" s="2228">
        <f t="shared" si="204"/>
        <v>4.0000000000000002E-4</v>
      </c>
      <c r="P45" s="2228">
        <f t="shared" si="204"/>
        <v>-3.4000000000000002E-3</v>
      </c>
      <c r="Q45" s="2228">
        <f t="shared" si="204"/>
        <v>4.5999999999999999E-3</v>
      </c>
      <c r="R45" s="2212"/>
      <c r="S45" s="2221"/>
      <c r="T45" s="2222"/>
      <c r="U45" s="2222"/>
      <c r="V45" s="2222"/>
      <c r="X45" s="2222"/>
      <c r="Y45" s="2222"/>
      <c r="Z45" s="2222"/>
    </row>
    <row r="46" spans="1:34">
      <c r="A46" s="2208" t="s">
        <v>1080</v>
      </c>
      <c r="B46" s="2209">
        <f t="shared" ref="B46:C48" si="214">B45/(1+N45)</f>
        <v>275.55110220440883</v>
      </c>
      <c r="C46" s="2209">
        <f t="shared" si="214"/>
        <v>231.90723710515795</v>
      </c>
      <c r="D46" s="2209">
        <f t="shared" si="202"/>
        <v>231.90723710515795</v>
      </c>
      <c r="E46" s="2209">
        <f t="shared" ref="E46:F48" si="215">E45/(1+P45)</f>
        <v>377.28276138872161</v>
      </c>
      <c r="F46" s="2209">
        <f t="shared" si="215"/>
        <v>212.02468644236512</v>
      </c>
      <c r="G46" s="3468">
        <v>2011</v>
      </c>
      <c r="H46" s="2230">
        <v>3</v>
      </c>
      <c r="I46" s="2230">
        <v>0.13</v>
      </c>
      <c r="J46" s="2230">
        <v>0.75</v>
      </c>
      <c r="K46" s="2230">
        <v>-0.08</v>
      </c>
      <c r="L46" s="2231">
        <v>0.53</v>
      </c>
      <c r="N46" s="2211">
        <f t="shared" si="204"/>
        <v>1.2999999999999999E-3</v>
      </c>
      <c r="O46" s="2196">
        <f t="shared" si="204"/>
        <v>7.4999999999999997E-3</v>
      </c>
      <c r="P46" s="2196">
        <f t="shared" si="204"/>
        <v>-8.0000000000000004E-4</v>
      </c>
      <c r="Q46" s="2196">
        <f t="shared" si="204"/>
        <v>5.3E-3</v>
      </c>
      <c r="R46" s="2212"/>
      <c r="S46" s="2211"/>
      <c r="T46" s="2196"/>
      <c r="U46" s="2196"/>
      <c r="V46" s="2196"/>
    </row>
    <row r="47" spans="1:34">
      <c r="A47" s="2208" t="s">
        <v>1081</v>
      </c>
      <c r="B47" s="2209">
        <f t="shared" si="214"/>
        <v>275.19335084830601</v>
      </c>
      <c r="C47" s="2209">
        <f t="shared" si="214"/>
        <v>230.18088050139744</v>
      </c>
      <c r="D47" s="2209">
        <f t="shared" si="202"/>
        <v>230.18088050139744</v>
      </c>
      <c r="E47" s="2209">
        <f t="shared" si="215"/>
        <v>377.58482925212331</v>
      </c>
      <c r="F47" s="2209">
        <f t="shared" si="215"/>
        <v>210.90687997847917</v>
      </c>
      <c r="G47" s="3468">
        <v>2011</v>
      </c>
      <c r="H47" s="2219">
        <v>2</v>
      </c>
      <c r="I47" s="2219">
        <v>-0.4</v>
      </c>
      <c r="J47" s="2219">
        <v>0.17</v>
      </c>
      <c r="K47" s="2219">
        <v>-0.57999999999999996</v>
      </c>
      <c r="L47" s="2220">
        <v>-0.2</v>
      </c>
      <c r="N47" s="2211">
        <f t="shared" si="204"/>
        <v>-4.0000000000000001E-3</v>
      </c>
      <c r="O47" s="2196">
        <f t="shared" si="204"/>
        <v>1.7000000000000001E-3</v>
      </c>
      <c r="P47" s="2196">
        <f t="shared" si="204"/>
        <v>-5.7999999999999996E-3</v>
      </c>
      <c r="Q47" s="2196">
        <f t="shared" si="204"/>
        <v>-2E-3</v>
      </c>
      <c r="R47" s="2212"/>
      <c r="S47" s="2211"/>
      <c r="T47" s="2196"/>
      <c r="U47" s="2196"/>
      <c r="V47" s="2196"/>
    </row>
    <row r="48" spans="1:34" ht="13.5" thickBot="1">
      <c r="A48" s="2208" t="s">
        <v>1082</v>
      </c>
      <c r="B48" s="2209">
        <f t="shared" si="214"/>
        <v>276.29854502841971</v>
      </c>
      <c r="C48" s="2209">
        <f t="shared" si="214"/>
        <v>229.79023709833027</v>
      </c>
      <c r="D48" s="2209">
        <f t="shared" si="202"/>
        <v>229.79023709833027</v>
      </c>
      <c r="E48" s="2209">
        <f t="shared" si="215"/>
        <v>379.78759731655936</v>
      </c>
      <c r="F48" s="2209">
        <f t="shared" si="215"/>
        <v>211.32953905659235</v>
      </c>
      <c r="G48" s="3469">
        <v>2011</v>
      </c>
      <c r="H48" s="2210">
        <v>1</v>
      </c>
      <c r="I48" s="2210">
        <v>2.65</v>
      </c>
      <c r="J48" s="2210">
        <v>3.76</v>
      </c>
      <c r="K48" s="2210">
        <v>1.89</v>
      </c>
      <c r="L48" s="2214">
        <v>7.95</v>
      </c>
      <c r="N48" s="2223">
        <f t="shared" si="204"/>
        <v>2.6499999999999999E-2</v>
      </c>
      <c r="O48" s="2224">
        <f t="shared" si="204"/>
        <v>3.7599999999999995E-2</v>
      </c>
      <c r="P48" s="2224">
        <f t="shared" si="204"/>
        <v>1.89E-2</v>
      </c>
      <c r="Q48" s="2224">
        <f t="shared" si="204"/>
        <v>7.9500000000000001E-2</v>
      </c>
      <c r="R48" s="2212"/>
      <c r="S48" s="2223">
        <f>B48/B49-1</f>
        <v>2.713213765211786E-2</v>
      </c>
      <c r="T48" s="2224">
        <f>C48/C49-1</f>
        <v>3.9774828499231862E-2</v>
      </c>
      <c r="U48" s="2224">
        <f>E48/E49-1</f>
        <v>1.8197311840641772E-2</v>
      </c>
      <c r="V48" s="2224">
        <f>F48/F49-1</f>
        <v>7.8211933962205826E-2</v>
      </c>
      <c r="X48" s="2196"/>
      <c r="Y48" s="2196"/>
      <c r="Z48" s="2196"/>
    </row>
    <row r="49" spans="1:26" ht="13.5" thickBot="1">
      <c r="A49" s="2208" t="s">
        <v>1083</v>
      </c>
      <c r="B49" s="2217">
        <v>269</v>
      </c>
      <c r="C49" s="2217">
        <v>221</v>
      </c>
      <c r="D49" s="2217">
        <f t="shared" si="202"/>
        <v>221</v>
      </c>
      <c r="E49" s="2217">
        <v>373</v>
      </c>
      <c r="F49" s="2218">
        <v>196</v>
      </c>
      <c r="G49" s="3467">
        <v>2010</v>
      </c>
      <c r="H49" s="2225">
        <v>4</v>
      </c>
      <c r="I49" s="2225">
        <v>5.72</v>
      </c>
      <c r="J49" s="2225">
        <v>6.57</v>
      </c>
      <c r="K49" s="2225">
        <v>5.72</v>
      </c>
      <c r="L49" s="2226">
        <v>2.72</v>
      </c>
      <c r="N49" s="2211">
        <f t="shared" si="204"/>
        <v>5.7200000000000001E-2</v>
      </c>
      <c r="O49" s="2196">
        <f t="shared" si="204"/>
        <v>6.5700000000000008E-2</v>
      </c>
      <c r="P49" s="2196">
        <f t="shared" si="204"/>
        <v>5.7200000000000001E-2</v>
      </c>
      <c r="Q49" s="2196">
        <f t="shared" si="204"/>
        <v>2.7200000000000002E-2</v>
      </c>
      <c r="R49" s="2212"/>
      <c r="S49" s="2221"/>
      <c r="T49" s="2222"/>
      <c r="U49" s="2222"/>
      <c r="V49" s="2222"/>
      <c r="X49" s="2222"/>
      <c r="Y49" s="2222"/>
      <c r="Z49" s="2222"/>
    </row>
    <row r="50" spans="1:26">
      <c r="A50" s="2208" t="s">
        <v>1084</v>
      </c>
      <c r="B50" s="2209">
        <f t="shared" ref="B50:C52" si="216">B49/(1+N49)</f>
        <v>254.44570563753314</v>
      </c>
      <c r="C50" s="2209">
        <f t="shared" si="216"/>
        <v>207.37543398705074</v>
      </c>
      <c r="D50" s="2209">
        <f t="shared" si="202"/>
        <v>207.37543398705074</v>
      </c>
      <c r="E50" s="2209">
        <f t="shared" ref="E50:F52" si="217">E49/(1+P49)</f>
        <v>352.81876655315932</v>
      </c>
      <c r="F50" s="2209">
        <f t="shared" si="217"/>
        <v>190.809968847352</v>
      </c>
      <c r="G50" s="3468">
        <v>2010</v>
      </c>
      <c r="H50" s="2230">
        <v>3</v>
      </c>
      <c r="I50" s="2230">
        <v>4.7300000000000004</v>
      </c>
      <c r="J50" s="2230">
        <v>3.9</v>
      </c>
      <c r="K50" s="2230">
        <v>5.03</v>
      </c>
      <c r="L50" s="2231">
        <v>4.21</v>
      </c>
      <c r="N50" s="2211">
        <f t="shared" si="204"/>
        <v>4.7300000000000002E-2</v>
      </c>
      <c r="O50" s="2196">
        <f t="shared" si="204"/>
        <v>3.9E-2</v>
      </c>
      <c r="P50" s="2196">
        <f t="shared" si="204"/>
        <v>5.0300000000000004E-2</v>
      </c>
      <c r="Q50" s="2196">
        <f t="shared" si="204"/>
        <v>4.2099999999999999E-2</v>
      </c>
      <c r="R50" s="2212"/>
      <c r="S50" s="2211"/>
      <c r="T50" s="2196"/>
      <c r="U50" s="2196"/>
      <c r="V50" s="2196"/>
    </row>
    <row r="51" spans="1:26">
      <c r="A51" s="2208" t="s">
        <v>1085</v>
      </c>
      <c r="B51" s="2209">
        <f t="shared" si="216"/>
        <v>242.95398227588385</v>
      </c>
      <c r="C51" s="2209">
        <f t="shared" si="216"/>
        <v>199.59137053614126</v>
      </c>
      <c r="D51" s="2209">
        <f t="shared" si="202"/>
        <v>199.59137053614126</v>
      </c>
      <c r="E51" s="2209">
        <f t="shared" si="217"/>
        <v>335.92189522342125</v>
      </c>
      <c r="F51" s="2209">
        <f t="shared" si="217"/>
        <v>183.10139991109489</v>
      </c>
      <c r="G51" s="3468">
        <v>2010</v>
      </c>
      <c r="H51" s="2219">
        <v>2</v>
      </c>
      <c r="I51" s="2219">
        <v>4.6900000000000004</v>
      </c>
      <c r="J51" s="2219">
        <v>3.55</v>
      </c>
      <c r="K51" s="2219">
        <v>5.07</v>
      </c>
      <c r="L51" s="2220">
        <v>4.2300000000000004</v>
      </c>
      <c r="N51" s="2211">
        <f t="shared" si="204"/>
        <v>4.6900000000000004E-2</v>
      </c>
      <c r="O51" s="2196">
        <f t="shared" si="204"/>
        <v>3.5499999999999997E-2</v>
      </c>
      <c r="P51" s="2196">
        <f t="shared" si="204"/>
        <v>5.0700000000000002E-2</v>
      </c>
      <c r="Q51" s="2196">
        <f t="shared" si="204"/>
        <v>4.2300000000000004E-2</v>
      </c>
      <c r="R51" s="2212"/>
      <c r="S51" s="2211"/>
      <c r="T51" s="2196"/>
      <c r="U51" s="2196"/>
      <c r="V51" s="2196"/>
    </row>
    <row r="52" spans="1:26" ht="13.5" thickBot="1">
      <c r="A52" s="2208" t="s">
        <v>1086</v>
      </c>
      <c r="B52" s="2209">
        <f t="shared" si="216"/>
        <v>232.06990378821649</v>
      </c>
      <c r="C52" s="2209">
        <f t="shared" si="216"/>
        <v>192.74878854286936</v>
      </c>
      <c r="D52" s="2209">
        <f t="shared" si="202"/>
        <v>192.74878854286936</v>
      </c>
      <c r="E52" s="2209">
        <f t="shared" si="217"/>
        <v>319.71247284992984</v>
      </c>
      <c r="F52" s="2209">
        <f t="shared" si="217"/>
        <v>175.67053622862409</v>
      </c>
      <c r="G52" s="3469">
        <v>2010</v>
      </c>
      <c r="H52" s="2210">
        <v>1</v>
      </c>
      <c r="I52" s="2210">
        <v>5.4</v>
      </c>
      <c r="J52" s="2210">
        <v>3.2</v>
      </c>
      <c r="K52" s="2210">
        <v>6.16</v>
      </c>
      <c r="L52" s="2214">
        <v>4.51</v>
      </c>
      <c r="N52" s="2211">
        <f t="shared" si="204"/>
        <v>5.4000000000000006E-2</v>
      </c>
      <c r="O52" s="2196">
        <f t="shared" si="204"/>
        <v>3.2000000000000001E-2</v>
      </c>
      <c r="P52" s="2196">
        <f t="shared" si="204"/>
        <v>6.1600000000000002E-2</v>
      </c>
      <c r="Q52" s="2196">
        <f t="shared" si="204"/>
        <v>4.5100000000000001E-2</v>
      </c>
      <c r="R52" s="2212"/>
      <c r="S52" s="2223">
        <f>B52/B53-1</f>
        <v>5.4863199037347599E-2</v>
      </c>
      <c r="T52" s="2224">
        <f>C52/C53-1</f>
        <v>3.0742184721226584E-2</v>
      </c>
      <c r="U52" s="2224">
        <f>E52/E53-1</f>
        <v>6.2167683886810154E-2</v>
      </c>
      <c r="V52" s="2224">
        <f>F52/F53-1</f>
        <v>4.5657953741810031E-2</v>
      </c>
      <c r="X52" s="2196"/>
      <c r="Y52" s="2196"/>
      <c r="Z52" s="2196"/>
    </row>
    <row r="53" spans="1:26" ht="13.5" thickBot="1">
      <c r="A53" s="2208" t="s">
        <v>1087</v>
      </c>
      <c r="B53" s="2217">
        <v>220</v>
      </c>
      <c r="C53" s="2217">
        <v>187</v>
      </c>
      <c r="D53" s="2217">
        <f t="shared" si="202"/>
        <v>187</v>
      </c>
      <c r="E53" s="2217">
        <v>301</v>
      </c>
      <c r="F53" s="2218">
        <v>168</v>
      </c>
      <c r="G53" s="3467">
        <v>2009</v>
      </c>
      <c r="H53" s="2225">
        <v>4</v>
      </c>
      <c r="I53" s="2225">
        <v>2.2999999999999998</v>
      </c>
      <c r="J53" s="2225">
        <v>1.04</v>
      </c>
      <c r="K53" s="2225">
        <v>2.84</v>
      </c>
      <c r="L53" s="2226">
        <v>0.67</v>
      </c>
      <c r="N53" s="2227">
        <f t="shared" si="204"/>
        <v>2.3E-2</v>
      </c>
      <c r="O53" s="2228">
        <f t="shared" si="204"/>
        <v>1.04E-2</v>
      </c>
      <c r="P53" s="2228">
        <f t="shared" si="204"/>
        <v>2.8399999999999998E-2</v>
      </c>
      <c r="Q53" s="2228">
        <f t="shared" si="204"/>
        <v>6.7000000000000002E-3</v>
      </c>
      <c r="R53" s="2212"/>
      <c r="S53" s="2221"/>
      <c r="T53" s="2222"/>
      <c r="U53" s="2222"/>
      <c r="V53" s="2222"/>
      <c r="X53" s="2222"/>
      <c r="Y53" s="2222"/>
      <c r="Z53" s="2222"/>
    </row>
    <row r="54" spans="1:26">
      <c r="A54" s="2208" t="s">
        <v>1088</v>
      </c>
      <c r="B54" s="2209">
        <f t="shared" ref="B54:C56" si="218">B53/(1+N53)</f>
        <v>215.05376344086022</v>
      </c>
      <c r="C54" s="2209">
        <f t="shared" si="218"/>
        <v>185.0752177355503</v>
      </c>
      <c r="D54" s="2209">
        <f t="shared" si="202"/>
        <v>185.0752177355503</v>
      </c>
      <c r="E54" s="2209">
        <f t="shared" ref="E54:F56" si="219">E53/(1+P53)</f>
        <v>292.68767016725008</v>
      </c>
      <c r="F54" s="2209">
        <f t="shared" si="219"/>
        <v>166.88189132810174</v>
      </c>
      <c r="G54" s="3468">
        <v>2009</v>
      </c>
      <c r="H54" s="2230">
        <v>3</v>
      </c>
      <c r="I54" s="2230">
        <v>2.1</v>
      </c>
      <c r="J54" s="2230">
        <v>1.86</v>
      </c>
      <c r="K54" s="2230">
        <v>2.29</v>
      </c>
      <c r="L54" s="2231">
        <v>0.85</v>
      </c>
      <c r="N54" s="2211">
        <f t="shared" si="204"/>
        <v>2.1000000000000001E-2</v>
      </c>
      <c r="O54" s="2196">
        <f t="shared" si="204"/>
        <v>1.8600000000000002E-2</v>
      </c>
      <c r="P54" s="2196">
        <f t="shared" si="204"/>
        <v>2.29E-2</v>
      </c>
      <c r="Q54" s="2196">
        <f t="shared" si="204"/>
        <v>8.5000000000000006E-3</v>
      </c>
      <c r="R54" s="2212"/>
      <c r="S54" s="2211"/>
      <c r="T54" s="2196"/>
      <c r="U54" s="2196"/>
      <c r="V54" s="2196"/>
    </row>
    <row r="55" spans="1:26">
      <c r="A55" s="2208" t="s">
        <v>1089</v>
      </c>
      <c r="B55" s="2209">
        <f t="shared" si="218"/>
        <v>210.630522469011</v>
      </c>
      <c r="C55" s="2209">
        <f t="shared" si="218"/>
        <v>181.69567812247232</v>
      </c>
      <c r="D55" s="2209">
        <f t="shared" si="202"/>
        <v>181.69567812247232</v>
      </c>
      <c r="E55" s="2209">
        <f t="shared" si="219"/>
        <v>286.13517466736738</v>
      </c>
      <c r="F55" s="2209">
        <f t="shared" si="219"/>
        <v>165.47535084591149</v>
      </c>
      <c r="G55" s="3468">
        <v>2009</v>
      </c>
      <c r="H55" s="2219">
        <v>2</v>
      </c>
      <c r="I55" s="2219">
        <v>0.86</v>
      </c>
      <c r="J55" s="2219">
        <v>-1.1299999999999999</v>
      </c>
      <c r="K55" s="2219">
        <v>1.79</v>
      </c>
      <c r="L55" s="2220">
        <v>-2.0699999999999998</v>
      </c>
      <c r="N55" s="2211">
        <f t="shared" si="204"/>
        <v>8.6E-3</v>
      </c>
      <c r="O55" s="2196">
        <f t="shared" si="204"/>
        <v>-1.1299999999999999E-2</v>
      </c>
      <c r="P55" s="2196">
        <f t="shared" si="204"/>
        <v>1.7899999999999999E-2</v>
      </c>
      <c r="Q55" s="2196">
        <f t="shared" si="204"/>
        <v>-2.07E-2</v>
      </c>
      <c r="R55" s="2212"/>
      <c r="S55" s="2211"/>
      <c r="T55" s="2196"/>
      <c r="U55" s="2196"/>
      <c r="V55" s="2196"/>
    </row>
    <row r="56" spans="1:26">
      <c r="A56" s="2208" t="s">
        <v>1090</v>
      </c>
      <c r="B56" s="2209">
        <f t="shared" si="218"/>
        <v>208.83454537875372</v>
      </c>
      <c r="C56" s="2209">
        <f t="shared" si="218"/>
        <v>183.77230517090351</v>
      </c>
      <c r="D56" s="2209">
        <f t="shared" si="202"/>
        <v>183.77230517090351</v>
      </c>
      <c r="E56" s="2209">
        <f t="shared" si="219"/>
        <v>281.10342338870947</v>
      </c>
      <c r="F56" s="2209">
        <f t="shared" si="219"/>
        <v>168.97309388942256</v>
      </c>
      <c r="G56" s="3469">
        <v>2009</v>
      </c>
      <c r="H56" s="2210">
        <v>1</v>
      </c>
      <c r="I56" s="2210">
        <v>-2.64</v>
      </c>
      <c r="J56" s="2210">
        <v>-2.5299999999999998</v>
      </c>
      <c r="K56" s="2210">
        <v>-3.02</v>
      </c>
      <c r="L56" s="2214">
        <v>1.52</v>
      </c>
      <c r="N56" s="2223">
        <f t="shared" si="204"/>
        <v>-2.64E-2</v>
      </c>
      <c r="O56" s="2224">
        <f t="shared" si="204"/>
        <v>-2.53E-2</v>
      </c>
      <c r="P56" s="2224">
        <f t="shared" si="204"/>
        <v>-3.0200000000000001E-2</v>
      </c>
      <c r="Q56" s="2224">
        <f t="shared" si="204"/>
        <v>1.52E-2</v>
      </c>
      <c r="R56" s="2212"/>
      <c r="S56" s="2223">
        <f>B56/B57-1</f>
        <v>-2.4137638417038754E-2</v>
      </c>
      <c r="T56" s="2224">
        <f>C56/C57-1</f>
        <v>-2.248773845264096E-2</v>
      </c>
      <c r="U56" s="2224">
        <f>E56/E57-1</f>
        <v>-2.7323794502735366E-2</v>
      </c>
      <c r="V56" s="2224">
        <f>F56/F57-1</f>
        <v>1.7910204153148035E-2</v>
      </c>
      <c r="X56" s="2196"/>
      <c r="Y56" s="2196"/>
      <c r="Z56" s="2196"/>
    </row>
    <row r="57" spans="1:26" ht="13.5" thickBot="1">
      <c r="A57" s="2208" t="s">
        <v>1091</v>
      </c>
      <c r="B57" s="2251">
        <v>214</v>
      </c>
      <c r="C57" s="2251">
        <v>188</v>
      </c>
      <c r="D57" s="2251">
        <f t="shared" si="202"/>
        <v>188</v>
      </c>
      <c r="E57" s="2251">
        <v>289</v>
      </c>
      <c r="F57" s="2252">
        <v>166</v>
      </c>
      <c r="G57" s="3467">
        <v>2008</v>
      </c>
      <c r="H57" s="2225">
        <v>4</v>
      </c>
      <c r="I57" s="2225">
        <v>1.73</v>
      </c>
      <c r="J57" s="2225">
        <v>0.03</v>
      </c>
      <c r="K57" s="2225">
        <v>2.59</v>
      </c>
      <c r="L57" s="2226">
        <v>-1.66</v>
      </c>
      <c r="N57" s="2211">
        <f t="shared" si="204"/>
        <v>1.7299999999999999E-2</v>
      </c>
      <c r="O57" s="2196">
        <f t="shared" si="204"/>
        <v>2.9999999999999997E-4</v>
      </c>
      <c r="P57" s="2196">
        <f t="shared" si="204"/>
        <v>2.5899999999999999E-2</v>
      </c>
      <c r="Q57" s="2196">
        <f t="shared" si="204"/>
        <v>-1.66E-2</v>
      </c>
      <c r="R57" s="2212"/>
      <c r="S57" s="2221"/>
      <c r="T57" s="2222"/>
      <c r="U57" s="2222"/>
      <c r="V57" s="2222"/>
      <c r="X57" s="2222"/>
      <c r="Y57" s="2222"/>
      <c r="Z57" s="2222"/>
    </row>
    <row r="58" spans="1:26">
      <c r="A58" s="2208" t="s">
        <v>1092</v>
      </c>
      <c r="B58" s="2209">
        <f t="shared" ref="B58:C60" si="220">B57/(1+N57)</f>
        <v>210.36075887152265</v>
      </c>
      <c r="C58" s="2209">
        <f t="shared" si="220"/>
        <v>187.94361691492554</v>
      </c>
      <c r="D58" s="2209">
        <f t="shared" si="202"/>
        <v>187.94361691492554</v>
      </c>
      <c r="E58" s="2209">
        <f t="shared" ref="E58:F60" si="221">E57/(1+P57)</f>
        <v>281.70386977288234</v>
      </c>
      <c r="F58" s="2209">
        <f t="shared" si="221"/>
        <v>168.80211511083994</v>
      </c>
      <c r="G58" s="3468">
        <v>2008</v>
      </c>
      <c r="H58" s="2230">
        <v>3</v>
      </c>
      <c r="I58" s="2230">
        <v>1.96</v>
      </c>
      <c r="J58" s="2230">
        <v>2.36</v>
      </c>
      <c r="K58" s="2230">
        <v>1.82</v>
      </c>
      <c r="L58" s="2231">
        <v>2.2200000000000002</v>
      </c>
      <c r="N58" s="2211">
        <f t="shared" si="204"/>
        <v>1.9599999999999999E-2</v>
      </c>
      <c r="O58" s="2196">
        <f t="shared" si="204"/>
        <v>2.3599999999999999E-2</v>
      </c>
      <c r="P58" s="2196">
        <f t="shared" si="204"/>
        <v>1.8200000000000001E-2</v>
      </c>
      <c r="Q58" s="2196">
        <f t="shared" si="204"/>
        <v>2.2200000000000001E-2</v>
      </c>
      <c r="R58" s="2212"/>
      <c r="S58" s="2211"/>
      <c r="T58" s="2196"/>
      <c r="U58" s="2196"/>
      <c r="V58" s="2196"/>
    </row>
    <row r="59" spans="1:26">
      <c r="A59" s="2208" t="s">
        <v>1093</v>
      </c>
      <c r="B59" s="2209">
        <f t="shared" si="220"/>
        <v>206.31694671589116</v>
      </c>
      <c r="C59" s="2209">
        <f t="shared" si="220"/>
        <v>183.61041121036101</v>
      </c>
      <c r="D59" s="2209">
        <f t="shared" si="202"/>
        <v>183.61041121036101</v>
      </c>
      <c r="E59" s="2209">
        <f t="shared" si="221"/>
        <v>276.66850301795557</v>
      </c>
      <c r="F59" s="2209">
        <f t="shared" si="221"/>
        <v>165.1360938278614</v>
      </c>
      <c r="G59" s="3468">
        <v>2008</v>
      </c>
      <c r="H59" s="2219">
        <v>2</v>
      </c>
      <c r="I59" s="2219">
        <v>4.93</v>
      </c>
      <c r="J59" s="2219">
        <v>7.38</v>
      </c>
      <c r="K59" s="2219">
        <v>3.98</v>
      </c>
      <c r="L59" s="2220">
        <v>6.86</v>
      </c>
      <c r="N59" s="2211">
        <f t="shared" si="204"/>
        <v>4.9299999999999997E-2</v>
      </c>
      <c r="O59" s="2196">
        <f t="shared" si="204"/>
        <v>7.3800000000000004E-2</v>
      </c>
      <c r="P59" s="2196">
        <f t="shared" si="204"/>
        <v>3.9800000000000002E-2</v>
      </c>
      <c r="Q59" s="2196">
        <f t="shared" si="204"/>
        <v>6.8600000000000008E-2</v>
      </c>
      <c r="R59" s="2212"/>
      <c r="S59" s="2211"/>
      <c r="T59" s="2196"/>
      <c r="U59" s="2196"/>
      <c r="V59" s="2196"/>
    </row>
    <row r="60" spans="1:26" s="2257" customFormat="1" ht="13.5" thickBot="1">
      <c r="A60" s="2208" t="s">
        <v>1094</v>
      </c>
      <c r="B60" s="2254">
        <f t="shared" si="220"/>
        <v>196.62341248059772</v>
      </c>
      <c r="C60" s="2254">
        <f t="shared" si="220"/>
        <v>170.99125648199012</v>
      </c>
      <c r="D60" s="2254">
        <f t="shared" si="202"/>
        <v>170.99125648199012</v>
      </c>
      <c r="E60" s="2254">
        <f t="shared" si="221"/>
        <v>266.07857570490052</v>
      </c>
      <c r="F60" s="2254">
        <f t="shared" si="221"/>
        <v>154.53499328828505</v>
      </c>
      <c r="G60" s="3469">
        <v>2008</v>
      </c>
      <c r="H60" s="2255">
        <v>1</v>
      </c>
      <c r="I60" s="2255">
        <v>4.1399999999999997</v>
      </c>
      <c r="J60" s="2255">
        <v>3.45</v>
      </c>
      <c r="K60" s="2255">
        <v>4.95</v>
      </c>
      <c r="L60" s="2256">
        <v>4.82</v>
      </c>
      <c r="N60" s="2258">
        <f t="shared" si="204"/>
        <v>4.1399999999999999E-2</v>
      </c>
      <c r="O60" s="2259">
        <f t="shared" si="204"/>
        <v>3.4500000000000003E-2</v>
      </c>
      <c r="P60" s="2259">
        <f t="shared" si="204"/>
        <v>4.9500000000000002E-2</v>
      </c>
      <c r="Q60" s="2259">
        <f t="shared" si="204"/>
        <v>4.82E-2</v>
      </c>
      <c r="R60" s="2260"/>
      <c r="S60" s="2258">
        <f>B60/B61-1</f>
        <v>4.5869215322328349E-2</v>
      </c>
      <c r="T60" s="2259">
        <f>C60/C61-1</f>
        <v>3.6310645345394743E-2</v>
      </c>
      <c r="U60" s="2259">
        <f>E60/E61-1</f>
        <v>4.7553447657088688E-2</v>
      </c>
      <c r="V60" s="2259">
        <f>F60/F61-1</f>
        <v>4.4155360055980086E-2</v>
      </c>
      <c r="X60" s="2259"/>
      <c r="Y60" s="2259"/>
      <c r="Z60" s="2259"/>
    </row>
    <row r="61" spans="1:26" ht="13.5" thickBot="1">
      <c r="A61" s="2208" t="s">
        <v>1095</v>
      </c>
      <c r="B61" s="2217">
        <v>188</v>
      </c>
      <c r="C61" s="2217">
        <v>165</v>
      </c>
      <c r="D61" s="2217">
        <f t="shared" si="202"/>
        <v>165</v>
      </c>
      <c r="E61" s="2217">
        <v>254</v>
      </c>
      <c r="F61" s="2218">
        <v>148</v>
      </c>
      <c r="G61" s="3467">
        <v>2007</v>
      </c>
      <c r="H61" s="2261">
        <v>4</v>
      </c>
      <c r="I61" s="2261">
        <v>5.51</v>
      </c>
      <c r="J61" s="2261">
        <v>4.8899999999999997</v>
      </c>
      <c r="K61" s="2261">
        <v>6.43</v>
      </c>
      <c r="L61" s="2262">
        <v>5.36</v>
      </c>
      <c r="N61" s="2263">
        <f t="shared" ref="N61:O64" si="222">B61/B62-1</f>
        <v>4.1339718365245526E-2</v>
      </c>
      <c r="O61" s="2264">
        <f t="shared" si="222"/>
        <v>4.0324492593776018E-2</v>
      </c>
      <c r="P61" s="2264">
        <f t="shared" ref="P61:Q64" si="223">E61/E62-1</f>
        <v>6.1625555347990968E-2</v>
      </c>
      <c r="Q61" s="2264">
        <f t="shared" si="223"/>
        <v>4.6757569250590603E-2</v>
      </c>
      <c r="R61" s="2212"/>
      <c r="S61" s="2221"/>
      <c r="T61" s="2222"/>
      <c r="U61" s="2222"/>
      <c r="V61" s="2222"/>
      <c r="X61" s="2222"/>
      <c r="Y61" s="2222"/>
      <c r="Z61" s="2222"/>
    </row>
    <row r="62" spans="1:26">
      <c r="A62" s="2208" t="s">
        <v>1096</v>
      </c>
      <c r="B62" s="2209">
        <f t="shared" ref="B62:C64" si="224">B63+(B$61-B$65)*I62/SUM(I$61:I$64)</f>
        <v>180.5366651097618</v>
      </c>
      <c r="C62" s="2209">
        <f t="shared" si="224"/>
        <v>158.60435967302453</v>
      </c>
      <c r="D62" s="2209">
        <f t="shared" si="202"/>
        <v>158.60435967302453</v>
      </c>
      <c r="E62" s="2209">
        <f t="shared" ref="E62:F64" si="225">E63+(E$61-E$65)*K62/SUM(K$61:K$64)</f>
        <v>239.25573260785075</v>
      </c>
      <c r="F62" s="2209">
        <f t="shared" si="225"/>
        <v>141.38899430740037</v>
      </c>
      <c r="G62" s="3468">
        <v>2007</v>
      </c>
      <c r="H62" s="2230">
        <v>3</v>
      </c>
      <c r="I62" s="2230">
        <v>8.65</v>
      </c>
      <c r="J62" s="2230">
        <v>8.06</v>
      </c>
      <c r="K62" s="2230">
        <v>9.94</v>
      </c>
      <c r="L62" s="2231">
        <v>5.8</v>
      </c>
      <c r="N62" s="2263">
        <f t="shared" si="222"/>
        <v>6.940217571740015E-2</v>
      </c>
      <c r="O62" s="2264">
        <f t="shared" si="222"/>
        <v>7.1197482471153428E-2</v>
      </c>
      <c r="P62" s="2264">
        <f t="shared" si="223"/>
        <v>0.10529679922579582</v>
      </c>
      <c r="Q62" s="2264">
        <f t="shared" si="223"/>
        <v>5.3292245059512133E-2</v>
      </c>
      <c r="R62" s="2212"/>
      <c r="S62" s="2211"/>
      <c r="T62" s="2196"/>
      <c r="U62" s="2196"/>
      <c r="V62" s="2196"/>
      <c r="X62" s="2265"/>
      <c r="Y62" s="2265"/>
      <c r="Z62" s="2265"/>
    </row>
    <row r="63" spans="1:26">
      <c r="A63" s="2208" t="s">
        <v>1097</v>
      </c>
      <c r="B63" s="2209">
        <f t="shared" si="224"/>
        <v>168.82017748715555</v>
      </c>
      <c r="C63" s="2209">
        <f t="shared" si="224"/>
        <v>148.06267029972753</v>
      </c>
      <c r="D63" s="2209">
        <f t="shared" si="202"/>
        <v>148.06267029972753</v>
      </c>
      <c r="E63" s="2209">
        <f t="shared" si="225"/>
        <v>216.46288379323747</v>
      </c>
      <c r="F63" s="2209">
        <f t="shared" si="225"/>
        <v>134.23529411764704</v>
      </c>
      <c r="G63" s="3468">
        <v>2007</v>
      </c>
      <c r="H63" s="2219">
        <v>2</v>
      </c>
      <c r="I63" s="2219">
        <v>3.67</v>
      </c>
      <c r="J63" s="2219">
        <v>2.3199999999999998</v>
      </c>
      <c r="K63" s="2219">
        <v>5.0199999999999996</v>
      </c>
      <c r="L63" s="2220">
        <v>6.71</v>
      </c>
      <c r="N63" s="2263">
        <f t="shared" si="222"/>
        <v>3.0339138143848032E-2</v>
      </c>
      <c r="O63" s="2264">
        <f t="shared" si="222"/>
        <v>2.0922341588790472E-2</v>
      </c>
      <c r="P63" s="2264">
        <f t="shared" si="223"/>
        <v>5.6164796592717003E-2</v>
      </c>
      <c r="Q63" s="2264">
        <f t="shared" si="223"/>
        <v>6.5704536723887319E-2</v>
      </c>
      <c r="R63" s="2212"/>
      <c r="S63" s="2211"/>
      <c r="T63" s="2196"/>
      <c r="U63" s="2196"/>
      <c r="V63" s="2196"/>
      <c r="X63" s="2265"/>
      <c r="Y63" s="2265"/>
      <c r="Z63" s="2265"/>
    </row>
    <row r="64" spans="1:26">
      <c r="A64" s="2208" t="s">
        <v>1098</v>
      </c>
      <c r="B64" s="2209">
        <f t="shared" si="224"/>
        <v>163.84913591779542</v>
      </c>
      <c r="C64" s="2209">
        <f t="shared" si="224"/>
        <v>145.0283378746594</v>
      </c>
      <c r="D64" s="2209">
        <f t="shared" si="202"/>
        <v>145.0283378746594</v>
      </c>
      <c r="E64" s="2209">
        <f t="shared" si="225"/>
        <v>204.95180722891567</v>
      </c>
      <c r="F64" s="2209">
        <f t="shared" si="225"/>
        <v>125.95920303605313</v>
      </c>
      <c r="G64" s="3469">
        <v>2007</v>
      </c>
      <c r="H64" s="2210">
        <v>1</v>
      </c>
      <c r="I64" s="2210">
        <v>3.58</v>
      </c>
      <c r="J64" s="2210">
        <v>3.08</v>
      </c>
      <c r="K64" s="2210">
        <v>4.34</v>
      </c>
      <c r="L64" s="2214">
        <v>3.21</v>
      </c>
      <c r="N64" s="2266">
        <f t="shared" si="222"/>
        <v>3.0497710174814063E-2</v>
      </c>
      <c r="O64" s="2267">
        <f t="shared" si="222"/>
        <v>2.8569772160704998E-2</v>
      </c>
      <c r="P64" s="2267">
        <f t="shared" si="223"/>
        <v>5.1034908866234296E-2</v>
      </c>
      <c r="Q64" s="2267">
        <f t="shared" si="223"/>
        <v>3.245248390207478E-2</v>
      </c>
      <c r="R64" s="2212"/>
      <c r="S64" s="2223">
        <f>B64/B65-1</f>
        <v>3.0497710174814063E-2</v>
      </c>
      <c r="T64" s="2224">
        <f>C64/C65-1</f>
        <v>2.8569772160704998E-2</v>
      </c>
      <c r="U64" s="2224">
        <f>E64/E65-1</f>
        <v>5.1034908866234296E-2</v>
      </c>
      <c r="V64" s="2224">
        <f>F64/F65-1</f>
        <v>3.245248390207478E-2</v>
      </c>
      <c r="X64" s="2265"/>
      <c r="Y64" s="2265"/>
      <c r="Z64" s="2265"/>
    </row>
    <row r="65" spans="1:26" ht="13.5" thickBot="1">
      <c r="A65" s="2208" t="s">
        <v>1099</v>
      </c>
      <c r="B65" s="2232">
        <v>159</v>
      </c>
      <c r="C65" s="2232">
        <v>141</v>
      </c>
      <c r="D65" s="2232">
        <f t="shared" si="202"/>
        <v>141</v>
      </c>
      <c r="E65" s="2232">
        <v>195</v>
      </c>
      <c r="F65" s="2233">
        <v>122</v>
      </c>
      <c r="G65" s="3467">
        <v>2006</v>
      </c>
      <c r="H65" s="2225">
        <v>4</v>
      </c>
      <c r="I65" s="2225">
        <v>3.79</v>
      </c>
      <c r="J65" s="2225">
        <v>2.21</v>
      </c>
      <c r="K65" s="2225">
        <v>5.65</v>
      </c>
      <c r="L65" s="2226">
        <v>5.41</v>
      </c>
      <c r="N65" s="2263">
        <f t="shared" ref="N65:O68" si="226">I65/SUM(I$65:I$68)*(B$65/B$69-1)</f>
        <v>7.245466462748526E-2</v>
      </c>
      <c r="O65" s="2264">
        <f t="shared" si="226"/>
        <v>2.3237230038062766E-2</v>
      </c>
      <c r="P65" s="2264">
        <f t="shared" ref="P65:Q68" si="227">K65/SUM(K$65:K$68)*(E$65/E$69-1)</f>
        <v>0.16146893866323722</v>
      </c>
      <c r="Q65" s="2264">
        <f t="shared" si="227"/>
        <v>5.0755230321793784E-2</v>
      </c>
      <c r="R65" s="2212"/>
      <c r="S65" s="2221"/>
      <c r="T65" s="2222"/>
      <c r="U65" s="2222"/>
      <c r="V65" s="2222"/>
      <c r="X65" s="2265"/>
      <c r="Y65" s="2265"/>
      <c r="Z65" s="2265"/>
    </row>
    <row r="66" spans="1:26">
      <c r="A66" s="2208" t="s">
        <v>1100</v>
      </c>
      <c r="B66" s="2209">
        <f t="shared" ref="B66:C68" si="228">B67+(B$65-B$69)*I66/SUM(I$65:I$68)</f>
        <v>149.00125628140702</v>
      </c>
      <c r="C66" s="2209">
        <f t="shared" si="228"/>
        <v>137.95592286501378</v>
      </c>
      <c r="D66" s="2209">
        <f t="shared" si="202"/>
        <v>137.95592286501378</v>
      </c>
      <c r="E66" s="2209">
        <f t="shared" ref="E66:F68" si="229">E67+(E$65-E$69)*K66/SUM(K$65:K$68)</f>
        <v>169.97231450719823</v>
      </c>
      <c r="F66" s="2209">
        <f t="shared" si="229"/>
        <v>116.21390374331551</v>
      </c>
      <c r="G66" s="3468">
        <v>2006</v>
      </c>
      <c r="H66" s="2230">
        <v>3</v>
      </c>
      <c r="I66" s="2230">
        <v>0.92</v>
      </c>
      <c r="J66" s="2230">
        <v>1.08</v>
      </c>
      <c r="K66" s="2230">
        <v>0.73</v>
      </c>
      <c r="L66" s="2231">
        <v>1.08</v>
      </c>
      <c r="N66" s="2263">
        <f t="shared" si="226"/>
        <v>1.7587939698492462E-2</v>
      </c>
      <c r="O66" s="2264">
        <f t="shared" si="226"/>
        <v>1.1355750425840628E-2</v>
      </c>
      <c r="P66" s="2264">
        <f t="shared" si="227"/>
        <v>2.0862358446754544E-2</v>
      </c>
      <c r="Q66" s="2264">
        <f t="shared" si="227"/>
        <v>1.0132282578103011E-2</v>
      </c>
      <c r="R66" s="2212"/>
      <c r="S66" s="2211"/>
      <c r="T66" s="2196"/>
      <c r="U66" s="2196"/>
      <c r="V66" s="2196"/>
      <c r="X66" s="2265"/>
      <c r="Y66" s="2265"/>
      <c r="Z66" s="2265"/>
    </row>
    <row r="67" spans="1:26">
      <c r="A67" s="2208" t="s">
        <v>1101</v>
      </c>
      <c r="B67" s="2209">
        <f t="shared" si="228"/>
        <v>146.57412060301507</v>
      </c>
      <c r="C67" s="2209">
        <f t="shared" si="228"/>
        <v>136.46831955922866</v>
      </c>
      <c r="D67" s="2209">
        <f t="shared" si="202"/>
        <v>136.46831955922866</v>
      </c>
      <c r="E67" s="2209">
        <f t="shared" si="229"/>
        <v>166.73864894795128</v>
      </c>
      <c r="F67" s="2209">
        <f t="shared" si="229"/>
        <v>115.05882352941177</v>
      </c>
      <c r="G67" s="3468">
        <v>2006</v>
      </c>
      <c r="H67" s="2219">
        <v>2</v>
      </c>
      <c r="I67" s="2219">
        <v>0.96</v>
      </c>
      <c r="J67" s="2219">
        <v>0.25</v>
      </c>
      <c r="K67" s="2219">
        <v>1.9</v>
      </c>
      <c r="L67" s="2220">
        <v>0.95</v>
      </c>
      <c r="N67" s="2263">
        <f t="shared" si="226"/>
        <v>1.8352632728861701E-2</v>
      </c>
      <c r="O67" s="2264">
        <f t="shared" si="226"/>
        <v>2.6286459319075526E-3</v>
      </c>
      <c r="P67" s="2264">
        <f t="shared" si="227"/>
        <v>5.4299289107991269E-2</v>
      </c>
      <c r="Q67" s="2264">
        <f t="shared" si="227"/>
        <v>8.9126559714794995E-3</v>
      </c>
      <c r="R67" s="2212"/>
      <c r="S67" s="2211"/>
      <c r="T67" s="2196"/>
      <c r="U67" s="2196"/>
      <c r="V67" s="2196"/>
      <c r="X67" s="2265"/>
      <c r="Y67" s="2265"/>
      <c r="Z67" s="2265"/>
    </row>
    <row r="68" spans="1:26">
      <c r="A68" s="2208" t="s">
        <v>1102</v>
      </c>
      <c r="B68" s="2209">
        <f t="shared" si="228"/>
        <v>144.04145728643215</v>
      </c>
      <c r="C68" s="2209">
        <f t="shared" si="228"/>
        <v>136.12396694214877</v>
      </c>
      <c r="D68" s="2209">
        <f t="shared" si="202"/>
        <v>136.12396694214877</v>
      </c>
      <c r="E68" s="2209">
        <f t="shared" si="229"/>
        <v>158.32225913621264</v>
      </c>
      <c r="F68" s="2209">
        <f t="shared" si="229"/>
        <v>114.04278074866311</v>
      </c>
      <c r="G68" s="3469">
        <v>2006</v>
      </c>
      <c r="H68" s="2210">
        <v>1</v>
      </c>
      <c r="I68" s="2210">
        <v>2.29</v>
      </c>
      <c r="J68" s="2210">
        <v>3.72</v>
      </c>
      <c r="K68" s="2210">
        <v>0.75</v>
      </c>
      <c r="L68" s="2214">
        <v>0.04</v>
      </c>
      <c r="N68" s="2266">
        <f t="shared" si="226"/>
        <v>4.3778675988638847E-2</v>
      </c>
      <c r="O68" s="2267">
        <f t="shared" si="226"/>
        <v>3.9114251466784385E-2</v>
      </c>
      <c r="P68" s="2267">
        <f t="shared" si="227"/>
        <v>2.1433929911049188E-2</v>
      </c>
      <c r="Q68" s="2267">
        <f t="shared" si="227"/>
        <v>3.7526972511492629E-4</v>
      </c>
      <c r="R68" s="2212"/>
      <c r="S68" s="2223">
        <f>B68/B69-1</f>
        <v>4.3778675988638716E-2</v>
      </c>
      <c r="T68" s="2224">
        <f>C68/C69-1</f>
        <v>3.91142514667846E-2</v>
      </c>
      <c r="U68" s="2224">
        <f>E68/E69-1</f>
        <v>2.143392991104931E-2</v>
      </c>
      <c r="V68" s="2224">
        <f>F68/F69-1</f>
        <v>3.7526972511492396E-4</v>
      </c>
      <c r="X68" s="2265"/>
      <c r="Y68" s="2265"/>
      <c r="Z68" s="2265"/>
    </row>
    <row r="69" spans="1:26" ht="13.5" thickBot="1">
      <c r="A69" s="2208" t="s">
        <v>1103</v>
      </c>
      <c r="B69" s="2232">
        <v>138</v>
      </c>
      <c r="C69" s="2232">
        <v>131</v>
      </c>
      <c r="D69" s="2232">
        <f t="shared" si="202"/>
        <v>131</v>
      </c>
      <c r="E69" s="2232">
        <v>155</v>
      </c>
      <c r="F69" s="2233">
        <v>114</v>
      </c>
      <c r="G69" s="3467">
        <v>2005</v>
      </c>
      <c r="H69" s="2225">
        <v>4</v>
      </c>
      <c r="I69" s="2225">
        <v>3.29</v>
      </c>
      <c r="J69" s="2225">
        <v>1.44</v>
      </c>
      <c r="K69" s="2225">
        <v>0.66</v>
      </c>
      <c r="L69" s="2226">
        <v>7.78</v>
      </c>
      <c r="N69" s="2263">
        <f t="shared" ref="N69:O72" si="230">I69/SUM(I$69:I$72)*(B$69/B$73-1)</f>
        <v>9.9404603216919935E-2</v>
      </c>
      <c r="O69" s="2264">
        <f t="shared" si="230"/>
        <v>4.7636550760861554E-2</v>
      </c>
      <c r="P69" s="2264">
        <f t="shared" ref="P69:Q72" si="231">K69/SUM(K$69:K$72)*(E$69/E$73-1)</f>
        <v>8.3756345177664976E-2</v>
      </c>
      <c r="Q69" s="2264">
        <f t="shared" si="231"/>
        <v>5.2148766661559584E-2</v>
      </c>
      <c r="R69" s="2212"/>
      <c r="S69" s="2221"/>
      <c r="T69" s="2222"/>
      <c r="U69" s="2222"/>
      <c r="V69" s="2222"/>
      <c r="X69" s="2265"/>
      <c r="Y69" s="2265"/>
      <c r="Z69" s="2265"/>
    </row>
    <row r="70" spans="1:26">
      <c r="A70" s="2208" t="s">
        <v>1104</v>
      </c>
      <c r="B70" s="2209">
        <f t="shared" ref="B70:C72" si="232">B71+(B$69-B$73)*I70/SUM(I$69:I$72)</f>
        <v>125.9720430107527</v>
      </c>
      <c r="C70" s="2209">
        <f t="shared" si="232"/>
        <v>125.1883408071749</v>
      </c>
      <c r="D70" s="2209">
        <f t="shared" si="202"/>
        <v>125.1883408071749</v>
      </c>
      <c r="E70" s="2209">
        <f t="shared" ref="E70:F72" si="233">E71+(E$69-E$73)*K70/SUM(K$69:K$72)</f>
        <v>144.61421319796952</v>
      </c>
      <c r="F70" s="2209">
        <f t="shared" si="233"/>
        <v>108.42008196721311</v>
      </c>
      <c r="G70" s="3468">
        <v>2005</v>
      </c>
      <c r="H70" s="2230">
        <v>3</v>
      </c>
      <c r="I70" s="2230">
        <v>0.46</v>
      </c>
      <c r="J70" s="2230">
        <v>0.32</v>
      </c>
      <c r="K70" s="2230">
        <v>0.42</v>
      </c>
      <c r="L70" s="2231">
        <v>0.64</v>
      </c>
      <c r="N70" s="2263">
        <f t="shared" si="230"/>
        <v>1.3898515951301874E-2</v>
      </c>
      <c r="O70" s="2264">
        <f t="shared" si="230"/>
        <v>1.0585900169080346E-2</v>
      </c>
      <c r="P70" s="2264">
        <f t="shared" si="231"/>
        <v>5.3299492385786795E-2</v>
      </c>
      <c r="Q70" s="2264">
        <f t="shared" si="231"/>
        <v>4.2898728359123568E-3</v>
      </c>
      <c r="R70" s="2212"/>
      <c r="S70" s="2211"/>
      <c r="T70" s="2196"/>
      <c r="U70" s="2196"/>
      <c r="V70" s="2196"/>
      <c r="X70" s="2265"/>
      <c r="Y70" s="2265"/>
      <c r="Z70" s="2265"/>
    </row>
    <row r="71" spans="1:26">
      <c r="A71" s="2208" t="s">
        <v>1105</v>
      </c>
      <c r="B71" s="2209">
        <f t="shared" si="232"/>
        <v>124.29032258064517</v>
      </c>
      <c r="C71" s="2209">
        <f t="shared" si="232"/>
        <v>123.8968609865471</v>
      </c>
      <c r="D71" s="2209">
        <f t="shared" si="202"/>
        <v>123.8968609865471</v>
      </c>
      <c r="E71" s="2209">
        <f t="shared" si="233"/>
        <v>138.00507614213197</v>
      </c>
      <c r="F71" s="2209">
        <f t="shared" si="233"/>
        <v>107.96106557377048</v>
      </c>
      <c r="G71" s="3468">
        <v>2005</v>
      </c>
      <c r="H71" s="2219">
        <v>2</v>
      </c>
      <c r="I71" s="2219">
        <v>0.47</v>
      </c>
      <c r="J71" s="2219">
        <v>0.1</v>
      </c>
      <c r="K71" s="2219">
        <v>0.52</v>
      </c>
      <c r="L71" s="2220">
        <v>0.79</v>
      </c>
      <c r="N71" s="2263">
        <f t="shared" si="230"/>
        <v>1.420065760241713E-2</v>
      </c>
      <c r="O71" s="2264">
        <f t="shared" si="230"/>
        <v>3.3080938028376083E-3</v>
      </c>
      <c r="P71" s="2264">
        <f t="shared" si="231"/>
        <v>6.598984771573603E-2</v>
      </c>
      <c r="Q71" s="2264">
        <f t="shared" si="231"/>
        <v>5.2953117818293153E-3</v>
      </c>
      <c r="R71" s="2212"/>
      <c r="S71" s="2211"/>
      <c r="T71" s="2196"/>
      <c r="U71" s="2196"/>
      <c r="V71" s="2196"/>
      <c r="X71" s="2265"/>
      <c r="Y71" s="2265"/>
      <c r="Z71" s="2265"/>
    </row>
    <row r="72" spans="1:26">
      <c r="A72" s="2208" t="s">
        <v>1106</v>
      </c>
      <c r="B72" s="2209">
        <f t="shared" si="232"/>
        <v>122.57204301075269</v>
      </c>
      <c r="C72" s="2209">
        <f t="shared" si="232"/>
        <v>123.4932735426009</v>
      </c>
      <c r="D72" s="2209">
        <f t="shared" si="202"/>
        <v>123.4932735426009</v>
      </c>
      <c r="E72" s="2209">
        <f t="shared" si="233"/>
        <v>129.82233502538071</v>
      </c>
      <c r="F72" s="2209">
        <f t="shared" si="233"/>
        <v>107.39446721311475</v>
      </c>
      <c r="G72" s="3469">
        <v>2005</v>
      </c>
      <c r="H72" s="2210">
        <v>1</v>
      </c>
      <c r="I72" s="2210">
        <v>0.43</v>
      </c>
      <c r="J72" s="2210">
        <v>0.37</v>
      </c>
      <c r="K72" s="2210">
        <v>0.37</v>
      </c>
      <c r="L72" s="2214">
        <v>0.55000000000000004</v>
      </c>
      <c r="N72" s="2266">
        <f t="shared" si="230"/>
        <v>1.2992090997956099E-2</v>
      </c>
      <c r="O72" s="2267">
        <f t="shared" si="230"/>
        <v>1.2239947070499151E-2</v>
      </c>
      <c r="P72" s="2267">
        <f t="shared" si="231"/>
        <v>4.6954314720812178E-2</v>
      </c>
      <c r="Q72" s="2267">
        <f t="shared" si="231"/>
        <v>3.6866094683621815E-3</v>
      </c>
      <c r="R72" s="2212"/>
      <c r="S72" s="2223">
        <f>B72/B73-1</f>
        <v>1.2992090997956174E-2</v>
      </c>
      <c r="T72" s="2224">
        <f>C72/C73-1</f>
        <v>1.2239947070499246E-2</v>
      </c>
      <c r="U72" s="2224">
        <f>E72/E73-1</f>
        <v>4.695431472081224E-2</v>
      </c>
      <c r="V72" s="2224">
        <f>F72/F73-1</f>
        <v>3.6866094683620787E-3</v>
      </c>
      <c r="X72" s="2265"/>
      <c r="Y72" s="2265"/>
      <c r="Z72" s="2265"/>
    </row>
    <row r="73" spans="1:26" ht="13.5" thickBot="1">
      <c r="A73" s="2208" t="s">
        <v>1107</v>
      </c>
      <c r="B73" s="2251">
        <v>121</v>
      </c>
      <c r="C73" s="2251">
        <v>122</v>
      </c>
      <c r="D73" s="2251">
        <f t="shared" si="202"/>
        <v>122</v>
      </c>
      <c r="E73" s="2251">
        <v>124</v>
      </c>
      <c r="F73" s="2252">
        <v>107</v>
      </c>
      <c r="G73" s="3467">
        <v>2004</v>
      </c>
      <c r="H73" s="2225">
        <v>4</v>
      </c>
      <c r="I73" s="2225">
        <v>0.33</v>
      </c>
      <c r="J73" s="2225">
        <v>0.5</v>
      </c>
      <c r="K73" s="2225">
        <v>0.5</v>
      </c>
      <c r="L73" s="2226">
        <v>0</v>
      </c>
      <c r="N73" s="2263">
        <f t="shared" ref="N73:O76" si="234">I73/SUM(I$73:I$76)*(B$73/B$77-1)</f>
        <v>1.3391770148526898E-2</v>
      </c>
      <c r="O73" s="2264">
        <f t="shared" si="234"/>
        <v>1.063264221158958E-2</v>
      </c>
      <c r="P73" s="2264">
        <f t="shared" ref="P73:Q76" si="235">K73/SUM(K$73:K$76)*(E$73/E$77-1)</f>
        <v>2.2244466688911134E-2</v>
      </c>
      <c r="Q73" s="2264">
        <f t="shared" si="235"/>
        <v>0</v>
      </c>
      <c r="R73" s="2212"/>
      <c r="S73" s="2221"/>
      <c r="T73" s="2222"/>
      <c r="U73" s="2222"/>
      <c r="V73" s="2222"/>
      <c r="X73" s="2265"/>
      <c r="Y73" s="2265"/>
      <c r="Z73" s="2265"/>
    </row>
    <row r="74" spans="1:26">
      <c r="A74" s="2208" t="s">
        <v>1108</v>
      </c>
      <c r="B74" s="2209">
        <f t="shared" ref="B74:C76" si="236">B75+(B$73-B$77)*I74/SUM(I$73:I$76)</f>
        <v>119.51351351351352</v>
      </c>
      <c r="C74" s="2209">
        <f t="shared" si="236"/>
        <v>120.7878787878788</v>
      </c>
      <c r="D74" s="2209">
        <f t="shared" si="202"/>
        <v>120.7878787878788</v>
      </c>
      <c r="E74" s="2209">
        <f t="shared" ref="E74:F76" si="237">E75+(E$73-E$77)*K74/SUM(K$73:K$76)</f>
        <v>121.5975975975976</v>
      </c>
      <c r="F74" s="2209">
        <f t="shared" si="237"/>
        <v>107</v>
      </c>
      <c r="G74" s="3468">
        <v>2004</v>
      </c>
      <c r="H74" s="2230">
        <v>3</v>
      </c>
      <c r="I74" s="2230">
        <v>0.56000000000000005</v>
      </c>
      <c r="J74" s="2230">
        <v>0.8</v>
      </c>
      <c r="K74" s="2230">
        <v>0.83</v>
      </c>
      <c r="L74" s="2231">
        <v>0.06</v>
      </c>
      <c r="N74" s="2263">
        <f t="shared" si="234"/>
        <v>2.2725428130833527E-2</v>
      </c>
      <c r="O74" s="2264">
        <f t="shared" si="234"/>
        <v>1.7012227538543329E-2</v>
      </c>
      <c r="P74" s="2264">
        <f t="shared" si="235"/>
        <v>3.6925814703592477E-2</v>
      </c>
      <c r="Q74" s="2264">
        <f t="shared" si="235"/>
        <v>2.8846153846153744E-2</v>
      </c>
      <c r="R74" s="2212"/>
      <c r="S74" s="2211"/>
      <c r="T74" s="2196"/>
      <c r="U74" s="2196"/>
      <c r="V74" s="2196"/>
      <c r="X74" s="2265"/>
      <c r="Y74" s="2265"/>
      <c r="Z74" s="2265"/>
    </row>
    <row r="75" spans="1:26">
      <c r="A75" s="2208" t="s">
        <v>1109</v>
      </c>
      <c r="B75" s="2209">
        <f t="shared" si="236"/>
        <v>116.99099099099099</v>
      </c>
      <c r="C75" s="2209">
        <f t="shared" si="236"/>
        <v>118.84848484848486</v>
      </c>
      <c r="D75" s="2209">
        <f t="shared" si="202"/>
        <v>118.84848484848486</v>
      </c>
      <c r="E75" s="2209">
        <f t="shared" si="237"/>
        <v>117.60960960960961</v>
      </c>
      <c r="F75" s="2209">
        <f t="shared" si="237"/>
        <v>104</v>
      </c>
      <c r="G75" s="3468">
        <v>2004</v>
      </c>
      <c r="H75" s="2219">
        <v>2</v>
      </c>
      <c r="I75" s="2219">
        <v>1</v>
      </c>
      <c r="J75" s="2219">
        <v>1.5</v>
      </c>
      <c r="K75" s="2219">
        <v>1.5</v>
      </c>
      <c r="L75" s="2220">
        <v>0</v>
      </c>
      <c r="N75" s="2263">
        <f t="shared" si="234"/>
        <v>4.0581121662202721E-2</v>
      </c>
      <c r="O75" s="2264">
        <f t="shared" si="234"/>
        <v>3.1897926634768738E-2</v>
      </c>
      <c r="P75" s="2264">
        <f t="shared" si="235"/>
        <v>6.6733400066733395E-2</v>
      </c>
      <c r="Q75" s="2264">
        <f t="shared" si="235"/>
        <v>0</v>
      </c>
      <c r="R75" s="2212"/>
      <c r="S75" s="2211"/>
      <c r="T75" s="2196"/>
      <c r="U75" s="2196"/>
      <c r="V75" s="2196"/>
      <c r="X75" s="2265"/>
      <c r="Y75" s="2265"/>
      <c r="Z75" s="2265"/>
    </row>
    <row r="76" spans="1:26" s="2257" customFormat="1" ht="13.5" thickBot="1">
      <c r="A76" s="2208" t="s">
        <v>1110</v>
      </c>
      <c r="B76" s="2254">
        <f t="shared" si="236"/>
        <v>112.48648648648648</v>
      </c>
      <c r="C76" s="2254">
        <f t="shared" si="236"/>
        <v>115.21212121212122</v>
      </c>
      <c r="D76" s="2254">
        <f t="shared" si="202"/>
        <v>115.21212121212122</v>
      </c>
      <c r="E76" s="2254">
        <f t="shared" si="237"/>
        <v>110.4024024024024</v>
      </c>
      <c r="F76" s="2254">
        <f t="shared" si="237"/>
        <v>104</v>
      </c>
      <c r="G76" s="3469">
        <v>2004</v>
      </c>
      <c r="H76" s="2255">
        <v>1</v>
      </c>
      <c r="I76" s="2255">
        <v>0.33</v>
      </c>
      <c r="J76" s="2255">
        <v>0.5</v>
      </c>
      <c r="K76" s="2255">
        <v>0.5</v>
      </c>
      <c r="L76" s="2256">
        <v>0</v>
      </c>
      <c r="N76" s="2268">
        <f t="shared" si="234"/>
        <v>1.3391770148526898E-2</v>
      </c>
      <c r="O76" s="2269">
        <f t="shared" si="234"/>
        <v>1.063264221158958E-2</v>
      </c>
      <c r="P76" s="2269">
        <f t="shared" si="235"/>
        <v>2.2244466688911134E-2</v>
      </c>
      <c r="Q76" s="2269">
        <f t="shared" si="235"/>
        <v>0</v>
      </c>
      <c r="R76" s="2260"/>
      <c r="S76" s="2258">
        <f>B76/B77-1</f>
        <v>1.3391770148526883E-2</v>
      </c>
      <c r="T76" s="2259">
        <f>C76/C77-1</f>
        <v>1.063264221158966E-2</v>
      </c>
      <c r="U76" s="2259">
        <f>E76/E77-1</f>
        <v>2.2244466688911224E-2</v>
      </c>
      <c r="V76" s="2259">
        <f>F76/F77-1</f>
        <v>0</v>
      </c>
      <c r="X76" s="2270"/>
      <c r="Y76" s="2270"/>
      <c r="Z76" s="2270"/>
    </row>
    <row r="77" spans="1:26" ht="13.5" thickBot="1">
      <c r="A77" s="2208" t="s">
        <v>1111</v>
      </c>
      <c r="B77" s="2271">
        <v>111</v>
      </c>
      <c r="C77" s="2271">
        <v>114</v>
      </c>
      <c r="D77" s="2271">
        <f t="shared" si="202"/>
        <v>114</v>
      </c>
      <c r="E77" s="2271">
        <v>108</v>
      </c>
      <c r="F77" s="2272">
        <v>104</v>
      </c>
      <c r="G77" s="3467">
        <v>2003</v>
      </c>
      <c r="H77" s="2261">
        <v>4</v>
      </c>
      <c r="I77" s="2273"/>
      <c r="J77" s="2273"/>
      <c r="K77" s="2273"/>
      <c r="L77" s="2273"/>
      <c r="N77" s="2274"/>
      <c r="O77" s="2273"/>
      <c r="P77" s="2273"/>
      <c r="Q77" s="2273"/>
      <c r="S77" s="2274"/>
      <c r="T77" s="2273"/>
      <c r="U77" s="2273"/>
      <c r="V77" s="2273"/>
      <c r="X77" s="2265"/>
      <c r="Y77" s="2265"/>
      <c r="Z77" s="2265"/>
    </row>
    <row r="78" spans="1:26">
      <c r="A78" s="2208" t="s">
        <v>1112</v>
      </c>
      <c r="B78" s="2275">
        <f t="shared" ref="B78:C80" si="238">B79+(B$77-B$81)/4</f>
        <v>109.75</v>
      </c>
      <c r="C78" s="2275">
        <f t="shared" si="238"/>
        <v>112.25</v>
      </c>
      <c r="D78" s="2275">
        <f t="shared" si="202"/>
        <v>112.25</v>
      </c>
      <c r="E78" s="2275">
        <f t="shared" ref="E78:F80" si="239">E79+(E$77-E$81)/4</f>
        <v>107.25</v>
      </c>
      <c r="F78" s="2275">
        <f t="shared" si="239"/>
        <v>103.5</v>
      </c>
      <c r="G78" s="3468">
        <v>2003</v>
      </c>
      <c r="H78" s="2230">
        <v>3</v>
      </c>
      <c r="I78" s="2273"/>
      <c r="J78" s="2273"/>
      <c r="K78" s="2273"/>
      <c r="L78" s="2273"/>
      <c r="X78" s="2265"/>
      <c r="Y78" s="2265"/>
      <c r="Z78" s="2265"/>
    </row>
    <row r="79" spans="1:26">
      <c r="A79" s="2208" t="s">
        <v>1113</v>
      </c>
      <c r="B79" s="2275">
        <f t="shared" si="238"/>
        <v>108.5</v>
      </c>
      <c r="C79" s="2275">
        <f t="shared" si="238"/>
        <v>110.5</v>
      </c>
      <c r="D79" s="2275">
        <f t="shared" si="202"/>
        <v>110.5</v>
      </c>
      <c r="E79" s="2275">
        <f t="shared" si="239"/>
        <v>106.5</v>
      </c>
      <c r="F79" s="2275">
        <f t="shared" si="239"/>
        <v>103</v>
      </c>
      <c r="G79" s="3468">
        <v>2003</v>
      </c>
      <c r="H79" s="2219">
        <v>2</v>
      </c>
      <c r="I79" s="2273"/>
      <c r="J79" s="2273"/>
      <c r="K79" s="2273"/>
      <c r="L79" s="2273"/>
      <c r="X79" s="2265"/>
      <c r="Y79" s="2265"/>
      <c r="Z79" s="2265"/>
    </row>
    <row r="80" spans="1:26" ht="13.5" thickBot="1">
      <c r="A80" s="2208" t="s">
        <v>1114</v>
      </c>
      <c r="B80" s="2275">
        <f t="shared" si="238"/>
        <v>107.25</v>
      </c>
      <c r="C80" s="2275">
        <f t="shared" si="238"/>
        <v>108.75</v>
      </c>
      <c r="D80" s="2275">
        <f t="shared" si="202"/>
        <v>108.75</v>
      </c>
      <c r="E80" s="2275">
        <f t="shared" si="239"/>
        <v>105.75</v>
      </c>
      <c r="F80" s="2275">
        <f t="shared" si="239"/>
        <v>102.5</v>
      </c>
      <c r="G80" s="3469">
        <v>2003</v>
      </c>
      <c r="H80" s="2276">
        <v>1</v>
      </c>
      <c r="I80" s="2273"/>
      <c r="J80" s="2273"/>
      <c r="K80" s="2273"/>
      <c r="L80" s="2273"/>
      <c r="S80" s="2211"/>
      <c r="T80" s="2196"/>
      <c r="U80" s="2196"/>
      <c r="X80" s="2265"/>
      <c r="Y80" s="2265"/>
      <c r="Z80" s="2265"/>
    </row>
    <row r="81" spans="1:26" ht="13.5" thickBot="1">
      <c r="A81" s="2208" t="s">
        <v>1115</v>
      </c>
      <c r="B81" s="2277">
        <v>106</v>
      </c>
      <c r="C81" s="2277">
        <v>107</v>
      </c>
      <c r="D81" s="2277">
        <f t="shared" si="202"/>
        <v>107</v>
      </c>
      <c r="E81" s="2277">
        <v>105</v>
      </c>
      <c r="F81" s="2278">
        <v>102</v>
      </c>
      <c r="G81" s="3467">
        <v>2002</v>
      </c>
      <c r="H81" s="2225">
        <v>4</v>
      </c>
      <c r="I81" s="2273"/>
      <c r="J81" s="2273"/>
      <c r="K81" s="2273"/>
      <c r="L81" s="2273"/>
      <c r="N81" s="2274"/>
      <c r="O81" s="2273"/>
      <c r="P81" s="2273"/>
      <c r="Q81" s="2273"/>
      <c r="S81" s="2274"/>
      <c r="T81" s="2273"/>
      <c r="U81" s="2273"/>
      <c r="V81" s="2273"/>
      <c r="X81" s="2265"/>
      <c r="Y81" s="2265"/>
      <c r="Z81" s="2265"/>
    </row>
    <row r="82" spans="1:26">
      <c r="A82" s="2208" t="s">
        <v>1116</v>
      </c>
      <c r="B82" s="2275">
        <f t="shared" ref="B82:C84" si="240">B83+(B$81-B$85)/4</f>
        <v>105</v>
      </c>
      <c r="C82" s="2275">
        <f t="shared" si="240"/>
        <v>106</v>
      </c>
      <c r="D82" s="2275">
        <f t="shared" si="202"/>
        <v>106</v>
      </c>
      <c r="E82" s="2275">
        <f t="shared" ref="E82:F84" si="241">E83+(E$81-E$85)/4</f>
        <v>104.5</v>
      </c>
      <c r="F82" s="2275">
        <f t="shared" si="241"/>
        <v>101.5</v>
      </c>
      <c r="G82" s="3468">
        <v>2002</v>
      </c>
      <c r="H82" s="2230">
        <v>3</v>
      </c>
      <c r="I82" s="2273"/>
      <c r="J82" s="2273"/>
      <c r="K82" s="2273"/>
      <c r="L82" s="2273"/>
      <c r="X82" s="2265"/>
      <c r="Y82" s="2265"/>
      <c r="Z82" s="2265"/>
    </row>
    <row r="83" spans="1:26">
      <c r="A83" s="2208" t="s">
        <v>1117</v>
      </c>
      <c r="B83" s="2275">
        <f t="shared" si="240"/>
        <v>104</v>
      </c>
      <c r="C83" s="2275">
        <f t="shared" si="240"/>
        <v>105</v>
      </c>
      <c r="D83" s="2275">
        <f t="shared" si="202"/>
        <v>105</v>
      </c>
      <c r="E83" s="2275">
        <f t="shared" si="241"/>
        <v>104</v>
      </c>
      <c r="F83" s="2275">
        <f t="shared" si="241"/>
        <v>101</v>
      </c>
      <c r="G83" s="3468">
        <v>2002</v>
      </c>
      <c r="H83" s="2219">
        <v>2</v>
      </c>
      <c r="I83" s="2273"/>
      <c r="J83" s="2273"/>
      <c r="K83" s="2273"/>
      <c r="L83" s="2273"/>
      <c r="X83" s="2265"/>
      <c r="Y83" s="2265"/>
      <c r="Z83" s="2265"/>
    </row>
    <row r="84" spans="1:26" s="2240" customFormat="1" ht="13.5" thickBot="1">
      <c r="A84" s="2236" t="s">
        <v>1118</v>
      </c>
      <c r="B84" s="2243">
        <f t="shared" si="240"/>
        <v>103</v>
      </c>
      <c r="C84" s="2243">
        <f t="shared" si="240"/>
        <v>104</v>
      </c>
      <c r="D84" s="2243">
        <f t="shared" si="202"/>
        <v>104</v>
      </c>
      <c r="E84" s="2243">
        <f t="shared" si="241"/>
        <v>103.5</v>
      </c>
      <c r="F84" s="2243">
        <f t="shared" si="241"/>
        <v>100.5</v>
      </c>
      <c r="G84" s="3469">
        <v>2002</v>
      </c>
      <c r="H84" s="2279">
        <v>1</v>
      </c>
      <c r="I84" s="2280"/>
      <c r="J84" s="2280"/>
      <c r="K84" s="2280"/>
      <c r="L84" s="2280"/>
      <c r="N84" s="2281"/>
      <c r="S84" s="2281"/>
      <c r="X84" s="2282"/>
      <c r="Y84" s="2282"/>
      <c r="Z84" s="2282"/>
    </row>
    <row r="85" spans="1:26" ht="13.5" thickBot="1">
      <c r="B85" s="2283">
        <v>102</v>
      </c>
      <c r="C85" s="2284">
        <v>103</v>
      </c>
      <c r="D85" s="2284">
        <f t="shared" si="202"/>
        <v>103</v>
      </c>
      <c r="E85" s="2284">
        <v>103</v>
      </c>
      <c r="F85" s="2285">
        <v>100</v>
      </c>
      <c r="I85" s="2273"/>
      <c r="J85" s="2273"/>
      <c r="K85" s="2273"/>
      <c r="L85" s="2273"/>
      <c r="N85" s="2274"/>
      <c r="O85" s="2273"/>
      <c r="P85" s="2273"/>
      <c r="Q85" s="2273"/>
      <c r="S85" s="2274"/>
      <c r="T85" s="2273"/>
      <c r="U85" s="2273"/>
      <c r="V85" s="2273"/>
      <c r="X85" s="2222"/>
      <c r="Y85" s="2222"/>
      <c r="Z85" s="2222"/>
    </row>
    <row r="87" spans="1:26" s="2287" customFormat="1">
      <c r="A87" s="2286" t="s">
        <v>1119</v>
      </c>
      <c r="G87" s="2288"/>
      <c r="N87" s="2288"/>
      <c r="S87" s="2288"/>
    </row>
    <row r="88" spans="1:26" s="2287" customFormat="1">
      <c r="A88" s="2287" t="s">
        <v>1120</v>
      </c>
      <c r="G88" s="2288"/>
      <c r="N88" s="2288"/>
      <c r="S88" s="2288"/>
    </row>
    <row r="89" spans="1:26" s="2287" customFormat="1">
      <c r="A89" s="2287" t="s">
        <v>1121</v>
      </c>
      <c r="G89" s="2288"/>
      <c r="I89" s="2289"/>
      <c r="J89" s="2289"/>
      <c r="K89" s="2289"/>
      <c r="L89" s="2289"/>
      <c r="N89" s="2290"/>
      <c r="O89" s="2289"/>
      <c r="P89" s="2289"/>
      <c r="Q89" s="2289"/>
      <c r="S89" s="2290"/>
      <c r="T89" s="2289"/>
      <c r="U89" s="2289"/>
      <c r="V89" s="2289"/>
    </row>
    <row r="90" spans="1:26" s="2287" customFormat="1">
      <c r="A90" s="2287" t="s">
        <v>1122</v>
      </c>
      <c r="G90" s="2288"/>
      <c r="N90" s="2288"/>
      <c r="S90" s="2288"/>
    </row>
    <row r="97" spans="7:22" ht="13.5" thickBot="1"/>
    <row r="98" spans="7:22">
      <c r="G98" s="2195"/>
      <c r="S98" s="2291" t="s">
        <v>1123</v>
      </c>
      <c r="T98" s="2230" t="s">
        <v>1124</v>
      </c>
      <c r="U98" s="2230" t="s">
        <v>1125</v>
      </c>
      <c r="V98" s="2230" t="s">
        <v>1126</v>
      </c>
    </row>
    <row r="99" spans="7:22">
      <c r="G99" s="2195"/>
      <c r="N99" s="2221"/>
      <c r="O99" s="2222"/>
      <c r="P99" s="2222"/>
      <c r="Q99" s="2222"/>
      <c r="S99" s="2292">
        <v>2006</v>
      </c>
      <c r="T99" s="2219">
        <v>15.1</v>
      </c>
      <c r="U99" s="2219">
        <v>7.43</v>
      </c>
      <c r="V99" s="2219">
        <v>26.26</v>
      </c>
    </row>
    <row r="100" spans="7:22">
      <c r="G100" s="2195"/>
      <c r="N100" s="2221"/>
      <c r="O100" s="2222"/>
      <c r="P100" s="2222"/>
      <c r="Q100" s="2222"/>
      <c r="S100" s="2293">
        <v>2005</v>
      </c>
      <c r="T100" s="2210">
        <v>13.9</v>
      </c>
      <c r="U100" s="2210">
        <v>7.49</v>
      </c>
      <c r="V100" s="2210">
        <v>24.92</v>
      </c>
    </row>
    <row r="101" spans="7:22">
      <c r="G101" s="2195"/>
      <c r="N101" s="2221"/>
      <c r="O101" s="2222"/>
      <c r="P101" s="2222"/>
      <c r="Q101" s="2222"/>
      <c r="S101" s="2292">
        <v>2004</v>
      </c>
      <c r="T101" s="2219">
        <v>9.48</v>
      </c>
      <c r="U101" s="2219">
        <v>7.2</v>
      </c>
      <c r="V101" s="2219">
        <v>14.68</v>
      </c>
    </row>
    <row r="102" spans="7:22">
      <c r="G102" s="2195"/>
      <c r="N102" s="2221"/>
      <c r="O102" s="2222"/>
      <c r="P102" s="2222"/>
      <c r="Q102" s="2222"/>
      <c r="S102" s="2293">
        <v>2003</v>
      </c>
      <c r="T102" s="2210">
        <v>4.5</v>
      </c>
      <c r="U102" s="2210">
        <v>6.12</v>
      </c>
      <c r="V102" s="2210">
        <v>2.34</v>
      </c>
    </row>
    <row r="103" spans="7:22" ht="13.5" thickBot="1">
      <c r="G103" s="2195"/>
      <c r="N103" s="2221"/>
      <c r="O103" s="2222"/>
      <c r="P103" s="2222"/>
      <c r="Q103" s="2222"/>
      <c r="S103" s="2294">
        <v>2002</v>
      </c>
      <c r="T103" s="2225">
        <v>3.59</v>
      </c>
      <c r="U103" s="2225">
        <v>4.54</v>
      </c>
      <c r="V103" s="2225">
        <v>2.5499999999999998</v>
      </c>
    </row>
    <row r="104" spans="7:22">
      <c r="G104" s="2195"/>
      <c r="N104" s="2221"/>
      <c r="O104" s="2222"/>
      <c r="P104" s="2222"/>
      <c r="Q104" s="2222"/>
    </row>
    <row r="105" spans="7:22">
      <c r="G105" s="2195"/>
      <c r="N105" s="2221"/>
      <c r="O105" s="2222"/>
      <c r="P105" s="2222"/>
      <c r="Q105" s="2222"/>
    </row>
    <row r="106" spans="7:22">
      <c r="G106" s="2195"/>
      <c r="N106" s="2221"/>
      <c r="O106" s="2222"/>
      <c r="P106" s="2222"/>
      <c r="Q106" s="2222"/>
    </row>
    <row r="107" spans="7:22">
      <c r="G107" s="2195"/>
      <c r="N107" s="2221"/>
      <c r="O107" s="2222"/>
      <c r="P107" s="2222"/>
      <c r="Q107" s="2222"/>
    </row>
    <row r="108" spans="7:22">
      <c r="G108" s="2195"/>
      <c r="N108" s="2221"/>
      <c r="O108" s="2222"/>
      <c r="P108" s="2222"/>
      <c r="Q108" s="2222"/>
    </row>
    <row r="109" spans="7:22">
      <c r="G109" s="2195"/>
      <c r="N109" s="2221"/>
      <c r="O109" s="2222"/>
      <c r="P109" s="2222"/>
      <c r="Q109" s="2222"/>
    </row>
    <row r="110" spans="7:22">
      <c r="G110" s="2195"/>
      <c r="N110" s="2221"/>
      <c r="O110" s="2222"/>
      <c r="P110" s="2222"/>
      <c r="Q110" s="2222"/>
    </row>
    <row r="111" spans="7:22">
      <c r="G111" s="2195"/>
      <c r="N111" s="2221"/>
      <c r="O111" s="2222"/>
      <c r="P111" s="2222"/>
      <c r="Q111" s="2222"/>
    </row>
    <row r="112" spans="7:22">
      <c r="G112" s="2195"/>
      <c r="N112" s="2221"/>
      <c r="O112" s="2222"/>
      <c r="P112" s="2222"/>
      <c r="Q112" s="2222"/>
    </row>
    <row r="113" spans="7:19">
      <c r="G113" s="2195"/>
      <c r="N113" s="2221"/>
      <c r="O113" s="2222"/>
      <c r="P113" s="2222"/>
      <c r="Q113" s="2222"/>
    </row>
    <row r="114" spans="7:19">
      <c r="G114" s="2195"/>
      <c r="N114" s="2221"/>
      <c r="O114" s="2222"/>
      <c r="P114" s="2222"/>
      <c r="Q114" s="2222"/>
      <c r="S114" s="2195"/>
    </row>
    <row r="115" spans="7:19">
      <c r="G115" s="2195"/>
      <c r="N115" s="2221"/>
      <c r="O115" s="2222"/>
      <c r="P115" s="2222"/>
      <c r="Q115" s="2222"/>
      <c r="S115" s="2195"/>
    </row>
    <row r="116" spans="7:19">
      <c r="G116" s="2195"/>
      <c r="N116" s="2221"/>
      <c r="O116" s="2222"/>
      <c r="P116" s="2222"/>
      <c r="Q116" s="2222"/>
      <c r="S116" s="2195"/>
    </row>
    <row r="117" spans="7:19">
      <c r="G117" s="2195"/>
      <c r="N117" s="2221"/>
      <c r="O117" s="2222"/>
      <c r="P117" s="2222"/>
      <c r="Q117" s="2222"/>
      <c r="S117" s="2195"/>
    </row>
    <row r="118" spans="7:19">
      <c r="G118" s="2195"/>
      <c r="N118" s="2221"/>
      <c r="O118" s="2222"/>
      <c r="P118" s="2222"/>
      <c r="Q118" s="2222"/>
      <c r="S118" s="2195"/>
    </row>
    <row r="119" spans="7:19">
      <c r="G119" s="2195"/>
      <c r="N119" s="2221"/>
      <c r="O119" s="2222"/>
      <c r="P119" s="2222"/>
      <c r="Q119" s="2222"/>
      <c r="S119" s="219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U518" sqref="U518"/>
      <selection pane="bottomLeft" activeCell="U30" sqref="U30"/>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27"/>
    <col min="19" max="19" width="9" style="127"/>
    <col min="20" max="45" width="9" style="692"/>
    <col min="46" max="16384" width="9" style="127"/>
  </cols>
  <sheetData>
    <row r="1" spans="1:45" ht="14.25" customHeight="1" thickBot="1">
      <c r="A1" s="143"/>
      <c r="B1" s="1052" t="s">
        <v>2755</v>
      </c>
      <c r="C1" s="3481" t="s">
        <v>2756</v>
      </c>
      <c r="D1" s="3482"/>
      <c r="E1" s="3482"/>
      <c r="F1" s="3482"/>
      <c r="G1" s="3482"/>
      <c r="H1" s="3482"/>
      <c r="I1" s="3482"/>
      <c r="J1" s="3482"/>
      <c r="K1" s="3482"/>
      <c r="L1" s="3482"/>
      <c r="M1" s="3482"/>
      <c r="N1" s="3482"/>
      <c r="O1" s="3482"/>
      <c r="P1" s="3482"/>
      <c r="Q1" s="3482"/>
      <c r="R1" s="3482"/>
      <c r="S1" s="3483"/>
      <c r="T1" s="1052" t="s">
        <v>2757</v>
      </c>
    </row>
    <row r="2" spans="1:45" s="633" customFormat="1" ht="38.25">
      <c r="A2" s="1053"/>
      <c r="B2" s="630" t="s">
        <v>2758</v>
      </c>
      <c r="C2" s="17" t="str">
        <f t="shared" ref="C2:L2" si="0">C3&amp;"(含)"&amp;"-"&amp;D3</f>
        <v>0(含)-100</v>
      </c>
      <c r="D2" s="631" t="str">
        <f t="shared" si="0"/>
        <v>100(含)-300</v>
      </c>
      <c r="E2" s="631" t="str">
        <f t="shared" si="0"/>
        <v>300(含)-500</v>
      </c>
      <c r="F2" s="631" t="str">
        <f t="shared" si="0"/>
        <v>500(含)-1000</v>
      </c>
      <c r="G2" s="631" t="str">
        <f t="shared" si="0"/>
        <v>1000(含)-1500</v>
      </c>
      <c r="H2" s="631" t="str">
        <f t="shared" si="0"/>
        <v>1500(含)-2000</v>
      </c>
      <c r="I2" s="631" t="str">
        <f t="shared" si="0"/>
        <v>2000(含)-2500</v>
      </c>
      <c r="J2" s="631" t="str">
        <f t="shared" si="0"/>
        <v>2500(含)-3000</v>
      </c>
      <c r="K2" s="631" t="str">
        <f t="shared" si="0"/>
        <v>3000(含)-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4" t="str">
        <f>S3&amp;"(含)"&amp;"-"</f>
        <v>(含)-</v>
      </c>
      <c r="T2" s="632"/>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row>
    <row r="3" spans="1:45" s="637" customFormat="1">
      <c r="A3" s="1055"/>
      <c r="B3" s="634"/>
      <c r="C3" s="635">
        <f>'比较法-办公'!C104</f>
        <v>0</v>
      </c>
      <c r="D3" s="635">
        <f>'比较法-办公'!D104</f>
        <v>100</v>
      </c>
      <c r="E3" s="635">
        <f>'比较法-办公'!E104</f>
        <v>300</v>
      </c>
      <c r="F3" s="635">
        <f>'比较法-办公'!F104</f>
        <v>500</v>
      </c>
      <c r="G3" s="635">
        <f>'比较法-办公'!G104</f>
        <v>1000</v>
      </c>
      <c r="H3" s="635">
        <f>'比较法-办公'!H104</f>
        <v>1500</v>
      </c>
      <c r="I3" s="635">
        <f>'比较法-办公'!I104</f>
        <v>2000</v>
      </c>
      <c r="J3" s="635">
        <f>'比较法-办公'!J104</f>
        <v>2500</v>
      </c>
      <c r="K3" s="635">
        <f>'比较法-办公'!K104</f>
        <v>3000</v>
      </c>
      <c r="L3" s="635"/>
      <c r="M3" s="1353"/>
      <c r="N3" s="1353"/>
      <c r="O3" s="1352"/>
      <c r="P3" s="1352"/>
      <c r="Q3" s="1352"/>
      <c r="R3" s="1352"/>
      <c r="S3" s="1354"/>
      <c r="T3" s="636"/>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row>
    <row r="4" spans="1:45" s="637" customFormat="1" ht="13.5" thickBot="1">
      <c r="A4" s="1056"/>
      <c r="B4" s="1057"/>
      <c r="C4" s="1058">
        <f>'比较法-办公'!C105</f>
        <v>96</v>
      </c>
      <c r="D4" s="1058">
        <f>'比较法-办公'!D105</f>
        <v>98</v>
      </c>
      <c r="E4" s="1058">
        <f>'比较法-办公'!E105</f>
        <v>100</v>
      </c>
      <c r="F4" s="1058">
        <f>'比较法-办公'!F105</f>
        <v>98</v>
      </c>
      <c r="G4" s="1058">
        <f>'比较法-办公'!G105</f>
        <v>96</v>
      </c>
      <c r="H4" s="1058">
        <f>'比较法-办公'!H105</f>
        <v>94</v>
      </c>
      <c r="I4" s="1058">
        <f>'比较法-办公'!I105</f>
        <v>92</v>
      </c>
      <c r="J4" s="1058">
        <f>'比较法-办公'!J105</f>
        <v>90</v>
      </c>
      <c r="K4" s="1355"/>
      <c r="L4" s="1355"/>
      <c r="M4" s="1356"/>
      <c r="N4" s="1356"/>
      <c r="O4" s="1355"/>
      <c r="P4" s="1355"/>
      <c r="Q4" s="1355"/>
      <c r="R4" s="1355"/>
      <c r="S4" s="1357"/>
      <c r="T4" s="1062"/>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row>
    <row r="5" spans="1:45" s="27" customFormat="1">
      <c r="A5" s="1048"/>
      <c r="B5" s="2940" t="s">
        <v>3186</v>
      </c>
      <c r="C5" s="2941" t="s">
        <v>3187</v>
      </c>
      <c r="D5" s="2942" t="s">
        <v>3188</v>
      </c>
      <c r="E5" s="2942" t="s">
        <v>3189</v>
      </c>
      <c r="F5" s="1358"/>
      <c r="G5" s="1358"/>
      <c r="H5" s="1358"/>
      <c r="I5" s="1358"/>
      <c r="J5" s="1358"/>
      <c r="K5" s="1358"/>
      <c r="L5" s="1359"/>
      <c r="M5" s="1360"/>
      <c r="N5" s="1360"/>
      <c r="O5" s="1358"/>
      <c r="P5" s="1358"/>
      <c r="Q5" s="1358"/>
      <c r="R5" s="1358"/>
      <c r="S5" s="1361"/>
      <c r="T5" s="1066">
        <f>'比较法-办公'!K27</f>
        <v>0</v>
      </c>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27" customFormat="1" ht="13.5" thickBot="1">
      <c r="A6" s="1048"/>
      <c r="B6" s="970"/>
      <c r="C6" s="975">
        <v>100</v>
      </c>
      <c r="D6" s="973">
        <f>C6-$T5</f>
        <v>100</v>
      </c>
      <c r="E6" s="973">
        <f t="shared" ref="E6:S6" si="7">D6-$T5</f>
        <v>100</v>
      </c>
      <c r="F6" s="1362">
        <f t="shared" si="7"/>
        <v>100</v>
      </c>
      <c r="G6" s="1362">
        <f t="shared" si="7"/>
        <v>100</v>
      </c>
      <c r="H6" s="1362">
        <f t="shared" si="7"/>
        <v>100</v>
      </c>
      <c r="I6" s="1362">
        <f t="shared" si="7"/>
        <v>100</v>
      </c>
      <c r="J6" s="1362">
        <f t="shared" si="7"/>
        <v>100</v>
      </c>
      <c r="K6" s="1362">
        <f t="shared" si="7"/>
        <v>100</v>
      </c>
      <c r="L6" s="1362">
        <f t="shared" si="7"/>
        <v>100</v>
      </c>
      <c r="M6" s="1362">
        <f t="shared" si="7"/>
        <v>100</v>
      </c>
      <c r="N6" s="1362">
        <f t="shared" si="7"/>
        <v>100</v>
      </c>
      <c r="O6" s="1362">
        <f t="shared" si="7"/>
        <v>100</v>
      </c>
      <c r="P6" s="1362">
        <f t="shared" si="7"/>
        <v>100</v>
      </c>
      <c r="Q6" s="1362">
        <f t="shared" si="7"/>
        <v>100</v>
      </c>
      <c r="R6" s="1362">
        <f t="shared" si="7"/>
        <v>100</v>
      </c>
      <c r="S6" s="1362">
        <f t="shared" si="7"/>
        <v>100</v>
      </c>
      <c r="T6" s="972"/>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27" customFormat="1" ht="24">
      <c r="A7" s="1048"/>
      <c r="B7" s="2943" t="s">
        <v>3190</v>
      </c>
      <c r="C7" s="2944" t="s">
        <v>3191</v>
      </c>
      <c r="D7" s="2945" t="s">
        <v>3192</v>
      </c>
      <c r="E7" s="2945" t="s">
        <v>3193</v>
      </c>
      <c r="F7" s="1363"/>
      <c r="G7" s="1363"/>
      <c r="H7" s="1363"/>
      <c r="I7" s="1363"/>
      <c r="J7" s="1363"/>
      <c r="K7" s="1363"/>
      <c r="L7" s="1363"/>
      <c r="M7" s="1364"/>
      <c r="N7" s="1365"/>
      <c r="O7" s="1366"/>
      <c r="P7" s="1366"/>
      <c r="Q7" s="1367"/>
      <c r="R7" s="1368"/>
      <c r="S7" s="1369"/>
      <c r="T7" s="638">
        <f>'比较法-办公'!K43</f>
        <v>0</v>
      </c>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27" customFormat="1" ht="13.5" thickBot="1">
      <c r="A8" s="1048"/>
      <c r="B8" s="970"/>
      <c r="C8" s="975">
        <v>100</v>
      </c>
      <c r="D8" s="973">
        <f>C8-$T7</f>
        <v>100</v>
      </c>
      <c r="E8" s="973">
        <f t="shared" ref="E8:S8" si="8">D8-$T7</f>
        <v>100</v>
      </c>
      <c r="F8" s="1362">
        <f t="shared" si="8"/>
        <v>100</v>
      </c>
      <c r="G8" s="1362">
        <f t="shared" si="8"/>
        <v>100</v>
      </c>
      <c r="H8" s="1362">
        <f t="shared" si="8"/>
        <v>100</v>
      </c>
      <c r="I8" s="1362">
        <f t="shared" si="8"/>
        <v>100</v>
      </c>
      <c r="J8" s="1362">
        <f t="shared" si="8"/>
        <v>100</v>
      </c>
      <c r="K8" s="1362">
        <f t="shared" si="8"/>
        <v>100</v>
      </c>
      <c r="L8" s="1362">
        <f t="shared" si="8"/>
        <v>100</v>
      </c>
      <c r="M8" s="1362">
        <f t="shared" si="8"/>
        <v>100</v>
      </c>
      <c r="N8" s="1362">
        <f t="shared" si="8"/>
        <v>100</v>
      </c>
      <c r="O8" s="1362">
        <f t="shared" si="8"/>
        <v>100</v>
      </c>
      <c r="P8" s="1362">
        <f t="shared" si="8"/>
        <v>100</v>
      </c>
      <c r="Q8" s="1362">
        <f t="shared" si="8"/>
        <v>100</v>
      </c>
      <c r="R8" s="1362">
        <f t="shared" si="8"/>
        <v>100</v>
      </c>
      <c r="S8" s="1362">
        <f t="shared" si="8"/>
        <v>100</v>
      </c>
      <c r="T8" s="972"/>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27" customFormat="1">
      <c r="A9" s="1048"/>
      <c r="B9" s="2943" t="s">
        <v>3194</v>
      </c>
      <c r="C9" s="2944" t="s">
        <v>3195</v>
      </c>
      <c r="D9" s="2945" t="s">
        <v>3196</v>
      </c>
      <c r="E9" s="969"/>
      <c r="F9" s="1363"/>
      <c r="G9" s="1363"/>
      <c r="H9" s="1363"/>
      <c r="I9" s="1363"/>
      <c r="J9" s="1363"/>
      <c r="K9" s="1363"/>
      <c r="L9" s="1370"/>
      <c r="M9" s="1364"/>
      <c r="N9" s="1365"/>
      <c r="O9" s="1366"/>
      <c r="P9" s="1366"/>
      <c r="Q9" s="1367"/>
      <c r="R9" s="1368"/>
      <c r="S9" s="1369"/>
      <c r="T9" s="638">
        <v>10</v>
      </c>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27" customFormat="1" ht="13.5" thickBot="1">
      <c r="A10" s="1048"/>
      <c r="B10" s="1057"/>
      <c r="C10" s="1067">
        <v>100</v>
      </c>
      <c r="D10" s="813">
        <f>C10-$T9</f>
        <v>90</v>
      </c>
      <c r="E10" s="813">
        <f t="shared" ref="E10:S10" si="9">D10-$T9</f>
        <v>80</v>
      </c>
      <c r="F10" s="1371">
        <f t="shared" si="9"/>
        <v>70</v>
      </c>
      <c r="G10" s="1371">
        <f t="shared" si="9"/>
        <v>60</v>
      </c>
      <c r="H10" s="1371">
        <f t="shared" si="9"/>
        <v>50</v>
      </c>
      <c r="I10" s="1371">
        <f t="shared" si="9"/>
        <v>40</v>
      </c>
      <c r="J10" s="1371">
        <f t="shared" si="9"/>
        <v>30</v>
      </c>
      <c r="K10" s="1371">
        <f t="shared" si="9"/>
        <v>20</v>
      </c>
      <c r="L10" s="1371">
        <f t="shared" si="9"/>
        <v>10</v>
      </c>
      <c r="M10" s="1371">
        <f t="shared" si="9"/>
        <v>0</v>
      </c>
      <c r="N10" s="1371">
        <f t="shared" si="9"/>
        <v>-10</v>
      </c>
      <c r="O10" s="1371">
        <f t="shared" si="9"/>
        <v>-20</v>
      </c>
      <c r="P10" s="1371">
        <f t="shared" si="9"/>
        <v>-30</v>
      </c>
      <c r="Q10" s="1371">
        <f t="shared" si="9"/>
        <v>-40</v>
      </c>
      <c r="R10" s="1371">
        <f t="shared" si="9"/>
        <v>-50</v>
      </c>
      <c r="S10" s="1371">
        <f t="shared" si="9"/>
        <v>-60</v>
      </c>
      <c r="T10" s="106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27" customFormat="1">
      <c r="A11" s="1048"/>
      <c r="B11" s="1380" t="s">
        <v>2759</v>
      </c>
      <c r="C11" s="1063"/>
      <c r="D11" s="1064"/>
      <c r="E11" s="1064"/>
      <c r="F11" s="1064"/>
      <c r="G11" s="1064"/>
      <c r="H11" s="1064"/>
      <c r="I11" s="1064"/>
      <c r="J11" s="1064"/>
      <c r="K11" s="1064"/>
      <c r="L11" s="1064"/>
      <c r="M11" s="1065"/>
      <c r="N11" s="1068"/>
      <c r="O11" s="1069"/>
      <c r="P11" s="1069"/>
      <c r="Q11" s="1070"/>
      <c r="R11" s="1071"/>
      <c r="S11" s="1072"/>
      <c r="T11" s="1066"/>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27" customFormat="1" ht="13.5" thickBot="1">
      <c r="A12" s="1048"/>
      <c r="B12" s="970"/>
      <c r="C12" s="975">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Q12-$T11</f>
        <v>100</v>
      </c>
      <c r="S12" s="973">
        <f t="shared" si="10"/>
        <v>100</v>
      </c>
      <c r="T12" s="972"/>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27" customFormat="1">
      <c r="A13" s="1048"/>
      <c r="B13" s="1380" t="s">
        <v>2760</v>
      </c>
      <c r="C13" s="1063"/>
      <c r="D13" s="1064"/>
      <c r="E13" s="1064"/>
      <c r="F13" s="1064"/>
      <c r="G13" s="1064"/>
      <c r="H13" s="1064"/>
      <c r="I13" s="1064"/>
      <c r="J13" s="1064"/>
      <c r="K13" s="1064"/>
      <c r="L13" s="1064"/>
      <c r="M13" s="1065"/>
      <c r="N13" s="1068"/>
      <c r="O13" s="1069"/>
      <c r="P13" s="1069"/>
      <c r="Q13" s="1070"/>
      <c r="R13" s="1071"/>
      <c r="S13" s="1072"/>
      <c r="T13" s="1073"/>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27" customFormat="1" ht="13.5" thickBot="1">
      <c r="A14" s="1048"/>
      <c r="B14" s="970"/>
      <c r="C14" s="974"/>
      <c r="D14" s="971"/>
      <c r="E14" s="971"/>
      <c r="F14" s="971"/>
      <c r="G14" s="971"/>
      <c r="H14" s="971"/>
      <c r="I14" s="971"/>
      <c r="J14" s="971"/>
      <c r="K14" s="971"/>
      <c r="L14" s="971"/>
      <c r="M14" s="1074"/>
      <c r="N14" s="1074"/>
      <c r="O14" s="971"/>
      <c r="P14" s="971"/>
      <c r="Q14" s="971"/>
      <c r="R14" s="971"/>
      <c r="S14" s="1075"/>
      <c r="T14" s="972"/>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27" customFormat="1">
      <c r="A15" s="1048"/>
      <c r="B15" s="1380" t="s">
        <v>2761</v>
      </c>
      <c r="C15" s="1063"/>
      <c r="D15" s="1064"/>
      <c r="E15" s="1064"/>
      <c r="F15" s="1064"/>
      <c r="G15" s="1064"/>
      <c r="H15" s="1064"/>
      <c r="I15" s="1064"/>
      <c r="J15" s="1064"/>
      <c r="K15" s="1064"/>
      <c r="L15" s="1064"/>
      <c r="M15" s="1065"/>
      <c r="N15" s="1068"/>
      <c r="O15" s="1069"/>
      <c r="P15" s="1069"/>
      <c r="Q15" s="1070"/>
      <c r="R15" s="1071"/>
      <c r="S15" s="1072"/>
      <c r="T15" s="1073"/>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27" customFormat="1" ht="13.5" thickBot="1">
      <c r="A16" s="1048"/>
      <c r="B16" s="1057"/>
      <c r="C16" s="1058"/>
      <c r="D16" s="1059"/>
      <c r="E16" s="1059"/>
      <c r="F16" s="1059"/>
      <c r="G16" s="1059"/>
      <c r="H16" s="1059"/>
      <c r="I16" s="1059"/>
      <c r="J16" s="1059"/>
      <c r="K16" s="1059"/>
      <c r="L16" s="1059"/>
      <c r="M16" s="1060"/>
      <c r="N16" s="1060"/>
      <c r="O16" s="1059"/>
      <c r="P16" s="1059"/>
      <c r="Q16" s="1059"/>
      <c r="R16" s="1059"/>
      <c r="S16" s="1061"/>
      <c r="T16" s="106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633" customFormat="1">
      <c r="A17" s="2152" t="s">
        <v>2762</v>
      </c>
      <c r="B17" s="2153" t="s">
        <v>2763</v>
      </c>
      <c r="C17" s="1076"/>
      <c r="D17" s="1077"/>
      <c r="E17" s="1077"/>
      <c r="F17" s="1077"/>
      <c r="G17" s="1077"/>
      <c r="H17" s="1077"/>
      <c r="I17" s="1077"/>
      <c r="J17" s="1077"/>
      <c r="K17" s="1077"/>
      <c r="L17" s="1078"/>
      <c r="M17" s="1079"/>
      <c r="N17" s="1080"/>
      <c r="O17" s="1081"/>
      <c r="P17" s="1081"/>
      <c r="Q17" s="1082"/>
      <c r="R17" s="1083"/>
      <c r="S17" s="1084"/>
      <c r="T17" s="1084"/>
      <c r="U17" s="1084"/>
      <c r="V17" s="1084"/>
      <c r="W17" s="1084"/>
      <c r="X17" s="1084"/>
      <c r="Y17" s="1084"/>
      <c r="Z17" s="1084"/>
      <c r="AA17" s="1084"/>
      <c r="AB17" s="1084"/>
      <c r="AC17" s="1084"/>
      <c r="AD17" s="1084"/>
      <c r="AE17" s="1084"/>
      <c r="AF17" s="1084"/>
      <c r="AG17" s="1084"/>
      <c r="AH17" s="1084"/>
      <c r="AI17" s="1084"/>
      <c r="AJ17" s="1084"/>
      <c r="AK17" s="1084"/>
      <c r="AL17" s="1084"/>
      <c r="AM17" s="1084"/>
      <c r="AN17" s="1084"/>
      <c r="AO17" s="1084"/>
      <c r="AP17" s="1084"/>
      <c r="AQ17" s="1084"/>
      <c r="AR17" s="693"/>
      <c r="AS17" s="693"/>
    </row>
    <row r="18" spans="1:45" s="633" customFormat="1" ht="13.5" thickBot="1">
      <c r="A18" s="1085"/>
      <c r="B18" s="1086"/>
      <c r="C18" s="1087"/>
      <c r="D18" s="1088"/>
      <c r="E18" s="1088"/>
      <c r="F18" s="1088"/>
      <c r="G18" s="1088"/>
      <c r="H18" s="1088"/>
      <c r="I18" s="1088"/>
      <c r="J18" s="1088"/>
      <c r="K18" s="1088"/>
      <c r="L18" s="1088"/>
      <c r="M18" s="1089"/>
      <c r="N18" s="1089"/>
      <c r="O18" s="1088"/>
      <c r="P18" s="1088"/>
      <c r="Q18" s="1088"/>
      <c r="R18" s="1088"/>
      <c r="S18" s="1090"/>
      <c r="T18" s="1090"/>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693"/>
      <c r="AS18" s="693"/>
    </row>
    <row r="19" spans="1:45">
      <c r="A19" s="126"/>
      <c r="B19" s="156"/>
      <c r="C19" s="156"/>
      <c r="D19" s="2154" t="s">
        <v>2764</v>
      </c>
      <c r="E19" s="1397"/>
      <c r="F19" s="1397"/>
      <c r="G19" s="1397"/>
      <c r="H19" s="1120"/>
      <c r="I19" s="156"/>
      <c r="J19" s="156"/>
      <c r="K19" s="156"/>
      <c r="L19" s="156"/>
      <c r="M19" s="156"/>
      <c r="N19" s="156"/>
      <c r="O19" s="156"/>
      <c r="P19" s="156"/>
      <c r="Q19" s="156"/>
      <c r="R19" s="156"/>
      <c r="S19" s="126"/>
    </row>
    <row r="20" spans="1:45" ht="16.5" thickBot="1">
      <c r="A20" s="640" t="s">
        <v>2765</v>
      </c>
      <c r="B20" s="292" t="e">
        <f ca="1">IF(D20="——",S22,S22-F20)</f>
        <v>#REF!</v>
      </c>
      <c r="C20" s="156"/>
      <c r="D20" s="2155"/>
      <c r="E20" s="1398"/>
      <c r="F20" s="1052" t="e">
        <f ca="1">SUMIF(INDIRECT("'"&amp;H20&amp;"'"&amp;"!A:A"),"承租人权益价值",INDIRECT("'"&amp;H20&amp;"'"&amp;"!c:c"))</f>
        <v>#REF!</v>
      </c>
      <c r="G20" s="1052" t="s">
        <v>2766</v>
      </c>
      <c r="H20" s="2156"/>
      <c r="I20" s="156"/>
      <c r="J20" s="156"/>
      <c r="K20" s="156"/>
      <c r="L20" s="156"/>
      <c r="M20" s="156"/>
      <c r="N20" s="156"/>
      <c r="O20" s="156"/>
      <c r="P20" s="156"/>
      <c r="Q20" s="156"/>
      <c r="R20" s="156"/>
      <c r="S20" s="126"/>
      <c r="U20" s="692" t="s">
        <v>3197</v>
      </c>
    </row>
    <row r="21" spans="1:45" ht="15.75">
      <c r="A21" s="640" t="s">
        <v>2767</v>
      </c>
      <c r="B21" s="292" t="e">
        <f ca="1">ROUND(B20*10000/B22,0)</f>
        <v>#REF!</v>
      </c>
      <c r="C21" s="156"/>
      <c r="D21" s="156"/>
      <c r="E21" s="156"/>
      <c r="F21" s="156"/>
      <c r="G21" s="156"/>
      <c r="H21" s="156"/>
      <c r="I21" s="156"/>
      <c r="J21" s="156"/>
      <c r="K21" s="156"/>
      <c r="L21" s="156"/>
      <c r="M21" s="156"/>
      <c r="N21" s="156"/>
      <c r="O21" s="156"/>
      <c r="P21" s="156"/>
      <c r="Q21" s="156"/>
      <c r="R21" s="156"/>
      <c r="S21" s="126"/>
      <c r="U21" s="2946" t="s">
        <v>3198</v>
      </c>
      <c r="V21" s="2946" t="s">
        <v>3199</v>
      </c>
    </row>
    <row r="22" spans="1:45">
      <c r="A22" s="314" t="s">
        <v>2768</v>
      </c>
      <c r="B22" s="24">
        <f>SUM(B24:B10000)</f>
        <v>15279.679999999998</v>
      </c>
      <c r="C22" s="3478" t="s">
        <v>33</v>
      </c>
      <c r="D22" s="3479"/>
      <c r="E22" s="3479"/>
      <c r="F22" s="3479"/>
      <c r="G22" s="3479"/>
      <c r="H22" s="3479"/>
      <c r="I22" s="3479"/>
      <c r="J22" s="3479"/>
      <c r="K22" s="3479"/>
      <c r="L22" s="3479"/>
      <c r="M22" s="3479"/>
      <c r="N22" s="3479"/>
      <c r="O22" s="3479"/>
      <c r="P22" s="3479"/>
      <c r="Q22" s="3480"/>
      <c r="R22" s="24">
        <f ca="1">ROUND(S22*10000/B22,0)</f>
        <v>28253</v>
      </c>
      <c r="S22" s="24">
        <f ca="1">SUM(S24:S10000)</f>
        <v>43169</v>
      </c>
      <c r="U22" s="692">
        <v>75541</v>
      </c>
      <c r="V22" s="692">
        <v>115424</v>
      </c>
    </row>
    <row r="23" spans="1:45" s="12" customFormat="1" ht="24">
      <c r="A23" s="11" t="s">
        <v>2769</v>
      </c>
      <c r="B23" s="11" t="s">
        <v>2770</v>
      </c>
      <c r="C23" s="11" t="s">
        <v>2771</v>
      </c>
      <c r="D23" s="11" t="str">
        <f>B5</f>
        <v>楼层</v>
      </c>
      <c r="E23" s="11" t="s">
        <v>2771</v>
      </c>
      <c r="F23" s="11" t="str">
        <f>B7</f>
        <v>装修</v>
      </c>
      <c r="G23" s="11" t="s">
        <v>2771</v>
      </c>
      <c r="H23" s="11" t="str">
        <f>B9</f>
        <v>实际用途</v>
      </c>
      <c r="I23" s="11" t="s">
        <v>2771</v>
      </c>
      <c r="J23" s="11" t="str">
        <f>B11</f>
        <v>修正项5</v>
      </c>
      <c r="K23" s="11" t="s">
        <v>2771</v>
      </c>
      <c r="L23" s="11" t="str">
        <f>B13</f>
        <v>修正项6</v>
      </c>
      <c r="M23" s="11" t="s">
        <v>2771</v>
      </c>
      <c r="N23" s="11" t="str">
        <f>B15</f>
        <v>修正项7</v>
      </c>
      <c r="O23" s="11" t="s">
        <v>2771</v>
      </c>
      <c r="P23" s="11" t="str">
        <f>B17</f>
        <v>楼层</v>
      </c>
      <c r="Q23" s="11" t="s">
        <v>2771</v>
      </c>
      <c r="R23" s="11" t="s">
        <v>2772</v>
      </c>
      <c r="S23" s="11" t="s">
        <v>2773</v>
      </c>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row>
    <row r="24" spans="1:45" s="644" customFormat="1">
      <c r="A24" s="641">
        <f>面积指标!E14</f>
        <v>1001</v>
      </c>
      <c r="B24" s="641">
        <f>面积指标!F14</f>
        <v>735.72</v>
      </c>
      <c r="C24" s="2748">
        <v>1</v>
      </c>
      <c r="D24" s="2749" t="s">
        <v>3158</v>
      </c>
      <c r="E24" s="2748">
        <v>1</v>
      </c>
      <c r="F24" s="2749" t="s">
        <v>3161</v>
      </c>
      <c r="G24" s="2748">
        <v>1</v>
      </c>
      <c r="H24" s="2749" t="s">
        <v>27</v>
      </c>
      <c r="I24" s="2748">
        <v>1</v>
      </c>
      <c r="J24" s="2749"/>
      <c r="K24" s="2748">
        <v>1</v>
      </c>
      <c r="L24" s="2749"/>
      <c r="M24" s="2748">
        <v>1</v>
      </c>
      <c r="N24" s="2749"/>
      <c r="O24" s="2748">
        <v>1</v>
      </c>
      <c r="P24" s="2749"/>
      <c r="Q24" s="2748">
        <v>1</v>
      </c>
      <c r="R24" s="641">
        <f ca="1">结果表!G20</f>
        <v>28187</v>
      </c>
      <c r="S24" s="642">
        <f t="shared" ref="S24:S54" ca="1" si="11">ROUND(R24*B24/10000,0)</f>
        <v>2074</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147">
        <f>面积指标!E2</f>
        <v>101</v>
      </c>
      <c r="B25" s="55">
        <f>面积指标!F2</f>
        <v>334.06</v>
      </c>
      <c r="C25" s="24">
        <f>IF(B25="",1,(LOOKUP(B25,$3:$3,$4:$4)-LOOKUP($B$24,$3:$3,$4:$4)+100)/100)</f>
        <v>1.02</v>
      </c>
      <c r="D25" s="643" t="s">
        <v>3159</v>
      </c>
      <c r="E25" s="24">
        <f>(SUMIF($5:$5,D25,$6:$6)-SUMIF($5:$5,$D$24,$6:$6)+100)/100</f>
        <v>1</v>
      </c>
      <c r="F25" s="643" t="s">
        <v>3161</v>
      </c>
      <c r="G25" s="24">
        <f>(SUMIF($7:$7,F25,$8:$8)-SUMIF($7:$7,$F$24,$8:$8)+100)/100</f>
        <v>1</v>
      </c>
      <c r="H25" s="643" t="s">
        <v>1283</v>
      </c>
      <c r="I25" s="24">
        <f>(SUMIF($9:$9,H25,$10:$10)-SUMIF($9:$9,$H$24,$10:$10)+100)/100</f>
        <v>1.1000000000000001</v>
      </c>
      <c r="J25" s="643"/>
      <c r="K25" s="24">
        <f>(SUMIF($11:$11,J25,$12:$12)-SUMIF($11:$11,$J$24,$12:$12)+100)/100</f>
        <v>1</v>
      </c>
      <c r="L25" s="643"/>
      <c r="M25" s="24">
        <f>(SUMIF($13:$13,L25,$14:$14)-SUMIF($13:$13,$L$24,$14:$14)+100)/100</f>
        <v>1</v>
      </c>
      <c r="N25" s="643"/>
      <c r="O25" s="24">
        <f>(SUMIF($15:$15,N25,$16:$16)-SUMIF($15:$15,$N$24,$16:$16)+100)/100</f>
        <v>1</v>
      </c>
      <c r="P25" s="643"/>
      <c r="Q25" s="24">
        <f>(SUMIF($17:$17,P25,$18:$18)-SUMIF($17:$17,$P$24,$18:$18)+100)/100</f>
        <v>1</v>
      </c>
      <c r="R25" s="24">
        <f ca="1">IF(B25="",0,ROUND($R$24*C25*E25*G25*I25*K25*M25*O25*Q25,0))</f>
        <v>31626</v>
      </c>
      <c r="S25" s="314">
        <f t="shared" ca="1" si="11"/>
        <v>1056</v>
      </c>
    </row>
    <row r="26" spans="1:45">
      <c r="A26" s="147">
        <f>面积指标!E3</f>
        <v>102</v>
      </c>
      <c r="B26" s="55">
        <f>面积指标!F3</f>
        <v>300.45999999999998</v>
      </c>
      <c r="C26" s="24">
        <f t="shared" ref="C26:C89" si="12">IF(B26="",1,(LOOKUP(B26,$3:$3,$4:$4)-LOOKUP($B$24,$3:$3,$4:$4)+100)/100)</f>
        <v>1.02</v>
      </c>
      <c r="D26" s="643" t="s">
        <v>3159</v>
      </c>
      <c r="E26" s="24">
        <f t="shared" ref="E26:E89" si="13">(SUMIF($5:$5,D26,$6:$6)-SUMIF($5:$5,$D$24,$6:$6)+100)/100</f>
        <v>1</v>
      </c>
      <c r="F26" s="643" t="s">
        <v>3161</v>
      </c>
      <c r="G26" s="24">
        <f t="shared" ref="G26:G89" si="14">(SUMIF($7:$7,F26,$8:$8)-SUMIF($7:$7,$F$24,$8:$8)+100)/100</f>
        <v>1</v>
      </c>
      <c r="H26" s="643" t="s">
        <v>1283</v>
      </c>
      <c r="I26" s="24">
        <f t="shared" ref="I26:I89" si="15">(SUMIF($9:$9,H26,$10:$10)-SUMIF($9:$9,$H$24,$10:$10)+100)/100</f>
        <v>1.1000000000000001</v>
      </c>
      <c r="J26" s="643"/>
      <c r="K26" s="24">
        <f t="shared" ref="K26:K89" si="16">(SUMIF($11:$11,J26,$12:$12)-SUMIF($11:$11,$J$24,$12:$12)+100)/100</f>
        <v>1</v>
      </c>
      <c r="L26" s="643"/>
      <c r="M26" s="24">
        <f t="shared" ref="M26:M89" si="17">(SUMIF($13:$13,L26,$14:$14)-SUMIF($13:$13,$L$24,$14:$14)+100)/100</f>
        <v>1</v>
      </c>
      <c r="N26" s="643"/>
      <c r="O26" s="24">
        <f t="shared" ref="O26:O89" si="18">(SUMIF($15:$15,N26,$16:$16)-SUMIF($15:$15,$N$24,$16:$16)+100)/100</f>
        <v>1</v>
      </c>
      <c r="P26" s="643"/>
      <c r="Q26" s="24">
        <f t="shared" ref="Q26:Q89" si="19">(SUMIF($17:$17,P26,$18:$18)-SUMIF($17:$17,$P$24,$18:$18)+100)/100</f>
        <v>1</v>
      </c>
      <c r="R26" s="24">
        <f t="shared" ref="R26:R89" ca="1" si="20">IF(B26="",0,ROUND($R$24*C26*E26*G26*I26*K26*M26*O26*Q26,0))</f>
        <v>31626</v>
      </c>
      <c r="S26" s="314">
        <f t="shared" ca="1" si="11"/>
        <v>950</v>
      </c>
    </row>
    <row r="27" spans="1:45">
      <c r="A27" s="147">
        <f>面积指标!E4</f>
        <v>103</v>
      </c>
      <c r="B27" s="55">
        <f>面积指标!F4</f>
        <v>145.61000000000001</v>
      </c>
      <c r="C27" s="24">
        <f t="shared" si="12"/>
        <v>1</v>
      </c>
      <c r="D27" s="643" t="s">
        <v>3159</v>
      </c>
      <c r="E27" s="24">
        <f t="shared" si="13"/>
        <v>1</v>
      </c>
      <c r="F27" s="643" t="s">
        <v>3161</v>
      </c>
      <c r="G27" s="24">
        <f t="shared" si="14"/>
        <v>1</v>
      </c>
      <c r="H27" s="643" t="s">
        <v>1283</v>
      </c>
      <c r="I27" s="24">
        <f t="shared" si="15"/>
        <v>1.1000000000000001</v>
      </c>
      <c r="J27" s="643"/>
      <c r="K27" s="24">
        <f t="shared" si="16"/>
        <v>1</v>
      </c>
      <c r="L27" s="643"/>
      <c r="M27" s="24">
        <f t="shared" si="17"/>
        <v>1</v>
      </c>
      <c r="N27" s="643"/>
      <c r="O27" s="24">
        <f t="shared" si="18"/>
        <v>1</v>
      </c>
      <c r="P27" s="643"/>
      <c r="Q27" s="24">
        <f t="shared" si="19"/>
        <v>1</v>
      </c>
      <c r="R27" s="24">
        <f t="shared" ca="1" si="20"/>
        <v>31006</v>
      </c>
      <c r="S27" s="314">
        <f t="shared" ca="1" si="11"/>
        <v>451</v>
      </c>
    </row>
    <row r="28" spans="1:45">
      <c r="A28" s="147">
        <f>面积指标!E5</f>
        <v>104</v>
      </c>
      <c r="B28" s="55">
        <f>面积指标!F5</f>
        <v>260.87</v>
      </c>
      <c r="C28" s="24">
        <f t="shared" si="12"/>
        <v>1</v>
      </c>
      <c r="D28" s="643" t="s">
        <v>3159</v>
      </c>
      <c r="E28" s="24">
        <f t="shared" si="13"/>
        <v>1</v>
      </c>
      <c r="F28" s="643" t="s">
        <v>3161</v>
      </c>
      <c r="G28" s="24">
        <f t="shared" si="14"/>
        <v>1</v>
      </c>
      <c r="H28" s="643" t="s">
        <v>1283</v>
      </c>
      <c r="I28" s="24">
        <f t="shared" si="15"/>
        <v>1.1000000000000001</v>
      </c>
      <c r="J28" s="643"/>
      <c r="K28" s="24">
        <f t="shared" si="16"/>
        <v>1</v>
      </c>
      <c r="L28" s="643"/>
      <c r="M28" s="24">
        <f t="shared" si="17"/>
        <v>1</v>
      </c>
      <c r="N28" s="643"/>
      <c r="O28" s="24">
        <f t="shared" si="18"/>
        <v>1</v>
      </c>
      <c r="P28" s="643"/>
      <c r="Q28" s="24">
        <f t="shared" si="19"/>
        <v>1</v>
      </c>
      <c r="R28" s="24">
        <f t="shared" ca="1" si="20"/>
        <v>31006</v>
      </c>
      <c r="S28" s="314">
        <f t="shared" ca="1" si="11"/>
        <v>809</v>
      </c>
    </row>
    <row r="29" spans="1:45">
      <c r="A29" s="147">
        <f>面积指标!E6</f>
        <v>105</v>
      </c>
      <c r="B29" s="55">
        <f>面积指标!F6</f>
        <v>349.41</v>
      </c>
      <c r="C29" s="24">
        <f t="shared" si="12"/>
        <v>1.02</v>
      </c>
      <c r="D29" s="643" t="s">
        <v>3159</v>
      </c>
      <c r="E29" s="24">
        <f t="shared" si="13"/>
        <v>1</v>
      </c>
      <c r="F29" s="643" t="s">
        <v>3161</v>
      </c>
      <c r="G29" s="24">
        <f t="shared" si="14"/>
        <v>1</v>
      </c>
      <c r="H29" s="643" t="s">
        <v>1283</v>
      </c>
      <c r="I29" s="24">
        <f t="shared" si="15"/>
        <v>1.1000000000000001</v>
      </c>
      <c r="J29" s="643"/>
      <c r="K29" s="24">
        <f t="shared" si="16"/>
        <v>1</v>
      </c>
      <c r="L29" s="643"/>
      <c r="M29" s="24">
        <f t="shared" si="17"/>
        <v>1</v>
      </c>
      <c r="N29" s="643"/>
      <c r="O29" s="24">
        <f t="shared" si="18"/>
        <v>1</v>
      </c>
      <c r="P29" s="643"/>
      <c r="Q29" s="24">
        <f t="shared" si="19"/>
        <v>1</v>
      </c>
      <c r="R29" s="24">
        <f t="shared" ca="1" si="20"/>
        <v>31626</v>
      </c>
      <c r="S29" s="314">
        <f t="shared" ca="1" si="11"/>
        <v>1105</v>
      </c>
    </row>
    <row r="30" spans="1:45">
      <c r="A30" s="147">
        <f>面积指标!E7</f>
        <v>106</v>
      </c>
      <c r="B30" s="55">
        <f>面积指标!F7</f>
        <v>137.94999999999999</v>
      </c>
      <c r="C30" s="24">
        <f t="shared" si="12"/>
        <v>1</v>
      </c>
      <c r="D30" s="643" t="s">
        <v>3159</v>
      </c>
      <c r="E30" s="24">
        <f t="shared" si="13"/>
        <v>1</v>
      </c>
      <c r="F30" s="643" t="s">
        <v>3161</v>
      </c>
      <c r="G30" s="24">
        <f t="shared" si="14"/>
        <v>1</v>
      </c>
      <c r="H30" s="643" t="s">
        <v>1283</v>
      </c>
      <c r="I30" s="24">
        <f t="shared" si="15"/>
        <v>1.1000000000000001</v>
      </c>
      <c r="J30" s="643"/>
      <c r="K30" s="24">
        <f t="shared" si="16"/>
        <v>1</v>
      </c>
      <c r="L30" s="643"/>
      <c r="M30" s="24">
        <f t="shared" si="17"/>
        <v>1</v>
      </c>
      <c r="N30" s="643"/>
      <c r="O30" s="24">
        <f t="shared" si="18"/>
        <v>1</v>
      </c>
      <c r="P30" s="643"/>
      <c r="Q30" s="24">
        <f t="shared" si="19"/>
        <v>1</v>
      </c>
      <c r="R30" s="24">
        <f t="shared" ca="1" si="20"/>
        <v>31006</v>
      </c>
      <c r="S30" s="314">
        <f t="shared" ca="1" si="11"/>
        <v>428</v>
      </c>
    </row>
    <row r="31" spans="1:45">
      <c r="A31" s="147">
        <f>面积指标!E8</f>
        <v>107</v>
      </c>
      <c r="B31" s="55">
        <f>面积指标!F8</f>
        <v>125.23</v>
      </c>
      <c r="C31" s="24">
        <f t="shared" si="12"/>
        <v>1</v>
      </c>
      <c r="D31" s="643" t="s">
        <v>3159</v>
      </c>
      <c r="E31" s="24">
        <f t="shared" si="13"/>
        <v>1</v>
      </c>
      <c r="F31" s="643" t="s">
        <v>3161</v>
      </c>
      <c r="G31" s="24">
        <f t="shared" si="14"/>
        <v>1</v>
      </c>
      <c r="H31" s="643" t="s">
        <v>1283</v>
      </c>
      <c r="I31" s="24">
        <f t="shared" si="15"/>
        <v>1.1000000000000001</v>
      </c>
      <c r="J31" s="643"/>
      <c r="K31" s="24">
        <f t="shared" si="16"/>
        <v>1</v>
      </c>
      <c r="L31" s="643"/>
      <c r="M31" s="24">
        <f t="shared" si="17"/>
        <v>1</v>
      </c>
      <c r="N31" s="643"/>
      <c r="O31" s="24">
        <f t="shared" si="18"/>
        <v>1</v>
      </c>
      <c r="P31" s="643"/>
      <c r="Q31" s="24">
        <f t="shared" si="19"/>
        <v>1</v>
      </c>
      <c r="R31" s="24">
        <f t="shared" ca="1" si="20"/>
        <v>31006</v>
      </c>
      <c r="S31" s="314">
        <f t="shared" ca="1" si="11"/>
        <v>388</v>
      </c>
    </row>
    <row r="32" spans="1:45">
      <c r="A32" s="147">
        <f>面积指标!E9</f>
        <v>201</v>
      </c>
      <c r="B32" s="55">
        <f>面积指标!F9</f>
        <v>755.97</v>
      </c>
      <c r="C32" s="24">
        <f t="shared" si="12"/>
        <v>1</v>
      </c>
      <c r="D32" s="643" t="s">
        <v>3159</v>
      </c>
      <c r="E32" s="24">
        <f t="shared" si="13"/>
        <v>1</v>
      </c>
      <c r="F32" s="643" t="s">
        <v>3161</v>
      </c>
      <c r="G32" s="24">
        <f t="shared" si="14"/>
        <v>1</v>
      </c>
      <c r="H32" s="643" t="s">
        <v>27</v>
      </c>
      <c r="I32" s="24">
        <f t="shared" si="15"/>
        <v>1</v>
      </c>
      <c r="J32" s="643"/>
      <c r="K32" s="24">
        <f t="shared" si="16"/>
        <v>1</v>
      </c>
      <c r="L32" s="643"/>
      <c r="M32" s="24">
        <f t="shared" si="17"/>
        <v>1</v>
      </c>
      <c r="N32" s="643"/>
      <c r="O32" s="24">
        <f t="shared" si="18"/>
        <v>1</v>
      </c>
      <c r="P32" s="643"/>
      <c r="Q32" s="24">
        <f t="shared" si="19"/>
        <v>1</v>
      </c>
      <c r="R32" s="24">
        <f t="shared" ca="1" si="20"/>
        <v>28187</v>
      </c>
      <c r="S32" s="314">
        <f t="shared" ca="1" si="11"/>
        <v>2131</v>
      </c>
    </row>
    <row r="33" spans="1:19">
      <c r="A33" s="147">
        <f>面积指标!E10</f>
        <v>202</v>
      </c>
      <c r="B33" s="55">
        <f>面积指标!F10</f>
        <v>328.45</v>
      </c>
      <c r="C33" s="24">
        <f t="shared" si="12"/>
        <v>1.02</v>
      </c>
      <c r="D33" s="643" t="s">
        <v>3159</v>
      </c>
      <c r="E33" s="24">
        <f t="shared" si="13"/>
        <v>1</v>
      </c>
      <c r="F33" s="643" t="s">
        <v>3161</v>
      </c>
      <c r="G33" s="24">
        <f t="shared" si="14"/>
        <v>1</v>
      </c>
      <c r="H33" s="643" t="s">
        <v>27</v>
      </c>
      <c r="I33" s="24">
        <f t="shared" si="15"/>
        <v>1</v>
      </c>
      <c r="J33" s="643"/>
      <c r="K33" s="24">
        <f t="shared" si="16"/>
        <v>1</v>
      </c>
      <c r="L33" s="643"/>
      <c r="M33" s="24">
        <f t="shared" si="17"/>
        <v>1</v>
      </c>
      <c r="N33" s="643"/>
      <c r="O33" s="24">
        <f t="shared" si="18"/>
        <v>1</v>
      </c>
      <c r="P33" s="643"/>
      <c r="Q33" s="24">
        <f t="shared" si="19"/>
        <v>1</v>
      </c>
      <c r="R33" s="24">
        <f t="shared" ca="1" si="20"/>
        <v>28751</v>
      </c>
      <c r="S33" s="314">
        <f t="shared" ca="1" si="11"/>
        <v>944</v>
      </c>
    </row>
    <row r="34" spans="1:19">
      <c r="A34" s="147">
        <f>面积指标!E11</f>
        <v>203</v>
      </c>
      <c r="B34" s="55">
        <f>面积指标!F11</f>
        <v>570.51</v>
      </c>
      <c r="C34" s="24">
        <f t="shared" si="12"/>
        <v>1</v>
      </c>
      <c r="D34" s="643" t="s">
        <v>3159</v>
      </c>
      <c r="E34" s="24">
        <f t="shared" si="13"/>
        <v>1</v>
      </c>
      <c r="F34" s="643" t="s">
        <v>3161</v>
      </c>
      <c r="G34" s="24">
        <f t="shared" si="14"/>
        <v>1</v>
      </c>
      <c r="H34" s="643" t="s">
        <v>27</v>
      </c>
      <c r="I34" s="24">
        <f t="shared" si="15"/>
        <v>1</v>
      </c>
      <c r="J34" s="643"/>
      <c r="K34" s="24">
        <f t="shared" si="16"/>
        <v>1</v>
      </c>
      <c r="L34" s="643"/>
      <c r="M34" s="24">
        <f t="shared" si="17"/>
        <v>1</v>
      </c>
      <c r="N34" s="643"/>
      <c r="O34" s="24">
        <f t="shared" si="18"/>
        <v>1</v>
      </c>
      <c r="P34" s="643"/>
      <c r="Q34" s="24">
        <f t="shared" si="19"/>
        <v>1</v>
      </c>
      <c r="R34" s="24">
        <f t="shared" ca="1" si="20"/>
        <v>28187</v>
      </c>
      <c r="S34" s="314">
        <f t="shared" ca="1" si="11"/>
        <v>1608</v>
      </c>
    </row>
    <row r="35" spans="1:19">
      <c r="A35" s="147">
        <f>面积指标!E12</f>
        <v>204</v>
      </c>
      <c r="B35" s="55">
        <f>面积指标!F12</f>
        <v>108.82</v>
      </c>
      <c r="C35" s="24">
        <f t="shared" si="12"/>
        <v>1</v>
      </c>
      <c r="D35" s="643" t="s">
        <v>3159</v>
      </c>
      <c r="E35" s="24">
        <f t="shared" si="13"/>
        <v>1</v>
      </c>
      <c r="F35" s="643" t="s">
        <v>3161</v>
      </c>
      <c r="G35" s="24">
        <f t="shared" si="14"/>
        <v>1</v>
      </c>
      <c r="H35" s="643" t="s">
        <v>27</v>
      </c>
      <c r="I35" s="24">
        <f t="shared" si="15"/>
        <v>1</v>
      </c>
      <c r="J35" s="643"/>
      <c r="K35" s="24">
        <f t="shared" si="16"/>
        <v>1</v>
      </c>
      <c r="L35" s="643"/>
      <c r="M35" s="24">
        <f t="shared" si="17"/>
        <v>1</v>
      </c>
      <c r="N35" s="643"/>
      <c r="O35" s="24">
        <f t="shared" si="18"/>
        <v>1</v>
      </c>
      <c r="P35" s="643"/>
      <c r="Q35" s="24">
        <f t="shared" si="19"/>
        <v>1</v>
      </c>
      <c r="R35" s="24">
        <f t="shared" ca="1" si="20"/>
        <v>28187</v>
      </c>
      <c r="S35" s="314">
        <f t="shared" ca="1" si="11"/>
        <v>307</v>
      </c>
    </row>
    <row r="36" spans="1:19">
      <c r="A36" s="147">
        <f>面积指标!E13</f>
        <v>205</v>
      </c>
      <c r="B36" s="55">
        <f>面积指标!F13</f>
        <v>117.86</v>
      </c>
      <c r="C36" s="24">
        <f t="shared" si="12"/>
        <v>1</v>
      </c>
      <c r="D36" s="643" t="s">
        <v>3159</v>
      </c>
      <c r="E36" s="24">
        <f t="shared" si="13"/>
        <v>1</v>
      </c>
      <c r="F36" s="643" t="s">
        <v>3162</v>
      </c>
      <c r="G36" s="24">
        <f t="shared" si="14"/>
        <v>1</v>
      </c>
      <c r="H36" s="643" t="s">
        <v>27</v>
      </c>
      <c r="I36" s="24">
        <f t="shared" si="15"/>
        <v>1</v>
      </c>
      <c r="J36" s="643"/>
      <c r="K36" s="24">
        <f t="shared" si="16"/>
        <v>1</v>
      </c>
      <c r="L36" s="643"/>
      <c r="M36" s="24">
        <f t="shared" si="17"/>
        <v>1</v>
      </c>
      <c r="N36" s="643"/>
      <c r="O36" s="24">
        <f t="shared" si="18"/>
        <v>1</v>
      </c>
      <c r="P36" s="643"/>
      <c r="Q36" s="24">
        <f t="shared" si="19"/>
        <v>1</v>
      </c>
      <c r="R36" s="24">
        <f t="shared" ca="1" si="20"/>
        <v>28187</v>
      </c>
      <c r="S36" s="314">
        <f t="shared" ca="1" si="11"/>
        <v>332</v>
      </c>
    </row>
    <row r="37" spans="1:19">
      <c r="A37" s="147">
        <f>面积指标!E15</f>
        <v>1002</v>
      </c>
      <c r="B37" s="55">
        <f>面积指标!F15</f>
        <v>222.94</v>
      </c>
      <c r="C37" s="24">
        <f t="shared" si="12"/>
        <v>1</v>
      </c>
      <c r="D37" s="643" t="s">
        <v>3158</v>
      </c>
      <c r="E37" s="24">
        <f t="shared" si="13"/>
        <v>1</v>
      </c>
      <c r="F37" s="643" t="s">
        <v>3161</v>
      </c>
      <c r="G37" s="24">
        <f t="shared" si="14"/>
        <v>1</v>
      </c>
      <c r="H37" s="643" t="s">
        <v>27</v>
      </c>
      <c r="I37" s="24">
        <f t="shared" si="15"/>
        <v>1</v>
      </c>
      <c r="J37" s="643"/>
      <c r="K37" s="24">
        <f t="shared" si="16"/>
        <v>1</v>
      </c>
      <c r="L37" s="643"/>
      <c r="M37" s="24">
        <f t="shared" si="17"/>
        <v>1</v>
      </c>
      <c r="N37" s="643"/>
      <c r="O37" s="24">
        <f t="shared" si="18"/>
        <v>1</v>
      </c>
      <c r="P37" s="643"/>
      <c r="Q37" s="24">
        <f t="shared" si="19"/>
        <v>1</v>
      </c>
      <c r="R37" s="24">
        <f t="shared" ca="1" si="20"/>
        <v>28187</v>
      </c>
      <c r="S37" s="314">
        <f t="shared" ca="1" si="11"/>
        <v>628</v>
      </c>
    </row>
    <row r="38" spans="1:19">
      <c r="A38" s="147">
        <f>面积指标!E16</f>
        <v>1003</v>
      </c>
      <c r="B38" s="55">
        <f>面积指标!F16</f>
        <v>96.58</v>
      </c>
      <c r="C38" s="24">
        <f t="shared" si="12"/>
        <v>0.98</v>
      </c>
      <c r="D38" s="643" t="s">
        <v>3158</v>
      </c>
      <c r="E38" s="24">
        <f t="shared" si="13"/>
        <v>1</v>
      </c>
      <c r="F38" s="643" t="s">
        <v>3161</v>
      </c>
      <c r="G38" s="24">
        <f t="shared" si="14"/>
        <v>1</v>
      </c>
      <c r="H38" s="643" t="s">
        <v>27</v>
      </c>
      <c r="I38" s="24">
        <f t="shared" si="15"/>
        <v>1</v>
      </c>
      <c r="J38" s="643"/>
      <c r="K38" s="24">
        <f t="shared" si="16"/>
        <v>1</v>
      </c>
      <c r="L38" s="643"/>
      <c r="M38" s="24">
        <f t="shared" si="17"/>
        <v>1</v>
      </c>
      <c r="N38" s="643"/>
      <c r="O38" s="24">
        <f t="shared" si="18"/>
        <v>1</v>
      </c>
      <c r="P38" s="643"/>
      <c r="Q38" s="24">
        <f t="shared" si="19"/>
        <v>1</v>
      </c>
      <c r="R38" s="24">
        <f t="shared" ca="1" si="20"/>
        <v>27623</v>
      </c>
      <c r="S38" s="314">
        <f t="shared" ca="1" si="11"/>
        <v>267</v>
      </c>
    </row>
    <row r="39" spans="1:19">
      <c r="A39" s="147">
        <f>面积指标!E17</f>
        <v>1004</v>
      </c>
      <c r="B39" s="55">
        <f>面积指标!F17</f>
        <v>639.46</v>
      </c>
      <c r="C39" s="24">
        <f t="shared" si="12"/>
        <v>1</v>
      </c>
      <c r="D39" s="643" t="s">
        <v>3158</v>
      </c>
      <c r="E39" s="24">
        <f t="shared" si="13"/>
        <v>1</v>
      </c>
      <c r="F39" s="643" t="s">
        <v>3161</v>
      </c>
      <c r="G39" s="24">
        <f t="shared" si="14"/>
        <v>1</v>
      </c>
      <c r="H39" s="643" t="s">
        <v>27</v>
      </c>
      <c r="I39" s="24">
        <f t="shared" si="15"/>
        <v>1</v>
      </c>
      <c r="J39" s="643"/>
      <c r="K39" s="24">
        <f t="shared" si="16"/>
        <v>1</v>
      </c>
      <c r="L39" s="643"/>
      <c r="M39" s="24">
        <f t="shared" si="17"/>
        <v>1</v>
      </c>
      <c r="N39" s="643"/>
      <c r="O39" s="24">
        <f t="shared" si="18"/>
        <v>1</v>
      </c>
      <c r="P39" s="643"/>
      <c r="Q39" s="24">
        <f t="shared" si="19"/>
        <v>1</v>
      </c>
      <c r="R39" s="24">
        <f t="shared" ca="1" si="20"/>
        <v>28187</v>
      </c>
      <c r="S39" s="314">
        <f t="shared" ca="1" si="11"/>
        <v>1802</v>
      </c>
    </row>
    <row r="40" spans="1:19">
      <c r="A40" s="147">
        <f>面积指标!E18</f>
        <v>1005</v>
      </c>
      <c r="B40" s="55">
        <f>面积指标!F18</f>
        <v>222.94</v>
      </c>
      <c r="C40" s="24">
        <f t="shared" si="12"/>
        <v>1</v>
      </c>
      <c r="D40" s="643" t="s">
        <v>3158</v>
      </c>
      <c r="E40" s="24">
        <f t="shared" si="13"/>
        <v>1</v>
      </c>
      <c r="F40" s="643" t="s">
        <v>3161</v>
      </c>
      <c r="G40" s="24">
        <f t="shared" si="14"/>
        <v>1</v>
      </c>
      <c r="H40" s="643" t="s">
        <v>27</v>
      </c>
      <c r="I40" s="24">
        <f t="shared" si="15"/>
        <v>1</v>
      </c>
      <c r="J40" s="643"/>
      <c r="K40" s="24">
        <f t="shared" si="16"/>
        <v>1</v>
      </c>
      <c r="L40" s="643"/>
      <c r="M40" s="24">
        <f t="shared" si="17"/>
        <v>1</v>
      </c>
      <c r="N40" s="643"/>
      <c r="O40" s="24">
        <f t="shared" si="18"/>
        <v>1</v>
      </c>
      <c r="P40" s="643"/>
      <c r="Q40" s="24">
        <f t="shared" si="19"/>
        <v>1</v>
      </c>
      <c r="R40" s="24">
        <f t="shared" ca="1" si="20"/>
        <v>28187</v>
      </c>
      <c r="S40" s="314">
        <f t="shared" ca="1" si="11"/>
        <v>628</v>
      </c>
    </row>
    <row r="41" spans="1:19">
      <c r="A41" s="147">
        <f>面积指标!E19</f>
        <v>1006</v>
      </c>
      <c r="B41" s="55">
        <f>面积指标!F19</f>
        <v>222.94</v>
      </c>
      <c r="C41" s="24">
        <f t="shared" si="12"/>
        <v>1</v>
      </c>
      <c r="D41" s="643" t="s">
        <v>3158</v>
      </c>
      <c r="E41" s="24">
        <f t="shared" si="13"/>
        <v>1</v>
      </c>
      <c r="F41" s="643" t="s">
        <v>3161</v>
      </c>
      <c r="G41" s="24">
        <f t="shared" si="14"/>
        <v>1</v>
      </c>
      <c r="H41" s="643" t="s">
        <v>27</v>
      </c>
      <c r="I41" s="24">
        <f t="shared" si="15"/>
        <v>1</v>
      </c>
      <c r="J41" s="643"/>
      <c r="K41" s="24">
        <f t="shared" si="16"/>
        <v>1</v>
      </c>
      <c r="L41" s="643"/>
      <c r="M41" s="24">
        <f t="shared" si="17"/>
        <v>1</v>
      </c>
      <c r="N41" s="643"/>
      <c r="O41" s="24">
        <f t="shared" si="18"/>
        <v>1</v>
      </c>
      <c r="P41" s="643"/>
      <c r="Q41" s="24">
        <f t="shared" si="19"/>
        <v>1</v>
      </c>
      <c r="R41" s="24">
        <f t="shared" ca="1" si="20"/>
        <v>28187</v>
      </c>
      <c r="S41" s="314">
        <f t="shared" ca="1" si="11"/>
        <v>628</v>
      </c>
    </row>
    <row r="42" spans="1:19">
      <c r="A42" s="147">
        <f>面积指标!E20</f>
        <v>1007</v>
      </c>
      <c r="B42" s="55">
        <f>面积指标!F20</f>
        <v>80.22</v>
      </c>
      <c r="C42" s="24">
        <f t="shared" si="12"/>
        <v>0.98</v>
      </c>
      <c r="D42" s="643" t="s">
        <v>3158</v>
      </c>
      <c r="E42" s="24">
        <f t="shared" si="13"/>
        <v>1</v>
      </c>
      <c r="F42" s="643" t="s">
        <v>3161</v>
      </c>
      <c r="G42" s="24">
        <f t="shared" si="14"/>
        <v>1</v>
      </c>
      <c r="H42" s="643" t="s">
        <v>27</v>
      </c>
      <c r="I42" s="24">
        <f t="shared" si="15"/>
        <v>1</v>
      </c>
      <c r="J42" s="643"/>
      <c r="K42" s="24">
        <f t="shared" si="16"/>
        <v>1</v>
      </c>
      <c r="L42" s="643"/>
      <c r="M42" s="24">
        <f t="shared" si="17"/>
        <v>1</v>
      </c>
      <c r="N42" s="643"/>
      <c r="O42" s="24">
        <f t="shared" si="18"/>
        <v>1</v>
      </c>
      <c r="P42" s="643"/>
      <c r="Q42" s="24">
        <f t="shared" si="19"/>
        <v>1</v>
      </c>
      <c r="R42" s="24">
        <f t="shared" ca="1" si="20"/>
        <v>27623</v>
      </c>
      <c r="S42" s="314">
        <f t="shared" ca="1" si="11"/>
        <v>222</v>
      </c>
    </row>
    <row r="43" spans="1:19">
      <c r="A43" s="147">
        <f>面积指标!E21</f>
        <v>1008</v>
      </c>
      <c r="B43" s="55">
        <f>面积指标!F21</f>
        <v>80.22</v>
      </c>
      <c r="C43" s="24">
        <f t="shared" si="12"/>
        <v>0.98</v>
      </c>
      <c r="D43" s="643" t="s">
        <v>3158</v>
      </c>
      <c r="E43" s="24">
        <f t="shared" si="13"/>
        <v>1</v>
      </c>
      <c r="F43" s="643" t="s">
        <v>3161</v>
      </c>
      <c r="G43" s="24">
        <f t="shared" si="14"/>
        <v>1</v>
      </c>
      <c r="H43" s="643" t="s">
        <v>27</v>
      </c>
      <c r="I43" s="24">
        <f t="shared" si="15"/>
        <v>1</v>
      </c>
      <c r="J43" s="643"/>
      <c r="K43" s="24">
        <f t="shared" si="16"/>
        <v>1</v>
      </c>
      <c r="L43" s="643"/>
      <c r="M43" s="24">
        <f t="shared" si="17"/>
        <v>1</v>
      </c>
      <c r="N43" s="643"/>
      <c r="O43" s="24">
        <f t="shared" si="18"/>
        <v>1</v>
      </c>
      <c r="P43" s="643"/>
      <c r="Q43" s="24">
        <f t="shared" si="19"/>
        <v>1</v>
      </c>
      <c r="R43" s="24">
        <f t="shared" ca="1" si="20"/>
        <v>27623</v>
      </c>
      <c r="S43" s="314">
        <f t="shared" ca="1" si="11"/>
        <v>222</v>
      </c>
    </row>
    <row r="44" spans="1:19">
      <c r="A44" s="147">
        <f>面积指标!E22</f>
        <v>1301</v>
      </c>
      <c r="B44" s="55">
        <f>面积指标!F22</f>
        <v>733.77</v>
      </c>
      <c r="C44" s="24">
        <f t="shared" si="12"/>
        <v>1</v>
      </c>
      <c r="D44" s="643" t="s">
        <v>3160</v>
      </c>
      <c r="E44" s="24">
        <f t="shared" si="13"/>
        <v>1</v>
      </c>
      <c r="F44" s="643" t="s">
        <v>3161</v>
      </c>
      <c r="G44" s="24">
        <f t="shared" si="14"/>
        <v>1</v>
      </c>
      <c r="H44" s="643" t="s">
        <v>27</v>
      </c>
      <c r="I44" s="24">
        <f t="shared" si="15"/>
        <v>1</v>
      </c>
      <c r="J44" s="643"/>
      <c r="K44" s="24">
        <f t="shared" si="16"/>
        <v>1</v>
      </c>
      <c r="L44" s="643"/>
      <c r="M44" s="24">
        <f t="shared" si="17"/>
        <v>1</v>
      </c>
      <c r="N44" s="643"/>
      <c r="O44" s="24">
        <f t="shared" si="18"/>
        <v>1</v>
      </c>
      <c r="P44" s="643"/>
      <c r="Q44" s="24">
        <f t="shared" si="19"/>
        <v>1</v>
      </c>
      <c r="R44" s="24">
        <f t="shared" ca="1" si="20"/>
        <v>28187</v>
      </c>
      <c r="S44" s="314">
        <f t="shared" ca="1" si="11"/>
        <v>2068</v>
      </c>
    </row>
    <row r="45" spans="1:19">
      <c r="A45" s="147">
        <f>面积指标!E23</f>
        <v>1302</v>
      </c>
      <c r="B45" s="55">
        <f>面积指标!F23</f>
        <v>222.94</v>
      </c>
      <c r="C45" s="24">
        <f t="shared" si="12"/>
        <v>1</v>
      </c>
      <c r="D45" s="643" t="s">
        <v>3160</v>
      </c>
      <c r="E45" s="24">
        <f t="shared" si="13"/>
        <v>1</v>
      </c>
      <c r="F45" s="643" t="s">
        <v>3161</v>
      </c>
      <c r="G45" s="24">
        <f t="shared" si="14"/>
        <v>1</v>
      </c>
      <c r="H45" s="643" t="s">
        <v>27</v>
      </c>
      <c r="I45" s="24">
        <f t="shared" si="15"/>
        <v>1</v>
      </c>
      <c r="J45" s="643"/>
      <c r="K45" s="24">
        <f t="shared" si="16"/>
        <v>1</v>
      </c>
      <c r="L45" s="643"/>
      <c r="M45" s="24">
        <f t="shared" si="17"/>
        <v>1</v>
      </c>
      <c r="N45" s="643"/>
      <c r="O45" s="24">
        <f t="shared" si="18"/>
        <v>1</v>
      </c>
      <c r="P45" s="643"/>
      <c r="Q45" s="24">
        <f t="shared" si="19"/>
        <v>1</v>
      </c>
      <c r="R45" s="24">
        <f t="shared" ca="1" si="20"/>
        <v>28187</v>
      </c>
      <c r="S45" s="314">
        <f t="shared" ca="1" si="11"/>
        <v>628</v>
      </c>
    </row>
    <row r="46" spans="1:19">
      <c r="A46" s="147">
        <f>面积指标!E24</f>
        <v>1303</v>
      </c>
      <c r="B46" s="55">
        <f>面积指标!F24</f>
        <v>94.41</v>
      </c>
      <c r="C46" s="24">
        <f t="shared" si="12"/>
        <v>0.98</v>
      </c>
      <c r="D46" s="643" t="s">
        <v>3160</v>
      </c>
      <c r="E46" s="24">
        <f t="shared" si="13"/>
        <v>1</v>
      </c>
      <c r="F46" s="643" t="s">
        <v>3161</v>
      </c>
      <c r="G46" s="24">
        <f t="shared" si="14"/>
        <v>1</v>
      </c>
      <c r="H46" s="643" t="s">
        <v>27</v>
      </c>
      <c r="I46" s="24">
        <f t="shared" si="15"/>
        <v>1</v>
      </c>
      <c r="J46" s="643"/>
      <c r="K46" s="24">
        <f t="shared" si="16"/>
        <v>1</v>
      </c>
      <c r="L46" s="643"/>
      <c r="M46" s="24">
        <f t="shared" si="17"/>
        <v>1</v>
      </c>
      <c r="N46" s="643"/>
      <c r="O46" s="24">
        <f t="shared" si="18"/>
        <v>1</v>
      </c>
      <c r="P46" s="643"/>
      <c r="Q46" s="24">
        <f t="shared" si="19"/>
        <v>1</v>
      </c>
      <c r="R46" s="24">
        <f t="shared" ca="1" si="20"/>
        <v>27623</v>
      </c>
      <c r="S46" s="314">
        <f t="shared" ca="1" si="11"/>
        <v>261</v>
      </c>
    </row>
    <row r="47" spans="1:19">
      <c r="A47" s="147">
        <f>面积指标!E25</f>
        <v>1304</v>
      </c>
      <c r="B47" s="55">
        <f>面积指标!F25</f>
        <v>703.89</v>
      </c>
      <c r="C47" s="24">
        <f t="shared" si="12"/>
        <v>1</v>
      </c>
      <c r="D47" s="643" t="s">
        <v>3160</v>
      </c>
      <c r="E47" s="24">
        <f t="shared" si="13"/>
        <v>1</v>
      </c>
      <c r="F47" s="643" t="s">
        <v>3161</v>
      </c>
      <c r="G47" s="24">
        <f t="shared" si="14"/>
        <v>1</v>
      </c>
      <c r="H47" s="643" t="s">
        <v>27</v>
      </c>
      <c r="I47" s="24">
        <f t="shared" si="15"/>
        <v>1</v>
      </c>
      <c r="J47" s="643"/>
      <c r="K47" s="24">
        <f t="shared" si="16"/>
        <v>1</v>
      </c>
      <c r="L47" s="643"/>
      <c r="M47" s="24">
        <f t="shared" si="17"/>
        <v>1</v>
      </c>
      <c r="N47" s="643"/>
      <c r="O47" s="24">
        <f t="shared" si="18"/>
        <v>1</v>
      </c>
      <c r="P47" s="643"/>
      <c r="Q47" s="24">
        <f t="shared" si="19"/>
        <v>1</v>
      </c>
      <c r="R47" s="24">
        <f t="shared" ca="1" si="20"/>
        <v>28187</v>
      </c>
      <c r="S47" s="314">
        <f t="shared" ca="1" si="11"/>
        <v>1984</v>
      </c>
    </row>
    <row r="48" spans="1:19">
      <c r="A48" s="147">
        <f>面积指标!E26</f>
        <v>1305</v>
      </c>
      <c r="B48" s="55">
        <f>面积指标!F26</f>
        <v>222.94</v>
      </c>
      <c r="C48" s="24">
        <f t="shared" si="12"/>
        <v>1</v>
      </c>
      <c r="D48" s="643" t="s">
        <v>3160</v>
      </c>
      <c r="E48" s="24">
        <f t="shared" si="13"/>
        <v>1</v>
      </c>
      <c r="F48" s="643" t="s">
        <v>3161</v>
      </c>
      <c r="G48" s="24">
        <f t="shared" si="14"/>
        <v>1</v>
      </c>
      <c r="H48" s="643" t="s">
        <v>27</v>
      </c>
      <c r="I48" s="24">
        <f t="shared" si="15"/>
        <v>1</v>
      </c>
      <c r="J48" s="643"/>
      <c r="K48" s="24">
        <f t="shared" si="16"/>
        <v>1</v>
      </c>
      <c r="L48" s="643"/>
      <c r="M48" s="24">
        <f t="shared" si="17"/>
        <v>1</v>
      </c>
      <c r="N48" s="643"/>
      <c r="O48" s="24">
        <f t="shared" si="18"/>
        <v>1</v>
      </c>
      <c r="P48" s="643"/>
      <c r="Q48" s="24">
        <f t="shared" si="19"/>
        <v>1</v>
      </c>
      <c r="R48" s="24">
        <f t="shared" ca="1" si="20"/>
        <v>28187</v>
      </c>
      <c r="S48" s="314">
        <f t="shared" ca="1" si="11"/>
        <v>628</v>
      </c>
    </row>
    <row r="49" spans="1:19">
      <c r="A49" s="147">
        <f>面积指标!E27</f>
        <v>1306</v>
      </c>
      <c r="B49" s="55">
        <f>面积指标!F27</f>
        <v>222.94</v>
      </c>
      <c r="C49" s="24">
        <f t="shared" si="12"/>
        <v>1</v>
      </c>
      <c r="D49" s="643" t="s">
        <v>3160</v>
      </c>
      <c r="E49" s="24">
        <f t="shared" si="13"/>
        <v>1</v>
      </c>
      <c r="F49" s="643" t="s">
        <v>3161</v>
      </c>
      <c r="G49" s="24">
        <f t="shared" si="14"/>
        <v>1</v>
      </c>
      <c r="H49" s="643" t="s">
        <v>27</v>
      </c>
      <c r="I49" s="24">
        <f t="shared" si="15"/>
        <v>1</v>
      </c>
      <c r="J49" s="643"/>
      <c r="K49" s="24">
        <f t="shared" si="16"/>
        <v>1</v>
      </c>
      <c r="L49" s="643"/>
      <c r="M49" s="24">
        <f t="shared" si="17"/>
        <v>1</v>
      </c>
      <c r="N49" s="643"/>
      <c r="O49" s="24">
        <f t="shared" si="18"/>
        <v>1</v>
      </c>
      <c r="P49" s="643"/>
      <c r="Q49" s="24">
        <f t="shared" si="19"/>
        <v>1</v>
      </c>
      <c r="R49" s="24">
        <f t="shared" ca="1" si="20"/>
        <v>28187</v>
      </c>
      <c r="S49" s="314">
        <f t="shared" ca="1" si="11"/>
        <v>628</v>
      </c>
    </row>
    <row r="50" spans="1:19">
      <c r="A50" s="147">
        <f>面积指标!E28</f>
        <v>1307</v>
      </c>
      <c r="B50" s="55">
        <f>面积指标!F28</f>
        <v>81.58</v>
      </c>
      <c r="C50" s="24">
        <f t="shared" si="12"/>
        <v>0.98</v>
      </c>
      <c r="D50" s="643" t="s">
        <v>3160</v>
      </c>
      <c r="E50" s="24">
        <f t="shared" si="13"/>
        <v>1</v>
      </c>
      <c r="F50" s="643" t="s">
        <v>3161</v>
      </c>
      <c r="G50" s="24">
        <f t="shared" si="14"/>
        <v>1</v>
      </c>
      <c r="H50" s="643" t="s">
        <v>27</v>
      </c>
      <c r="I50" s="24">
        <f t="shared" si="15"/>
        <v>1</v>
      </c>
      <c r="J50" s="643"/>
      <c r="K50" s="24">
        <f t="shared" si="16"/>
        <v>1</v>
      </c>
      <c r="L50" s="643"/>
      <c r="M50" s="24">
        <f t="shared" si="17"/>
        <v>1</v>
      </c>
      <c r="N50" s="643"/>
      <c r="O50" s="24">
        <f t="shared" si="18"/>
        <v>1</v>
      </c>
      <c r="P50" s="643"/>
      <c r="Q50" s="24">
        <f t="shared" si="19"/>
        <v>1</v>
      </c>
      <c r="R50" s="24">
        <f t="shared" ca="1" si="20"/>
        <v>27623</v>
      </c>
      <c r="S50" s="314">
        <f t="shared" ca="1" si="11"/>
        <v>225</v>
      </c>
    </row>
    <row r="51" spans="1:19">
      <c r="A51" s="147">
        <f>面积指标!E29</f>
        <v>1308</v>
      </c>
      <c r="B51" s="55">
        <f>面积指标!F29</f>
        <v>81.58</v>
      </c>
      <c r="C51" s="24">
        <f t="shared" si="12"/>
        <v>0.98</v>
      </c>
      <c r="D51" s="643" t="s">
        <v>3160</v>
      </c>
      <c r="E51" s="24">
        <f t="shared" si="13"/>
        <v>1</v>
      </c>
      <c r="F51" s="643" t="s">
        <v>3161</v>
      </c>
      <c r="G51" s="24">
        <f t="shared" si="14"/>
        <v>1</v>
      </c>
      <c r="H51" s="643" t="s">
        <v>27</v>
      </c>
      <c r="I51" s="24">
        <f t="shared" si="15"/>
        <v>1</v>
      </c>
      <c r="J51" s="643"/>
      <c r="K51" s="24">
        <f t="shared" si="16"/>
        <v>1</v>
      </c>
      <c r="L51" s="643"/>
      <c r="M51" s="24">
        <f t="shared" si="17"/>
        <v>1</v>
      </c>
      <c r="N51" s="643"/>
      <c r="O51" s="24">
        <f t="shared" si="18"/>
        <v>1</v>
      </c>
      <c r="P51" s="643"/>
      <c r="Q51" s="24">
        <f t="shared" si="19"/>
        <v>1</v>
      </c>
      <c r="R51" s="24">
        <f t="shared" ca="1" si="20"/>
        <v>27623</v>
      </c>
      <c r="S51" s="314">
        <f t="shared" ca="1" si="11"/>
        <v>225</v>
      </c>
    </row>
    <row r="52" spans="1:19">
      <c r="A52" s="147">
        <f>面积指标!E30</f>
        <v>1501</v>
      </c>
      <c r="B52" s="55">
        <f>面积指标!F30</f>
        <v>733.77</v>
      </c>
      <c r="C52" s="24">
        <f t="shared" si="12"/>
        <v>1</v>
      </c>
      <c r="D52" s="643" t="s">
        <v>3160</v>
      </c>
      <c r="E52" s="24">
        <f t="shared" si="13"/>
        <v>1</v>
      </c>
      <c r="F52" s="643" t="s">
        <v>3161</v>
      </c>
      <c r="G52" s="24">
        <f t="shared" si="14"/>
        <v>1</v>
      </c>
      <c r="H52" s="643" t="s">
        <v>27</v>
      </c>
      <c r="I52" s="24">
        <f t="shared" si="15"/>
        <v>1</v>
      </c>
      <c r="J52" s="643"/>
      <c r="K52" s="24">
        <f t="shared" si="16"/>
        <v>1</v>
      </c>
      <c r="L52" s="643"/>
      <c r="M52" s="24">
        <f t="shared" si="17"/>
        <v>1</v>
      </c>
      <c r="N52" s="643"/>
      <c r="O52" s="24">
        <f t="shared" si="18"/>
        <v>1</v>
      </c>
      <c r="P52" s="643"/>
      <c r="Q52" s="24">
        <f t="shared" si="19"/>
        <v>1</v>
      </c>
      <c r="R52" s="24">
        <f t="shared" ca="1" si="20"/>
        <v>28187</v>
      </c>
      <c r="S52" s="314">
        <f t="shared" ca="1" si="11"/>
        <v>2068</v>
      </c>
    </row>
    <row r="53" spans="1:19">
      <c r="A53" s="147">
        <f>面积指标!E31</f>
        <v>1502</v>
      </c>
      <c r="B53" s="55">
        <f>面积指标!F31</f>
        <v>222.94</v>
      </c>
      <c r="C53" s="24">
        <f t="shared" si="12"/>
        <v>1</v>
      </c>
      <c r="D53" s="643" t="s">
        <v>3160</v>
      </c>
      <c r="E53" s="24">
        <f t="shared" si="13"/>
        <v>1</v>
      </c>
      <c r="F53" s="643" t="s">
        <v>3161</v>
      </c>
      <c r="G53" s="24">
        <f t="shared" si="14"/>
        <v>1</v>
      </c>
      <c r="H53" s="643" t="s">
        <v>27</v>
      </c>
      <c r="I53" s="24">
        <f t="shared" si="15"/>
        <v>1</v>
      </c>
      <c r="J53" s="643"/>
      <c r="K53" s="24">
        <f t="shared" si="16"/>
        <v>1</v>
      </c>
      <c r="L53" s="643"/>
      <c r="M53" s="24">
        <f t="shared" si="17"/>
        <v>1</v>
      </c>
      <c r="N53" s="643"/>
      <c r="O53" s="24">
        <f t="shared" si="18"/>
        <v>1</v>
      </c>
      <c r="P53" s="643"/>
      <c r="Q53" s="24">
        <f t="shared" si="19"/>
        <v>1</v>
      </c>
      <c r="R53" s="24">
        <f t="shared" ca="1" si="20"/>
        <v>28187</v>
      </c>
      <c r="S53" s="314">
        <f t="shared" ca="1" si="11"/>
        <v>628</v>
      </c>
    </row>
    <row r="54" spans="1:19">
      <c r="A54" s="147">
        <f>面积指标!E32</f>
        <v>1503</v>
      </c>
      <c r="B54" s="55">
        <f>面积指标!F32</f>
        <v>94.41</v>
      </c>
      <c r="C54" s="24">
        <f t="shared" si="12"/>
        <v>0.98</v>
      </c>
      <c r="D54" s="643" t="s">
        <v>3160</v>
      </c>
      <c r="E54" s="24">
        <f t="shared" si="13"/>
        <v>1</v>
      </c>
      <c r="F54" s="643" t="s">
        <v>3161</v>
      </c>
      <c r="G54" s="24">
        <f t="shared" si="14"/>
        <v>1</v>
      </c>
      <c r="H54" s="643" t="s">
        <v>27</v>
      </c>
      <c r="I54" s="24">
        <f t="shared" si="15"/>
        <v>1</v>
      </c>
      <c r="J54" s="643"/>
      <c r="K54" s="24">
        <f t="shared" si="16"/>
        <v>1</v>
      </c>
      <c r="L54" s="643"/>
      <c r="M54" s="24">
        <f t="shared" si="17"/>
        <v>1</v>
      </c>
      <c r="N54" s="643"/>
      <c r="O54" s="24">
        <f t="shared" si="18"/>
        <v>1</v>
      </c>
      <c r="P54" s="643"/>
      <c r="Q54" s="24">
        <f t="shared" si="19"/>
        <v>1</v>
      </c>
      <c r="R54" s="24">
        <f t="shared" ca="1" si="20"/>
        <v>27623</v>
      </c>
      <c r="S54" s="314">
        <f t="shared" ca="1" si="11"/>
        <v>261</v>
      </c>
    </row>
    <row r="55" spans="1:19">
      <c r="A55" s="147">
        <f>面积指标!E33</f>
        <v>1504</v>
      </c>
      <c r="B55" s="55">
        <f>面积指标!F33</f>
        <v>703.89</v>
      </c>
      <c r="C55" s="24">
        <f t="shared" si="12"/>
        <v>1</v>
      </c>
      <c r="D55" s="643" t="s">
        <v>3160</v>
      </c>
      <c r="E55" s="24">
        <f t="shared" si="13"/>
        <v>1</v>
      </c>
      <c r="F55" s="643" t="s">
        <v>3161</v>
      </c>
      <c r="G55" s="24">
        <f t="shared" si="14"/>
        <v>1</v>
      </c>
      <c r="H55" s="643" t="s">
        <v>27</v>
      </c>
      <c r="I55" s="24">
        <f t="shared" si="15"/>
        <v>1</v>
      </c>
      <c r="J55" s="643"/>
      <c r="K55" s="24">
        <f t="shared" si="16"/>
        <v>1</v>
      </c>
      <c r="L55" s="643"/>
      <c r="M55" s="24">
        <f t="shared" si="17"/>
        <v>1</v>
      </c>
      <c r="N55" s="643"/>
      <c r="O55" s="24">
        <f t="shared" si="18"/>
        <v>1</v>
      </c>
      <c r="P55" s="643"/>
      <c r="Q55" s="24">
        <f t="shared" si="19"/>
        <v>1</v>
      </c>
      <c r="R55" s="24">
        <f t="shared" ca="1" si="20"/>
        <v>28187</v>
      </c>
      <c r="S55" s="314">
        <f t="shared" ref="S55:S77" ca="1" si="21">ROUND(R55*B55/10000,0)</f>
        <v>1984</v>
      </c>
    </row>
    <row r="56" spans="1:19">
      <c r="A56" s="147">
        <f>面积指标!E34</f>
        <v>1505</v>
      </c>
      <c r="B56" s="55">
        <f>面积指标!F34</f>
        <v>222.94</v>
      </c>
      <c r="C56" s="24">
        <f t="shared" si="12"/>
        <v>1</v>
      </c>
      <c r="D56" s="643" t="s">
        <v>3160</v>
      </c>
      <c r="E56" s="24">
        <f t="shared" si="13"/>
        <v>1</v>
      </c>
      <c r="F56" s="643" t="s">
        <v>3161</v>
      </c>
      <c r="G56" s="24">
        <f t="shared" si="14"/>
        <v>1</v>
      </c>
      <c r="H56" s="643" t="s">
        <v>27</v>
      </c>
      <c r="I56" s="24">
        <f t="shared" si="15"/>
        <v>1</v>
      </c>
      <c r="J56" s="643"/>
      <c r="K56" s="24">
        <f t="shared" si="16"/>
        <v>1</v>
      </c>
      <c r="L56" s="643"/>
      <c r="M56" s="24">
        <f t="shared" si="17"/>
        <v>1</v>
      </c>
      <c r="N56" s="643"/>
      <c r="O56" s="24">
        <f t="shared" si="18"/>
        <v>1</v>
      </c>
      <c r="P56" s="643"/>
      <c r="Q56" s="24">
        <f t="shared" si="19"/>
        <v>1</v>
      </c>
      <c r="R56" s="24">
        <f t="shared" ca="1" si="20"/>
        <v>28187</v>
      </c>
      <c r="S56" s="314">
        <f t="shared" ca="1" si="21"/>
        <v>628</v>
      </c>
    </row>
    <row r="57" spans="1:19">
      <c r="A57" s="147">
        <f>面积指标!E35</f>
        <v>1506</v>
      </c>
      <c r="B57" s="55">
        <f>面积指标!F35</f>
        <v>222.94</v>
      </c>
      <c r="C57" s="24">
        <f t="shared" si="12"/>
        <v>1</v>
      </c>
      <c r="D57" s="643" t="s">
        <v>3160</v>
      </c>
      <c r="E57" s="24">
        <f t="shared" si="13"/>
        <v>1</v>
      </c>
      <c r="F57" s="643" t="s">
        <v>3161</v>
      </c>
      <c r="G57" s="24">
        <f t="shared" si="14"/>
        <v>1</v>
      </c>
      <c r="H57" s="643" t="s">
        <v>27</v>
      </c>
      <c r="I57" s="24">
        <f t="shared" si="15"/>
        <v>1</v>
      </c>
      <c r="J57" s="643"/>
      <c r="K57" s="24">
        <f t="shared" si="16"/>
        <v>1</v>
      </c>
      <c r="L57" s="643"/>
      <c r="M57" s="24">
        <f t="shared" si="17"/>
        <v>1</v>
      </c>
      <c r="N57" s="643"/>
      <c r="O57" s="24">
        <f t="shared" si="18"/>
        <v>1</v>
      </c>
      <c r="P57" s="643"/>
      <c r="Q57" s="24">
        <f t="shared" si="19"/>
        <v>1</v>
      </c>
      <c r="R57" s="24">
        <f t="shared" ca="1" si="20"/>
        <v>28187</v>
      </c>
      <c r="S57" s="314">
        <f t="shared" ca="1" si="21"/>
        <v>628</v>
      </c>
    </row>
    <row r="58" spans="1:19">
      <c r="A58" s="147">
        <f>面积指标!E36</f>
        <v>1507</v>
      </c>
      <c r="B58" s="55">
        <f>面积指标!F36</f>
        <v>81.58</v>
      </c>
      <c r="C58" s="24">
        <f t="shared" si="12"/>
        <v>0.98</v>
      </c>
      <c r="D58" s="643" t="s">
        <v>3160</v>
      </c>
      <c r="E58" s="24">
        <f t="shared" si="13"/>
        <v>1</v>
      </c>
      <c r="F58" s="643" t="s">
        <v>3161</v>
      </c>
      <c r="G58" s="24">
        <f t="shared" si="14"/>
        <v>1</v>
      </c>
      <c r="H58" s="643" t="s">
        <v>27</v>
      </c>
      <c r="I58" s="24">
        <f t="shared" si="15"/>
        <v>1</v>
      </c>
      <c r="J58" s="643"/>
      <c r="K58" s="24">
        <f t="shared" si="16"/>
        <v>1</v>
      </c>
      <c r="L58" s="643"/>
      <c r="M58" s="24">
        <f t="shared" si="17"/>
        <v>1</v>
      </c>
      <c r="N58" s="643"/>
      <c r="O58" s="24">
        <f t="shared" si="18"/>
        <v>1</v>
      </c>
      <c r="P58" s="643"/>
      <c r="Q58" s="24">
        <f t="shared" si="19"/>
        <v>1</v>
      </c>
      <c r="R58" s="24">
        <f t="shared" ca="1" si="20"/>
        <v>27623</v>
      </c>
      <c r="S58" s="314">
        <f t="shared" ca="1" si="21"/>
        <v>225</v>
      </c>
    </row>
    <row r="59" spans="1:19">
      <c r="A59" s="147">
        <f>面积指标!E37</f>
        <v>1508</v>
      </c>
      <c r="B59" s="55">
        <f>面积指标!F37</f>
        <v>81.58</v>
      </c>
      <c r="C59" s="24">
        <f t="shared" si="12"/>
        <v>0.98</v>
      </c>
      <c r="D59" s="643" t="s">
        <v>3160</v>
      </c>
      <c r="E59" s="24">
        <f t="shared" si="13"/>
        <v>1</v>
      </c>
      <c r="F59" s="643" t="s">
        <v>3161</v>
      </c>
      <c r="G59" s="24">
        <f t="shared" si="14"/>
        <v>1</v>
      </c>
      <c r="H59" s="643" t="s">
        <v>27</v>
      </c>
      <c r="I59" s="24">
        <f t="shared" si="15"/>
        <v>1</v>
      </c>
      <c r="J59" s="643"/>
      <c r="K59" s="24">
        <f t="shared" si="16"/>
        <v>1</v>
      </c>
      <c r="L59" s="643"/>
      <c r="M59" s="24">
        <f t="shared" si="17"/>
        <v>1</v>
      </c>
      <c r="N59" s="643"/>
      <c r="O59" s="24">
        <f t="shared" si="18"/>
        <v>1</v>
      </c>
      <c r="P59" s="643"/>
      <c r="Q59" s="24">
        <f t="shared" si="19"/>
        <v>1</v>
      </c>
      <c r="R59" s="24">
        <f t="shared" ca="1" si="20"/>
        <v>27623</v>
      </c>
      <c r="S59" s="314">
        <f t="shared" ca="1" si="21"/>
        <v>225</v>
      </c>
    </row>
    <row r="60" spans="1:19">
      <c r="A60" s="147">
        <f>面积指标!E38</f>
        <v>1601</v>
      </c>
      <c r="B60" s="55">
        <f>面积指标!F38</f>
        <v>733.77</v>
      </c>
      <c r="C60" s="24">
        <f t="shared" si="12"/>
        <v>1</v>
      </c>
      <c r="D60" s="643" t="s">
        <v>3160</v>
      </c>
      <c r="E60" s="24">
        <f t="shared" si="13"/>
        <v>1</v>
      </c>
      <c r="F60" s="643" t="s">
        <v>3161</v>
      </c>
      <c r="G60" s="24">
        <f t="shared" si="14"/>
        <v>1</v>
      </c>
      <c r="H60" s="643" t="s">
        <v>27</v>
      </c>
      <c r="I60" s="24">
        <f t="shared" si="15"/>
        <v>1</v>
      </c>
      <c r="J60" s="643"/>
      <c r="K60" s="24">
        <f t="shared" si="16"/>
        <v>1</v>
      </c>
      <c r="L60" s="643"/>
      <c r="M60" s="24">
        <f t="shared" si="17"/>
        <v>1</v>
      </c>
      <c r="N60" s="643"/>
      <c r="O60" s="24">
        <f t="shared" si="18"/>
        <v>1</v>
      </c>
      <c r="P60" s="643"/>
      <c r="Q60" s="24">
        <f t="shared" si="19"/>
        <v>1</v>
      </c>
      <c r="R60" s="24">
        <f t="shared" ca="1" si="20"/>
        <v>28187</v>
      </c>
      <c r="S60" s="314">
        <f t="shared" ca="1" si="21"/>
        <v>2068</v>
      </c>
    </row>
    <row r="61" spans="1:19">
      <c r="A61" s="147">
        <f>面积指标!E39</f>
        <v>1602</v>
      </c>
      <c r="B61" s="55">
        <f>面积指标!F39</f>
        <v>222.94</v>
      </c>
      <c r="C61" s="24">
        <f t="shared" si="12"/>
        <v>1</v>
      </c>
      <c r="D61" s="643" t="s">
        <v>3160</v>
      </c>
      <c r="E61" s="24">
        <f t="shared" si="13"/>
        <v>1</v>
      </c>
      <c r="F61" s="643" t="s">
        <v>3161</v>
      </c>
      <c r="G61" s="24">
        <f t="shared" si="14"/>
        <v>1</v>
      </c>
      <c r="H61" s="643" t="s">
        <v>27</v>
      </c>
      <c r="I61" s="24">
        <f t="shared" si="15"/>
        <v>1</v>
      </c>
      <c r="J61" s="643"/>
      <c r="K61" s="24">
        <f t="shared" si="16"/>
        <v>1</v>
      </c>
      <c r="L61" s="643"/>
      <c r="M61" s="24">
        <f t="shared" si="17"/>
        <v>1</v>
      </c>
      <c r="N61" s="643"/>
      <c r="O61" s="24">
        <f t="shared" si="18"/>
        <v>1</v>
      </c>
      <c r="P61" s="643"/>
      <c r="Q61" s="24">
        <f t="shared" si="19"/>
        <v>1</v>
      </c>
      <c r="R61" s="24">
        <f t="shared" ca="1" si="20"/>
        <v>28187</v>
      </c>
      <c r="S61" s="314">
        <f t="shared" ca="1" si="21"/>
        <v>628</v>
      </c>
    </row>
    <row r="62" spans="1:19">
      <c r="A62" s="147">
        <f>面积指标!E40</f>
        <v>1603</v>
      </c>
      <c r="B62" s="55">
        <f>面积指标!F40</f>
        <v>94.41</v>
      </c>
      <c r="C62" s="24">
        <f t="shared" si="12"/>
        <v>0.98</v>
      </c>
      <c r="D62" s="643" t="s">
        <v>3160</v>
      </c>
      <c r="E62" s="24">
        <f t="shared" si="13"/>
        <v>1</v>
      </c>
      <c r="F62" s="643" t="s">
        <v>3161</v>
      </c>
      <c r="G62" s="24">
        <f t="shared" si="14"/>
        <v>1</v>
      </c>
      <c r="H62" s="643" t="s">
        <v>27</v>
      </c>
      <c r="I62" s="24">
        <f t="shared" si="15"/>
        <v>1</v>
      </c>
      <c r="J62" s="643"/>
      <c r="K62" s="24">
        <f t="shared" si="16"/>
        <v>1</v>
      </c>
      <c r="L62" s="643"/>
      <c r="M62" s="24">
        <f t="shared" si="17"/>
        <v>1</v>
      </c>
      <c r="N62" s="643"/>
      <c r="O62" s="24">
        <f t="shared" si="18"/>
        <v>1</v>
      </c>
      <c r="P62" s="643"/>
      <c r="Q62" s="24">
        <f t="shared" si="19"/>
        <v>1</v>
      </c>
      <c r="R62" s="24">
        <f t="shared" ca="1" si="20"/>
        <v>27623</v>
      </c>
      <c r="S62" s="314">
        <f t="shared" ca="1" si="21"/>
        <v>261</v>
      </c>
    </row>
    <row r="63" spans="1:19">
      <c r="A63" s="147">
        <f>面积指标!E41</f>
        <v>1604</v>
      </c>
      <c r="B63" s="55">
        <f>面积指标!F41</f>
        <v>703.89</v>
      </c>
      <c r="C63" s="24">
        <f t="shared" si="12"/>
        <v>1</v>
      </c>
      <c r="D63" s="643" t="s">
        <v>3160</v>
      </c>
      <c r="E63" s="24">
        <f t="shared" si="13"/>
        <v>1</v>
      </c>
      <c r="F63" s="643" t="s">
        <v>3161</v>
      </c>
      <c r="G63" s="24">
        <f t="shared" si="14"/>
        <v>1</v>
      </c>
      <c r="H63" s="643" t="s">
        <v>27</v>
      </c>
      <c r="I63" s="24">
        <f t="shared" si="15"/>
        <v>1</v>
      </c>
      <c r="J63" s="643"/>
      <c r="K63" s="24">
        <f t="shared" si="16"/>
        <v>1</v>
      </c>
      <c r="L63" s="643"/>
      <c r="M63" s="24">
        <f t="shared" si="17"/>
        <v>1</v>
      </c>
      <c r="N63" s="643"/>
      <c r="O63" s="24">
        <f t="shared" si="18"/>
        <v>1</v>
      </c>
      <c r="P63" s="643"/>
      <c r="Q63" s="24">
        <f t="shared" si="19"/>
        <v>1</v>
      </c>
      <c r="R63" s="24">
        <f t="shared" ca="1" si="20"/>
        <v>28187</v>
      </c>
      <c r="S63" s="314">
        <f t="shared" ca="1" si="21"/>
        <v>1984</v>
      </c>
    </row>
    <row r="64" spans="1:19">
      <c r="A64" s="147">
        <f>面积指标!E42</f>
        <v>1605</v>
      </c>
      <c r="B64" s="55">
        <f>面积指标!F42</f>
        <v>222.94</v>
      </c>
      <c r="C64" s="24">
        <f t="shared" si="12"/>
        <v>1</v>
      </c>
      <c r="D64" s="643" t="s">
        <v>3160</v>
      </c>
      <c r="E64" s="24">
        <f t="shared" si="13"/>
        <v>1</v>
      </c>
      <c r="F64" s="643" t="s">
        <v>3161</v>
      </c>
      <c r="G64" s="24">
        <f t="shared" si="14"/>
        <v>1</v>
      </c>
      <c r="H64" s="643" t="s">
        <v>27</v>
      </c>
      <c r="I64" s="24">
        <f t="shared" si="15"/>
        <v>1</v>
      </c>
      <c r="J64" s="643"/>
      <c r="K64" s="24">
        <f t="shared" si="16"/>
        <v>1</v>
      </c>
      <c r="L64" s="643"/>
      <c r="M64" s="24">
        <f t="shared" si="17"/>
        <v>1</v>
      </c>
      <c r="N64" s="643"/>
      <c r="O64" s="24">
        <f t="shared" si="18"/>
        <v>1</v>
      </c>
      <c r="P64" s="643"/>
      <c r="Q64" s="24">
        <f t="shared" si="19"/>
        <v>1</v>
      </c>
      <c r="R64" s="24">
        <f t="shared" ca="1" si="20"/>
        <v>28187</v>
      </c>
      <c r="S64" s="314">
        <f t="shared" ca="1" si="21"/>
        <v>628</v>
      </c>
    </row>
    <row r="65" spans="1:19">
      <c r="A65" s="147">
        <f>面积指标!E43</f>
        <v>1606</v>
      </c>
      <c r="B65" s="55">
        <f>面积指标!F43</f>
        <v>222.94</v>
      </c>
      <c r="C65" s="24">
        <f t="shared" si="12"/>
        <v>1</v>
      </c>
      <c r="D65" s="643" t="s">
        <v>3160</v>
      </c>
      <c r="E65" s="24">
        <f t="shared" si="13"/>
        <v>1</v>
      </c>
      <c r="F65" s="643" t="s">
        <v>3161</v>
      </c>
      <c r="G65" s="24">
        <f t="shared" si="14"/>
        <v>1</v>
      </c>
      <c r="H65" s="643" t="s">
        <v>27</v>
      </c>
      <c r="I65" s="24">
        <f t="shared" si="15"/>
        <v>1</v>
      </c>
      <c r="J65" s="643"/>
      <c r="K65" s="24">
        <f t="shared" si="16"/>
        <v>1</v>
      </c>
      <c r="L65" s="643"/>
      <c r="M65" s="24">
        <f t="shared" si="17"/>
        <v>1</v>
      </c>
      <c r="N65" s="643"/>
      <c r="O65" s="24">
        <f t="shared" si="18"/>
        <v>1</v>
      </c>
      <c r="P65" s="643"/>
      <c r="Q65" s="24">
        <f t="shared" si="19"/>
        <v>1</v>
      </c>
      <c r="R65" s="24">
        <f t="shared" ca="1" si="20"/>
        <v>28187</v>
      </c>
      <c r="S65" s="314">
        <f t="shared" ca="1" si="21"/>
        <v>628</v>
      </c>
    </row>
    <row r="66" spans="1:19">
      <c r="A66" s="147">
        <f>面积指标!E44</f>
        <v>1607</v>
      </c>
      <c r="B66" s="55">
        <f>面积指标!F44</f>
        <v>81.58</v>
      </c>
      <c r="C66" s="24">
        <f t="shared" si="12"/>
        <v>0.98</v>
      </c>
      <c r="D66" s="643" t="s">
        <v>3160</v>
      </c>
      <c r="E66" s="24">
        <f t="shared" si="13"/>
        <v>1</v>
      </c>
      <c r="F66" s="643" t="s">
        <v>3161</v>
      </c>
      <c r="G66" s="24">
        <f t="shared" si="14"/>
        <v>1</v>
      </c>
      <c r="H66" s="643" t="s">
        <v>27</v>
      </c>
      <c r="I66" s="24">
        <f t="shared" si="15"/>
        <v>1</v>
      </c>
      <c r="J66" s="643"/>
      <c r="K66" s="24">
        <f t="shared" si="16"/>
        <v>1</v>
      </c>
      <c r="L66" s="643"/>
      <c r="M66" s="24">
        <f t="shared" si="17"/>
        <v>1</v>
      </c>
      <c r="N66" s="643"/>
      <c r="O66" s="24">
        <f t="shared" si="18"/>
        <v>1</v>
      </c>
      <c r="P66" s="643"/>
      <c r="Q66" s="24">
        <f t="shared" si="19"/>
        <v>1</v>
      </c>
      <c r="R66" s="24">
        <f t="shared" ca="1" si="20"/>
        <v>27623</v>
      </c>
      <c r="S66" s="314">
        <f t="shared" ca="1" si="21"/>
        <v>225</v>
      </c>
    </row>
    <row r="67" spans="1:19">
      <c r="A67" s="147">
        <f>面积指标!E45</f>
        <v>1608</v>
      </c>
      <c r="B67" s="55">
        <f>面积指标!F45</f>
        <v>81.58</v>
      </c>
      <c r="C67" s="24">
        <f t="shared" si="12"/>
        <v>0.98</v>
      </c>
      <c r="D67" s="643" t="s">
        <v>3160</v>
      </c>
      <c r="E67" s="24">
        <f t="shared" si="13"/>
        <v>1</v>
      </c>
      <c r="F67" s="643" t="s">
        <v>3161</v>
      </c>
      <c r="G67" s="24">
        <f t="shared" si="14"/>
        <v>1</v>
      </c>
      <c r="H67" s="643" t="s">
        <v>27</v>
      </c>
      <c r="I67" s="24">
        <f t="shared" si="15"/>
        <v>1</v>
      </c>
      <c r="J67" s="643"/>
      <c r="K67" s="24">
        <f t="shared" si="16"/>
        <v>1</v>
      </c>
      <c r="L67" s="643"/>
      <c r="M67" s="24">
        <f t="shared" si="17"/>
        <v>1</v>
      </c>
      <c r="N67" s="643"/>
      <c r="O67" s="24">
        <f t="shared" si="18"/>
        <v>1</v>
      </c>
      <c r="P67" s="643"/>
      <c r="Q67" s="24">
        <f t="shared" si="19"/>
        <v>1</v>
      </c>
      <c r="R67" s="24">
        <f t="shared" ca="1" si="20"/>
        <v>27623</v>
      </c>
      <c r="S67" s="314">
        <f t="shared" ca="1" si="21"/>
        <v>225</v>
      </c>
    </row>
    <row r="68" spans="1:19">
      <c r="A68" s="147">
        <f>面积指标!E46</f>
        <v>1901</v>
      </c>
      <c r="B68" s="55">
        <f>面积指标!F46</f>
        <v>2188.15</v>
      </c>
      <c r="C68" s="24">
        <f t="shared" si="12"/>
        <v>0.94</v>
      </c>
      <c r="D68" s="643" t="s">
        <v>3160</v>
      </c>
      <c r="E68" s="24">
        <f t="shared" si="13"/>
        <v>1</v>
      </c>
      <c r="F68" s="643" t="s">
        <v>3161</v>
      </c>
      <c r="G68" s="24">
        <f t="shared" si="14"/>
        <v>1</v>
      </c>
      <c r="H68" s="643" t="s">
        <v>27</v>
      </c>
      <c r="I68" s="24">
        <f t="shared" si="15"/>
        <v>1</v>
      </c>
      <c r="J68" s="643"/>
      <c r="K68" s="24">
        <f t="shared" si="16"/>
        <v>1</v>
      </c>
      <c r="L68" s="643"/>
      <c r="M68" s="24">
        <f t="shared" si="17"/>
        <v>1</v>
      </c>
      <c r="N68" s="643"/>
      <c r="O68" s="24">
        <f t="shared" si="18"/>
        <v>1</v>
      </c>
      <c r="P68" s="643"/>
      <c r="Q68" s="24">
        <f t="shared" si="19"/>
        <v>1</v>
      </c>
      <c r="R68" s="24">
        <f t="shared" ca="1" si="20"/>
        <v>26496</v>
      </c>
      <c r="S68" s="314">
        <f t="shared" ca="1" si="21"/>
        <v>5798</v>
      </c>
    </row>
    <row r="69" spans="1:19">
      <c r="A69" s="147">
        <f>面积指标!E47</f>
        <v>1902</v>
      </c>
      <c r="B69" s="55">
        <f>面积指标!F47</f>
        <v>81.58</v>
      </c>
      <c r="C69" s="24">
        <f t="shared" si="12"/>
        <v>0.98</v>
      </c>
      <c r="D69" s="643" t="s">
        <v>3160</v>
      </c>
      <c r="E69" s="24">
        <f t="shared" si="13"/>
        <v>1</v>
      </c>
      <c r="F69" s="643" t="s">
        <v>3161</v>
      </c>
      <c r="G69" s="24">
        <f t="shared" si="14"/>
        <v>1</v>
      </c>
      <c r="H69" s="643" t="s">
        <v>27</v>
      </c>
      <c r="I69" s="24">
        <f t="shared" si="15"/>
        <v>1</v>
      </c>
      <c r="J69" s="643"/>
      <c r="K69" s="24">
        <f t="shared" si="16"/>
        <v>1</v>
      </c>
      <c r="L69" s="643"/>
      <c r="M69" s="24">
        <f t="shared" si="17"/>
        <v>1</v>
      </c>
      <c r="N69" s="643"/>
      <c r="O69" s="24">
        <f t="shared" si="18"/>
        <v>1</v>
      </c>
      <c r="P69" s="643"/>
      <c r="Q69" s="24">
        <f t="shared" si="19"/>
        <v>1</v>
      </c>
      <c r="R69" s="24">
        <f t="shared" ca="1" si="20"/>
        <v>27623</v>
      </c>
      <c r="S69" s="314">
        <f t="shared" ca="1" si="21"/>
        <v>225</v>
      </c>
    </row>
    <row r="70" spans="1:19">
      <c r="A70" s="147">
        <f>面积指标!E48</f>
        <v>1903</v>
      </c>
      <c r="B70" s="55">
        <f>面积指标!F48</f>
        <v>81.58</v>
      </c>
      <c r="C70" s="24">
        <f t="shared" si="12"/>
        <v>0.98</v>
      </c>
      <c r="D70" s="643" t="s">
        <v>3160</v>
      </c>
      <c r="E70" s="24">
        <f t="shared" si="13"/>
        <v>1</v>
      </c>
      <c r="F70" s="643" t="s">
        <v>3161</v>
      </c>
      <c r="G70" s="24">
        <f t="shared" si="14"/>
        <v>1</v>
      </c>
      <c r="H70" s="643" t="s">
        <v>27</v>
      </c>
      <c r="I70" s="24">
        <f t="shared" si="15"/>
        <v>1</v>
      </c>
      <c r="J70" s="643"/>
      <c r="K70" s="24">
        <f t="shared" si="16"/>
        <v>1</v>
      </c>
      <c r="L70" s="643"/>
      <c r="M70" s="24">
        <f t="shared" si="17"/>
        <v>1</v>
      </c>
      <c r="N70" s="643"/>
      <c r="O70" s="24">
        <f t="shared" si="18"/>
        <v>1</v>
      </c>
      <c r="P70" s="643"/>
      <c r="Q70" s="24">
        <f t="shared" si="19"/>
        <v>1</v>
      </c>
      <c r="R70" s="24">
        <f t="shared" ca="1" si="20"/>
        <v>27623</v>
      </c>
      <c r="S70" s="314">
        <f t="shared" ca="1" si="21"/>
        <v>225</v>
      </c>
    </row>
    <row r="71" spans="1:19">
      <c r="A71" s="147"/>
      <c r="B71" s="55"/>
      <c r="C71" s="24">
        <f t="shared" si="12"/>
        <v>1</v>
      </c>
      <c r="D71" s="643"/>
      <c r="E71" s="24">
        <f t="shared" si="13"/>
        <v>0</v>
      </c>
      <c r="F71" s="643"/>
      <c r="G71" s="24">
        <f t="shared" si="14"/>
        <v>0</v>
      </c>
      <c r="H71" s="643"/>
      <c r="I71" s="24">
        <f t="shared" si="15"/>
        <v>0.1</v>
      </c>
      <c r="J71" s="643"/>
      <c r="K71" s="24">
        <f t="shared" si="16"/>
        <v>1</v>
      </c>
      <c r="L71" s="643"/>
      <c r="M71" s="24">
        <f t="shared" si="17"/>
        <v>1</v>
      </c>
      <c r="N71" s="643"/>
      <c r="O71" s="24">
        <f t="shared" si="18"/>
        <v>1</v>
      </c>
      <c r="P71" s="643"/>
      <c r="Q71" s="24">
        <f t="shared" si="19"/>
        <v>1</v>
      </c>
      <c r="R71" s="24">
        <f t="shared" si="20"/>
        <v>0</v>
      </c>
      <c r="S71" s="314">
        <f t="shared" si="21"/>
        <v>0</v>
      </c>
    </row>
    <row r="72" spans="1:19">
      <c r="A72" s="147"/>
      <c r="B72" s="55"/>
      <c r="C72" s="24">
        <f t="shared" si="12"/>
        <v>1</v>
      </c>
      <c r="D72" s="643"/>
      <c r="E72" s="24">
        <f t="shared" si="13"/>
        <v>0</v>
      </c>
      <c r="F72" s="643"/>
      <c r="G72" s="24">
        <f t="shared" si="14"/>
        <v>0</v>
      </c>
      <c r="H72" s="643"/>
      <c r="I72" s="24">
        <f t="shared" si="15"/>
        <v>0.1</v>
      </c>
      <c r="J72" s="643"/>
      <c r="K72" s="24">
        <f t="shared" si="16"/>
        <v>1</v>
      </c>
      <c r="L72" s="643"/>
      <c r="M72" s="24">
        <f t="shared" si="17"/>
        <v>1</v>
      </c>
      <c r="N72" s="643"/>
      <c r="O72" s="24">
        <f t="shared" si="18"/>
        <v>1</v>
      </c>
      <c r="P72" s="643"/>
      <c r="Q72" s="24">
        <f t="shared" si="19"/>
        <v>1</v>
      </c>
      <c r="R72" s="24">
        <f t="shared" si="20"/>
        <v>0</v>
      </c>
      <c r="S72" s="314">
        <f t="shared" si="21"/>
        <v>0</v>
      </c>
    </row>
    <row r="73" spans="1:19">
      <c r="A73" s="147"/>
      <c r="B73" s="55"/>
      <c r="C73" s="24">
        <f t="shared" si="12"/>
        <v>1</v>
      </c>
      <c r="D73" s="643"/>
      <c r="E73" s="24">
        <f t="shared" si="13"/>
        <v>0</v>
      </c>
      <c r="F73" s="643"/>
      <c r="G73" s="24">
        <f t="shared" si="14"/>
        <v>0</v>
      </c>
      <c r="H73" s="643"/>
      <c r="I73" s="24">
        <f t="shared" si="15"/>
        <v>0.1</v>
      </c>
      <c r="J73" s="643"/>
      <c r="K73" s="24">
        <f t="shared" si="16"/>
        <v>1</v>
      </c>
      <c r="L73" s="643"/>
      <c r="M73" s="24">
        <f t="shared" si="17"/>
        <v>1</v>
      </c>
      <c r="N73" s="643"/>
      <c r="O73" s="24">
        <f t="shared" si="18"/>
        <v>1</v>
      </c>
      <c r="P73" s="643"/>
      <c r="Q73" s="24">
        <f t="shared" si="19"/>
        <v>1</v>
      </c>
      <c r="R73" s="24">
        <f t="shared" si="20"/>
        <v>0</v>
      </c>
      <c r="S73" s="314">
        <f t="shared" si="21"/>
        <v>0</v>
      </c>
    </row>
    <row r="74" spans="1:19">
      <c r="A74" s="147"/>
      <c r="B74" s="55"/>
      <c r="C74" s="24">
        <f t="shared" si="12"/>
        <v>1</v>
      </c>
      <c r="D74" s="643"/>
      <c r="E74" s="24">
        <f t="shared" si="13"/>
        <v>0</v>
      </c>
      <c r="F74" s="643"/>
      <c r="G74" s="24">
        <f t="shared" si="14"/>
        <v>0</v>
      </c>
      <c r="H74" s="643"/>
      <c r="I74" s="24">
        <f t="shared" si="15"/>
        <v>0.1</v>
      </c>
      <c r="J74" s="643"/>
      <c r="K74" s="24">
        <f t="shared" si="16"/>
        <v>1</v>
      </c>
      <c r="L74" s="643"/>
      <c r="M74" s="24">
        <f t="shared" si="17"/>
        <v>1</v>
      </c>
      <c r="N74" s="643"/>
      <c r="O74" s="24">
        <f t="shared" si="18"/>
        <v>1</v>
      </c>
      <c r="P74" s="643"/>
      <c r="Q74" s="24">
        <f t="shared" si="19"/>
        <v>1</v>
      </c>
      <c r="R74" s="24">
        <f t="shared" si="20"/>
        <v>0</v>
      </c>
      <c r="S74" s="314">
        <f t="shared" si="21"/>
        <v>0</v>
      </c>
    </row>
    <row r="75" spans="1:19">
      <c r="A75" s="147"/>
      <c r="B75" s="55"/>
      <c r="C75" s="24">
        <f t="shared" si="12"/>
        <v>1</v>
      </c>
      <c r="D75" s="643"/>
      <c r="E75" s="24">
        <f t="shared" si="13"/>
        <v>0</v>
      </c>
      <c r="F75" s="643"/>
      <c r="G75" s="24">
        <f t="shared" si="14"/>
        <v>0</v>
      </c>
      <c r="H75" s="643"/>
      <c r="I75" s="24">
        <f t="shared" si="15"/>
        <v>0.1</v>
      </c>
      <c r="J75" s="643"/>
      <c r="K75" s="24">
        <f t="shared" si="16"/>
        <v>1</v>
      </c>
      <c r="L75" s="643"/>
      <c r="M75" s="24">
        <f t="shared" si="17"/>
        <v>1</v>
      </c>
      <c r="N75" s="643"/>
      <c r="O75" s="24">
        <f t="shared" si="18"/>
        <v>1</v>
      </c>
      <c r="P75" s="643"/>
      <c r="Q75" s="24">
        <f t="shared" si="19"/>
        <v>1</v>
      </c>
      <c r="R75" s="24">
        <f t="shared" si="20"/>
        <v>0</v>
      </c>
      <c r="S75" s="314">
        <f t="shared" si="21"/>
        <v>0</v>
      </c>
    </row>
    <row r="76" spans="1:19">
      <c r="A76" s="147"/>
      <c r="B76" s="55"/>
      <c r="C76" s="24">
        <f t="shared" si="12"/>
        <v>1</v>
      </c>
      <c r="D76" s="643"/>
      <c r="E76" s="24">
        <f t="shared" si="13"/>
        <v>0</v>
      </c>
      <c r="F76" s="643"/>
      <c r="G76" s="24">
        <f t="shared" si="14"/>
        <v>0</v>
      </c>
      <c r="H76" s="643"/>
      <c r="I76" s="24">
        <f t="shared" si="15"/>
        <v>0.1</v>
      </c>
      <c r="J76" s="643"/>
      <c r="K76" s="24">
        <f t="shared" si="16"/>
        <v>1</v>
      </c>
      <c r="L76" s="643"/>
      <c r="M76" s="24">
        <f t="shared" si="17"/>
        <v>1</v>
      </c>
      <c r="N76" s="643"/>
      <c r="O76" s="24">
        <f t="shared" si="18"/>
        <v>1</v>
      </c>
      <c r="P76" s="643"/>
      <c r="Q76" s="24">
        <f t="shared" si="19"/>
        <v>1</v>
      </c>
      <c r="R76" s="24">
        <f t="shared" si="20"/>
        <v>0</v>
      </c>
      <c r="S76" s="314">
        <f t="shared" si="21"/>
        <v>0</v>
      </c>
    </row>
    <row r="77" spans="1:19">
      <c r="A77" s="147"/>
      <c r="B77" s="55"/>
      <c r="C77" s="24">
        <f t="shared" si="12"/>
        <v>1</v>
      </c>
      <c r="D77" s="643"/>
      <c r="E77" s="24">
        <f t="shared" si="13"/>
        <v>0</v>
      </c>
      <c r="F77" s="643"/>
      <c r="G77" s="24">
        <f t="shared" si="14"/>
        <v>0</v>
      </c>
      <c r="H77" s="643"/>
      <c r="I77" s="24">
        <f t="shared" si="15"/>
        <v>0.1</v>
      </c>
      <c r="J77" s="643"/>
      <c r="K77" s="24">
        <f t="shared" si="16"/>
        <v>1</v>
      </c>
      <c r="L77" s="643"/>
      <c r="M77" s="24">
        <f t="shared" si="17"/>
        <v>1</v>
      </c>
      <c r="N77" s="643"/>
      <c r="O77" s="24">
        <f t="shared" si="18"/>
        <v>1</v>
      </c>
      <c r="P77" s="643"/>
      <c r="Q77" s="24">
        <f t="shared" si="19"/>
        <v>1</v>
      </c>
      <c r="R77" s="24">
        <f t="shared" si="20"/>
        <v>0</v>
      </c>
      <c r="S77" s="314">
        <f t="shared" si="21"/>
        <v>0</v>
      </c>
    </row>
    <row r="78" spans="1:19">
      <c r="A78" s="147"/>
      <c r="B78" s="55"/>
      <c r="C78" s="24">
        <f t="shared" si="12"/>
        <v>1</v>
      </c>
      <c r="D78" s="643"/>
      <c r="E78" s="24">
        <f t="shared" si="13"/>
        <v>0</v>
      </c>
      <c r="F78" s="643"/>
      <c r="G78" s="24">
        <f t="shared" si="14"/>
        <v>0</v>
      </c>
      <c r="H78" s="643"/>
      <c r="I78" s="24">
        <f t="shared" si="15"/>
        <v>0.1</v>
      </c>
      <c r="J78" s="643"/>
      <c r="K78" s="24">
        <f t="shared" si="16"/>
        <v>1</v>
      </c>
      <c r="L78" s="643"/>
      <c r="M78" s="24">
        <f t="shared" si="17"/>
        <v>1</v>
      </c>
      <c r="N78" s="643"/>
      <c r="O78" s="24">
        <f t="shared" si="18"/>
        <v>1</v>
      </c>
      <c r="P78" s="643"/>
      <c r="Q78" s="24">
        <f t="shared" si="19"/>
        <v>1</v>
      </c>
      <c r="R78" s="24">
        <f t="shared" si="20"/>
        <v>0</v>
      </c>
      <c r="S78" s="314">
        <f t="shared" ref="S78:S122" si="22">ROUND(R78*B78/10000,0)</f>
        <v>0</v>
      </c>
    </row>
    <row r="79" spans="1:19">
      <c r="A79" s="147"/>
      <c r="B79" s="55"/>
      <c r="C79" s="24">
        <f t="shared" si="12"/>
        <v>1</v>
      </c>
      <c r="D79" s="643"/>
      <c r="E79" s="24">
        <f t="shared" si="13"/>
        <v>0</v>
      </c>
      <c r="F79" s="643"/>
      <c r="G79" s="24">
        <f t="shared" si="14"/>
        <v>0</v>
      </c>
      <c r="H79" s="643"/>
      <c r="I79" s="24">
        <f t="shared" si="15"/>
        <v>0.1</v>
      </c>
      <c r="J79" s="643"/>
      <c r="K79" s="24">
        <f t="shared" si="16"/>
        <v>1</v>
      </c>
      <c r="L79" s="643"/>
      <c r="M79" s="24">
        <f t="shared" si="17"/>
        <v>1</v>
      </c>
      <c r="N79" s="643"/>
      <c r="O79" s="24">
        <f t="shared" si="18"/>
        <v>1</v>
      </c>
      <c r="P79" s="643"/>
      <c r="Q79" s="24">
        <f t="shared" si="19"/>
        <v>1</v>
      </c>
      <c r="R79" s="24">
        <f t="shared" si="20"/>
        <v>0</v>
      </c>
      <c r="S79" s="314">
        <f t="shared" si="22"/>
        <v>0</v>
      </c>
    </row>
    <row r="80" spans="1:19">
      <c r="A80" s="147"/>
      <c r="B80" s="55"/>
      <c r="C80" s="24">
        <f t="shared" si="12"/>
        <v>1</v>
      </c>
      <c r="D80" s="643"/>
      <c r="E80" s="24">
        <f t="shared" si="13"/>
        <v>0</v>
      </c>
      <c r="F80" s="643"/>
      <c r="G80" s="24">
        <f t="shared" si="14"/>
        <v>0</v>
      </c>
      <c r="H80" s="643"/>
      <c r="I80" s="24">
        <f t="shared" si="15"/>
        <v>0.1</v>
      </c>
      <c r="J80" s="643"/>
      <c r="K80" s="24">
        <f t="shared" si="16"/>
        <v>1</v>
      </c>
      <c r="L80" s="643"/>
      <c r="M80" s="24">
        <f t="shared" si="17"/>
        <v>1</v>
      </c>
      <c r="N80" s="643"/>
      <c r="O80" s="24">
        <f t="shared" si="18"/>
        <v>1</v>
      </c>
      <c r="P80" s="643"/>
      <c r="Q80" s="24">
        <f t="shared" si="19"/>
        <v>1</v>
      </c>
      <c r="R80" s="24">
        <f t="shared" si="20"/>
        <v>0</v>
      </c>
      <c r="S80" s="314">
        <f t="shared" si="22"/>
        <v>0</v>
      </c>
    </row>
    <row r="81" spans="1:19">
      <c r="A81" s="147"/>
      <c r="B81" s="55"/>
      <c r="C81" s="24">
        <f t="shared" si="12"/>
        <v>1</v>
      </c>
      <c r="D81" s="643"/>
      <c r="E81" s="24">
        <f t="shared" si="13"/>
        <v>0</v>
      </c>
      <c r="F81" s="643"/>
      <c r="G81" s="24">
        <f t="shared" si="14"/>
        <v>0</v>
      </c>
      <c r="H81" s="643"/>
      <c r="I81" s="24">
        <f t="shared" si="15"/>
        <v>0.1</v>
      </c>
      <c r="J81" s="643"/>
      <c r="K81" s="24">
        <f t="shared" si="16"/>
        <v>1</v>
      </c>
      <c r="L81" s="643"/>
      <c r="M81" s="24">
        <f t="shared" si="17"/>
        <v>1</v>
      </c>
      <c r="N81" s="643"/>
      <c r="O81" s="24">
        <f t="shared" si="18"/>
        <v>1</v>
      </c>
      <c r="P81" s="643"/>
      <c r="Q81" s="24">
        <f t="shared" si="19"/>
        <v>1</v>
      </c>
      <c r="R81" s="24">
        <f t="shared" si="20"/>
        <v>0</v>
      </c>
      <c r="S81" s="314">
        <f t="shared" si="22"/>
        <v>0</v>
      </c>
    </row>
    <row r="82" spans="1:19">
      <c r="A82" s="147"/>
      <c r="B82" s="55"/>
      <c r="C82" s="24">
        <f t="shared" si="12"/>
        <v>1</v>
      </c>
      <c r="D82" s="643"/>
      <c r="E82" s="24">
        <f t="shared" si="13"/>
        <v>0</v>
      </c>
      <c r="F82" s="643"/>
      <c r="G82" s="24">
        <f t="shared" si="14"/>
        <v>0</v>
      </c>
      <c r="H82" s="643"/>
      <c r="I82" s="24">
        <f t="shared" si="15"/>
        <v>0.1</v>
      </c>
      <c r="J82" s="643"/>
      <c r="K82" s="24">
        <f t="shared" si="16"/>
        <v>1</v>
      </c>
      <c r="L82" s="643"/>
      <c r="M82" s="24">
        <f t="shared" si="17"/>
        <v>1</v>
      </c>
      <c r="N82" s="643"/>
      <c r="O82" s="24">
        <f t="shared" si="18"/>
        <v>1</v>
      </c>
      <c r="P82" s="643"/>
      <c r="Q82" s="24">
        <f t="shared" si="19"/>
        <v>1</v>
      </c>
      <c r="R82" s="24">
        <f t="shared" si="20"/>
        <v>0</v>
      </c>
      <c r="S82" s="314">
        <f t="shared" si="22"/>
        <v>0</v>
      </c>
    </row>
    <row r="83" spans="1:19">
      <c r="A83" s="147"/>
      <c r="B83" s="55"/>
      <c r="C83" s="24">
        <f t="shared" si="12"/>
        <v>1</v>
      </c>
      <c r="D83" s="643"/>
      <c r="E83" s="24">
        <f t="shared" si="13"/>
        <v>0</v>
      </c>
      <c r="F83" s="643"/>
      <c r="G83" s="24">
        <f t="shared" si="14"/>
        <v>0</v>
      </c>
      <c r="H83" s="643"/>
      <c r="I83" s="24">
        <f t="shared" si="15"/>
        <v>0.1</v>
      </c>
      <c r="J83" s="643"/>
      <c r="K83" s="24">
        <f t="shared" si="16"/>
        <v>1</v>
      </c>
      <c r="L83" s="643"/>
      <c r="M83" s="24">
        <f t="shared" si="17"/>
        <v>1</v>
      </c>
      <c r="N83" s="643"/>
      <c r="O83" s="24">
        <f t="shared" si="18"/>
        <v>1</v>
      </c>
      <c r="P83" s="643"/>
      <c r="Q83" s="24">
        <f t="shared" si="19"/>
        <v>1</v>
      </c>
      <c r="R83" s="24">
        <f t="shared" si="20"/>
        <v>0</v>
      </c>
      <c r="S83" s="314">
        <f t="shared" si="22"/>
        <v>0</v>
      </c>
    </row>
    <row r="84" spans="1:19">
      <c r="A84" s="147"/>
      <c r="B84" s="55"/>
      <c r="C84" s="24">
        <f t="shared" si="12"/>
        <v>1</v>
      </c>
      <c r="D84" s="643"/>
      <c r="E84" s="24">
        <f t="shared" si="13"/>
        <v>0</v>
      </c>
      <c r="F84" s="643"/>
      <c r="G84" s="24">
        <f t="shared" si="14"/>
        <v>0</v>
      </c>
      <c r="H84" s="643"/>
      <c r="I84" s="24">
        <f t="shared" si="15"/>
        <v>0.1</v>
      </c>
      <c r="J84" s="643"/>
      <c r="K84" s="24">
        <f t="shared" si="16"/>
        <v>1</v>
      </c>
      <c r="L84" s="643"/>
      <c r="M84" s="24">
        <f t="shared" si="17"/>
        <v>1</v>
      </c>
      <c r="N84" s="643"/>
      <c r="O84" s="24">
        <f t="shared" si="18"/>
        <v>1</v>
      </c>
      <c r="P84" s="643"/>
      <c r="Q84" s="24">
        <f t="shared" si="19"/>
        <v>1</v>
      </c>
      <c r="R84" s="24">
        <f t="shared" si="20"/>
        <v>0</v>
      </c>
      <c r="S84" s="314">
        <f t="shared" si="22"/>
        <v>0</v>
      </c>
    </row>
    <row r="85" spans="1:19">
      <c r="A85" s="147"/>
      <c r="B85" s="55"/>
      <c r="C85" s="24">
        <f t="shared" si="12"/>
        <v>1</v>
      </c>
      <c r="D85" s="643"/>
      <c r="E85" s="24">
        <f t="shared" si="13"/>
        <v>0</v>
      </c>
      <c r="F85" s="643"/>
      <c r="G85" s="24">
        <f t="shared" si="14"/>
        <v>0</v>
      </c>
      <c r="H85" s="643"/>
      <c r="I85" s="24">
        <f t="shared" si="15"/>
        <v>0.1</v>
      </c>
      <c r="J85" s="643"/>
      <c r="K85" s="24">
        <f t="shared" si="16"/>
        <v>1</v>
      </c>
      <c r="L85" s="643"/>
      <c r="M85" s="24">
        <f t="shared" si="17"/>
        <v>1</v>
      </c>
      <c r="N85" s="643"/>
      <c r="O85" s="24">
        <f t="shared" si="18"/>
        <v>1</v>
      </c>
      <c r="P85" s="643"/>
      <c r="Q85" s="24">
        <f t="shared" si="19"/>
        <v>1</v>
      </c>
      <c r="R85" s="24">
        <f t="shared" si="20"/>
        <v>0</v>
      </c>
      <c r="S85" s="314">
        <f t="shared" si="22"/>
        <v>0</v>
      </c>
    </row>
    <row r="86" spans="1:19">
      <c r="A86" s="147"/>
      <c r="B86" s="55"/>
      <c r="C86" s="24">
        <f t="shared" si="12"/>
        <v>1</v>
      </c>
      <c r="D86" s="643"/>
      <c r="E86" s="24">
        <f t="shared" si="13"/>
        <v>0</v>
      </c>
      <c r="F86" s="643"/>
      <c r="G86" s="24">
        <f t="shared" si="14"/>
        <v>0</v>
      </c>
      <c r="H86" s="643"/>
      <c r="I86" s="24">
        <f t="shared" si="15"/>
        <v>0.1</v>
      </c>
      <c r="J86" s="643"/>
      <c r="K86" s="24">
        <f t="shared" si="16"/>
        <v>1</v>
      </c>
      <c r="L86" s="643"/>
      <c r="M86" s="24">
        <f t="shared" si="17"/>
        <v>1</v>
      </c>
      <c r="N86" s="643"/>
      <c r="O86" s="24">
        <f t="shared" si="18"/>
        <v>1</v>
      </c>
      <c r="P86" s="643"/>
      <c r="Q86" s="24">
        <f t="shared" si="19"/>
        <v>1</v>
      </c>
      <c r="R86" s="24">
        <f t="shared" si="20"/>
        <v>0</v>
      </c>
      <c r="S86" s="314">
        <f t="shared" si="22"/>
        <v>0</v>
      </c>
    </row>
    <row r="87" spans="1:19">
      <c r="A87" s="147"/>
      <c r="B87" s="55"/>
      <c r="C87" s="24">
        <f t="shared" si="12"/>
        <v>1</v>
      </c>
      <c r="D87" s="643"/>
      <c r="E87" s="24">
        <f t="shared" si="13"/>
        <v>0</v>
      </c>
      <c r="F87" s="643"/>
      <c r="G87" s="24">
        <f t="shared" si="14"/>
        <v>0</v>
      </c>
      <c r="H87" s="643"/>
      <c r="I87" s="24">
        <f t="shared" si="15"/>
        <v>0.1</v>
      </c>
      <c r="J87" s="643"/>
      <c r="K87" s="24">
        <f t="shared" si="16"/>
        <v>1</v>
      </c>
      <c r="L87" s="643"/>
      <c r="M87" s="24">
        <f t="shared" si="17"/>
        <v>1</v>
      </c>
      <c r="N87" s="643"/>
      <c r="O87" s="24">
        <f t="shared" si="18"/>
        <v>1</v>
      </c>
      <c r="P87" s="643"/>
      <c r="Q87" s="24">
        <f t="shared" si="19"/>
        <v>1</v>
      </c>
      <c r="R87" s="24">
        <f t="shared" si="20"/>
        <v>0</v>
      </c>
      <c r="S87" s="314">
        <f t="shared" si="22"/>
        <v>0</v>
      </c>
    </row>
    <row r="88" spans="1:19">
      <c r="A88" s="147"/>
      <c r="B88" s="55"/>
      <c r="C88" s="24">
        <f t="shared" si="12"/>
        <v>1</v>
      </c>
      <c r="D88" s="643"/>
      <c r="E88" s="24">
        <f t="shared" si="13"/>
        <v>0</v>
      </c>
      <c r="F88" s="643"/>
      <c r="G88" s="24">
        <f t="shared" si="14"/>
        <v>0</v>
      </c>
      <c r="H88" s="643"/>
      <c r="I88" s="24">
        <f t="shared" si="15"/>
        <v>0.1</v>
      </c>
      <c r="J88" s="643"/>
      <c r="K88" s="24">
        <f t="shared" si="16"/>
        <v>1</v>
      </c>
      <c r="L88" s="643"/>
      <c r="M88" s="24">
        <f t="shared" si="17"/>
        <v>1</v>
      </c>
      <c r="N88" s="643"/>
      <c r="O88" s="24">
        <f t="shared" si="18"/>
        <v>1</v>
      </c>
      <c r="P88" s="643"/>
      <c r="Q88" s="24">
        <f t="shared" si="19"/>
        <v>1</v>
      </c>
      <c r="R88" s="24">
        <f t="shared" si="20"/>
        <v>0</v>
      </c>
      <c r="S88" s="314">
        <f t="shared" si="22"/>
        <v>0</v>
      </c>
    </row>
    <row r="89" spans="1:19">
      <c r="A89" s="147"/>
      <c r="B89" s="55"/>
      <c r="C89" s="24">
        <f t="shared" si="12"/>
        <v>1</v>
      </c>
      <c r="D89" s="643"/>
      <c r="E89" s="24">
        <f t="shared" si="13"/>
        <v>0</v>
      </c>
      <c r="F89" s="643"/>
      <c r="G89" s="24">
        <f t="shared" si="14"/>
        <v>0</v>
      </c>
      <c r="H89" s="643"/>
      <c r="I89" s="24">
        <f t="shared" si="15"/>
        <v>0.1</v>
      </c>
      <c r="J89" s="643"/>
      <c r="K89" s="24">
        <f t="shared" si="16"/>
        <v>1</v>
      </c>
      <c r="L89" s="643"/>
      <c r="M89" s="24">
        <f t="shared" si="17"/>
        <v>1</v>
      </c>
      <c r="N89" s="643"/>
      <c r="O89" s="24">
        <f t="shared" si="18"/>
        <v>1</v>
      </c>
      <c r="P89" s="643"/>
      <c r="Q89" s="24">
        <f t="shared" si="19"/>
        <v>1</v>
      </c>
      <c r="R89" s="24">
        <f t="shared" si="20"/>
        <v>0</v>
      </c>
      <c r="S89" s="314">
        <f t="shared" si="22"/>
        <v>0</v>
      </c>
    </row>
    <row r="90" spans="1:19">
      <c r="A90" s="147"/>
      <c r="B90" s="55"/>
      <c r="C90" s="24">
        <f t="shared" ref="C90:C153" si="23">IF(B90="",1,(LOOKUP(B90,$3:$3,$4:$4)-LOOKUP($B$24,$3:$3,$4:$4)+100)/100)</f>
        <v>1</v>
      </c>
      <c r="D90" s="643"/>
      <c r="E90" s="24">
        <f t="shared" ref="E90:E153" si="24">(SUMIF($5:$5,D90,$6:$6)-SUMIF($5:$5,$D$24,$6:$6)+100)/100</f>
        <v>0</v>
      </c>
      <c r="F90" s="643"/>
      <c r="G90" s="24">
        <f t="shared" ref="G90:G153" si="25">(SUMIF($7:$7,F90,$8:$8)-SUMIF($7:$7,$F$24,$8:$8)+100)/100</f>
        <v>0</v>
      </c>
      <c r="H90" s="643"/>
      <c r="I90" s="24">
        <f t="shared" ref="I90:I153" si="26">(SUMIF($9:$9,H90,$10:$10)-SUMIF($9:$9,$H$24,$10:$10)+100)/100</f>
        <v>0.1</v>
      </c>
      <c r="J90" s="643"/>
      <c r="K90" s="24">
        <f t="shared" ref="K90:K153" si="27">(SUMIF($11:$11,J90,$12:$12)-SUMIF($11:$11,$J$24,$12:$12)+100)/100</f>
        <v>1</v>
      </c>
      <c r="L90" s="643"/>
      <c r="M90" s="24">
        <f t="shared" ref="M90:M153" si="28">(SUMIF($13:$13,L90,$14:$14)-SUMIF($13:$13,$L$24,$14:$14)+100)/100</f>
        <v>1</v>
      </c>
      <c r="N90" s="643"/>
      <c r="O90" s="24">
        <f t="shared" ref="O90:O153" si="29">(SUMIF($15:$15,N90,$16:$16)-SUMIF($15:$15,$N$24,$16:$16)+100)/100</f>
        <v>1</v>
      </c>
      <c r="P90" s="643"/>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3"/>
      <c r="E91" s="24">
        <f t="shared" si="24"/>
        <v>0</v>
      </c>
      <c r="F91" s="643"/>
      <c r="G91" s="24">
        <f t="shared" si="25"/>
        <v>0</v>
      </c>
      <c r="H91" s="643"/>
      <c r="I91" s="24">
        <f t="shared" si="26"/>
        <v>0.1</v>
      </c>
      <c r="J91" s="643"/>
      <c r="K91" s="24">
        <f t="shared" si="27"/>
        <v>1</v>
      </c>
      <c r="L91" s="643"/>
      <c r="M91" s="24">
        <f t="shared" si="28"/>
        <v>1</v>
      </c>
      <c r="N91" s="643"/>
      <c r="O91" s="24">
        <f t="shared" si="29"/>
        <v>1</v>
      </c>
      <c r="P91" s="643"/>
      <c r="Q91" s="24">
        <f t="shared" si="30"/>
        <v>1</v>
      </c>
      <c r="R91" s="24">
        <f t="shared" si="31"/>
        <v>0</v>
      </c>
      <c r="S91" s="314">
        <f t="shared" si="22"/>
        <v>0</v>
      </c>
    </row>
    <row r="92" spans="1:19">
      <c r="A92" s="147"/>
      <c r="B92" s="55"/>
      <c r="C92" s="24">
        <f t="shared" si="23"/>
        <v>1</v>
      </c>
      <c r="D92" s="643"/>
      <c r="E92" s="24">
        <f t="shared" si="24"/>
        <v>0</v>
      </c>
      <c r="F92" s="643"/>
      <c r="G92" s="24">
        <f t="shared" si="25"/>
        <v>0</v>
      </c>
      <c r="H92" s="643"/>
      <c r="I92" s="24">
        <f t="shared" si="26"/>
        <v>0.1</v>
      </c>
      <c r="J92" s="643"/>
      <c r="K92" s="24">
        <f t="shared" si="27"/>
        <v>1</v>
      </c>
      <c r="L92" s="643"/>
      <c r="M92" s="24">
        <f t="shared" si="28"/>
        <v>1</v>
      </c>
      <c r="N92" s="643"/>
      <c r="O92" s="24">
        <f t="shared" si="29"/>
        <v>1</v>
      </c>
      <c r="P92" s="643"/>
      <c r="Q92" s="24">
        <f t="shared" si="30"/>
        <v>1</v>
      </c>
      <c r="R92" s="24">
        <f t="shared" si="31"/>
        <v>0</v>
      </c>
      <c r="S92" s="314">
        <f t="shared" si="22"/>
        <v>0</v>
      </c>
    </row>
    <row r="93" spans="1:19">
      <c r="A93" s="147"/>
      <c r="B93" s="55"/>
      <c r="C93" s="24">
        <f t="shared" si="23"/>
        <v>1</v>
      </c>
      <c r="D93" s="643"/>
      <c r="E93" s="24">
        <f t="shared" si="24"/>
        <v>0</v>
      </c>
      <c r="F93" s="643"/>
      <c r="G93" s="24">
        <f t="shared" si="25"/>
        <v>0</v>
      </c>
      <c r="H93" s="643"/>
      <c r="I93" s="24">
        <f t="shared" si="26"/>
        <v>0.1</v>
      </c>
      <c r="J93" s="643"/>
      <c r="K93" s="24">
        <f t="shared" si="27"/>
        <v>1</v>
      </c>
      <c r="L93" s="643"/>
      <c r="M93" s="24">
        <f t="shared" si="28"/>
        <v>1</v>
      </c>
      <c r="N93" s="643"/>
      <c r="O93" s="24">
        <f t="shared" si="29"/>
        <v>1</v>
      </c>
      <c r="P93" s="643"/>
      <c r="Q93" s="24">
        <f t="shared" si="30"/>
        <v>1</v>
      </c>
      <c r="R93" s="24">
        <f t="shared" si="31"/>
        <v>0</v>
      </c>
      <c r="S93" s="314">
        <f t="shared" si="22"/>
        <v>0</v>
      </c>
    </row>
    <row r="94" spans="1:19">
      <c r="A94" s="147"/>
      <c r="B94" s="55"/>
      <c r="C94" s="24">
        <f t="shared" si="23"/>
        <v>1</v>
      </c>
      <c r="D94" s="643"/>
      <c r="E94" s="24">
        <f t="shared" si="24"/>
        <v>0</v>
      </c>
      <c r="F94" s="643"/>
      <c r="G94" s="24">
        <f t="shared" si="25"/>
        <v>0</v>
      </c>
      <c r="H94" s="643"/>
      <c r="I94" s="24">
        <f t="shared" si="26"/>
        <v>0.1</v>
      </c>
      <c r="J94" s="643"/>
      <c r="K94" s="24">
        <f t="shared" si="27"/>
        <v>1</v>
      </c>
      <c r="L94" s="643"/>
      <c r="M94" s="24">
        <f t="shared" si="28"/>
        <v>1</v>
      </c>
      <c r="N94" s="643"/>
      <c r="O94" s="24">
        <f t="shared" si="29"/>
        <v>1</v>
      </c>
      <c r="P94" s="643"/>
      <c r="Q94" s="24">
        <f t="shared" si="30"/>
        <v>1</v>
      </c>
      <c r="R94" s="24">
        <f t="shared" si="31"/>
        <v>0</v>
      </c>
      <c r="S94" s="314">
        <f t="shared" si="22"/>
        <v>0</v>
      </c>
    </row>
    <row r="95" spans="1:19">
      <c r="A95" s="147"/>
      <c r="B95" s="55"/>
      <c r="C95" s="24">
        <f t="shared" si="23"/>
        <v>1</v>
      </c>
      <c r="D95" s="643"/>
      <c r="E95" s="24">
        <f t="shared" si="24"/>
        <v>0</v>
      </c>
      <c r="F95" s="643"/>
      <c r="G95" s="24">
        <f t="shared" si="25"/>
        <v>0</v>
      </c>
      <c r="H95" s="643"/>
      <c r="I95" s="24">
        <f t="shared" si="26"/>
        <v>0.1</v>
      </c>
      <c r="J95" s="643"/>
      <c r="K95" s="24">
        <f t="shared" si="27"/>
        <v>1</v>
      </c>
      <c r="L95" s="643"/>
      <c r="M95" s="24">
        <f t="shared" si="28"/>
        <v>1</v>
      </c>
      <c r="N95" s="643"/>
      <c r="O95" s="24">
        <f t="shared" si="29"/>
        <v>1</v>
      </c>
      <c r="P95" s="643"/>
      <c r="Q95" s="24">
        <f t="shared" si="30"/>
        <v>1</v>
      </c>
      <c r="R95" s="24">
        <f t="shared" si="31"/>
        <v>0</v>
      </c>
      <c r="S95" s="314">
        <f t="shared" si="22"/>
        <v>0</v>
      </c>
    </row>
    <row r="96" spans="1:19">
      <c r="A96" s="147"/>
      <c r="B96" s="55"/>
      <c r="C96" s="24">
        <f t="shared" si="23"/>
        <v>1</v>
      </c>
      <c r="D96" s="643"/>
      <c r="E96" s="24">
        <f t="shared" si="24"/>
        <v>0</v>
      </c>
      <c r="F96" s="643"/>
      <c r="G96" s="24">
        <f t="shared" si="25"/>
        <v>0</v>
      </c>
      <c r="H96" s="643"/>
      <c r="I96" s="24">
        <f t="shared" si="26"/>
        <v>0.1</v>
      </c>
      <c r="J96" s="643"/>
      <c r="K96" s="24">
        <f t="shared" si="27"/>
        <v>1</v>
      </c>
      <c r="L96" s="643"/>
      <c r="M96" s="24">
        <f t="shared" si="28"/>
        <v>1</v>
      </c>
      <c r="N96" s="643"/>
      <c r="O96" s="24">
        <f t="shared" si="29"/>
        <v>1</v>
      </c>
      <c r="P96" s="643"/>
      <c r="Q96" s="24">
        <f t="shared" si="30"/>
        <v>1</v>
      </c>
      <c r="R96" s="24">
        <f t="shared" si="31"/>
        <v>0</v>
      </c>
      <c r="S96" s="314">
        <f t="shared" si="22"/>
        <v>0</v>
      </c>
    </row>
    <row r="97" spans="1:19">
      <c r="A97" s="147"/>
      <c r="B97" s="55"/>
      <c r="C97" s="24">
        <f t="shared" si="23"/>
        <v>1</v>
      </c>
      <c r="D97" s="643"/>
      <c r="E97" s="24">
        <f t="shared" si="24"/>
        <v>0</v>
      </c>
      <c r="F97" s="643"/>
      <c r="G97" s="24">
        <f t="shared" si="25"/>
        <v>0</v>
      </c>
      <c r="H97" s="643"/>
      <c r="I97" s="24">
        <f t="shared" si="26"/>
        <v>0.1</v>
      </c>
      <c r="J97" s="643"/>
      <c r="K97" s="24">
        <f t="shared" si="27"/>
        <v>1</v>
      </c>
      <c r="L97" s="643"/>
      <c r="M97" s="24">
        <f t="shared" si="28"/>
        <v>1</v>
      </c>
      <c r="N97" s="643"/>
      <c r="O97" s="24">
        <f t="shared" si="29"/>
        <v>1</v>
      </c>
      <c r="P97" s="643"/>
      <c r="Q97" s="24">
        <f t="shared" si="30"/>
        <v>1</v>
      </c>
      <c r="R97" s="24">
        <f t="shared" si="31"/>
        <v>0</v>
      </c>
      <c r="S97" s="314">
        <f t="shared" si="22"/>
        <v>0</v>
      </c>
    </row>
    <row r="98" spans="1:19">
      <c r="A98" s="147"/>
      <c r="B98" s="55"/>
      <c r="C98" s="24">
        <f t="shared" si="23"/>
        <v>1</v>
      </c>
      <c r="D98" s="643"/>
      <c r="E98" s="24">
        <f t="shared" si="24"/>
        <v>0</v>
      </c>
      <c r="F98" s="643"/>
      <c r="G98" s="24">
        <f t="shared" si="25"/>
        <v>0</v>
      </c>
      <c r="H98" s="643"/>
      <c r="I98" s="24">
        <f t="shared" si="26"/>
        <v>0.1</v>
      </c>
      <c r="J98" s="643"/>
      <c r="K98" s="24">
        <f t="shared" si="27"/>
        <v>1</v>
      </c>
      <c r="L98" s="643"/>
      <c r="M98" s="24">
        <f t="shared" si="28"/>
        <v>1</v>
      </c>
      <c r="N98" s="643"/>
      <c r="O98" s="24">
        <f t="shared" si="29"/>
        <v>1</v>
      </c>
      <c r="P98" s="643"/>
      <c r="Q98" s="24">
        <f t="shared" si="30"/>
        <v>1</v>
      </c>
      <c r="R98" s="24">
        <f t="shared" si="31"/>
        <v>0</v>
      </c>
      <c r="S98" s="314">
        <f t="shared" si="22"/>
        <v>0</v>
      </c>
    </row>
    <row r="99" spans="1:19">
      <c r="A99" s="147"/>
      <c r="B99" s="55"/>
      <c r="C99" s="24">
        <f t="shared" si="23"/>
        <v>1</v>
      </c>
      <c r="D99" s="643"/>
      <c r="E99" s="24">
        <f t="shared" si="24"/>
        <v>0</v>
      </c>
      <c r="F99" s="643"/>
      <c r="G99" s="24">
        <f t="shared" si="25"/>
        <v>0</v>
      </c>
      <c r="H99" s="643"/>
      <c r="I99" s="24">
        <f t="shared" si="26"/>
        <v>0.1</v>
      </c>
      <c r="J99" s="643"/>
      <c r="K99" s="24">
        <f t="shared" si="27"/>
        <v>1</v>
      </c>
      <c r="L99" s="643"/>
      <c r="M99" s="24">
        <f t="shared" si="28"/>
        <v>1</v>
      </c>
      <c r="N99" s="643"/>
      <c r="O99" s="24">
        <f t="shared" si="29"/>
        <v>1</v>
      </c>
      <c r="P99" s="643"/>
      <c r="Q99" s="24">
        <f t="shared" si="30"/>
        <v>1</v>
      </c>
      <c r="R99" s="24">
        <f t="shared" si="31"/>
        <v>0</v>
      </c>
      <c r="S99" s="314">
        <f t="shared" si="22"/>
        <v>0</v>
      </c>
    </row>
    <row r="100" spans="1:19">
      <c r="A100" s="147"/>
      <c r="B100" s="55"/>
      <c r="C100" s="24">
        <f t="shared" si="23"/>
        <v>1</v>
      </c>
      <c r="D100" s="643"/>
      <c r="E100" s="24">
        <f t="shared" si="24"/>
        <v>0</v>
      </c>
      <c r="F100" s="643"/>
      <c r="G100" s="24">
        <f t="shared" si="25"/>
        <v>0</v>
      </c>
      <c r="H100" s="643"/>
      <c r="I100" s="24">
        <f t="shared" si="26"/>
        <v>0.1</v>
      </c>
      <c r="J100" s="643"/>
      <c r="K100" s="24">
        <f t="shared" si="27"/>
        <v>1</v>
      </c>
      <c r="L100" s="643"/>
      <c r="M100" s="24">
        <f t="shared" si="28"/>
        <v>1</v>
      </c>
      <c r="N100" s="643"/>
      <c r="O100" s="24">
        <f t="shared" si="29"/>
        <v>1</v>
      </c>
      <c r="P100" s="643"/>
      <c r="Q100" s="24">
        <f t="shared" si="30"/>
        <v>1</v>
      </c>
      <c r="R100" s="24">
        <f t="shared" si="31"/>
        <v>0</v>
      </c>
      <c r="S100" s="314">
        <f t="shared" si="22"/>
        <v>0</v>
      </c>
    </row>
    <row r="101" spans="1:19">
      <c r="A101" s="147"/>
      <c r="B101" s="55"/>
      <c r="C101" s="24">
        <f t="shared" si="23"/>
        <v>1</v>
      </c>
      <c r="D101" s="643"/>
      <c r="E101" s="24">
        <f t="shared" si="24"/>
        <v>0</v>
      </c>
      <c r="F101" s="643"/>
      <c r="G101" s="24">
        <f t="shared" si="25"/>
        <v>0</v>
      </c>
      <c r="H101" s="643"/>
      <c r="I101" s="24">
        <f t="shared" si="26"/>
        <v>0.1</v>
      </c>
      <c r="J101" s="643"/>
      <c r="K101" s="24">
        <f t="shared" si="27"/>
        <v>1</v>
      </c>
      <c r="L101" s="643"/>
      <c r="M101" s="24">
        <f t="shared" si="28"/>
        <v>1</v>
      </c>
      <c r="N101" s="643"/>
      <c r="O101" s="24">
        <f t="shared" si="29"/>
        <v>1</v>
      </c>
      <c r="P101" s="643"/>
      <c r="Q101" s="24">
        <f t="shared" si="30"/>
        <v>1</v>
      </c>
      <c r="R101" s="24">
        <f t="shared" si="31"/>
        <v>0</v>
      </c>
      <c r="S101" s="314">
        <f t="shared" si="22"/>
        <v>0</v>
      </c>
    </row>
    <row r="102" spans="1:19">
      <c r="A102" s="147"/>
      <c r="B102" s="55"/>
      <c r="C102" s="24">
        <f t="shared" si="23"/>
        <v>1</v>
      </c>
      <c r="D102" s="643"/>
      <c r="E102" s="24">
        <f t="shared" si="24"/>
        <v>0</v>
      </c>
      <c r="F102" s="643"/>
      <c r="G102" s="24">
        <f t="shared" si="25"/>
        <v>0</v>
      </c>
      <c r="H102" s="643"/>
      <c r="I102" s="24">
        <f t="shared" si="26"/>
        <v>0.1</v>
      </c>
      <c r="J102" s="643"/>
      <c r="K102" s="24">
        <f t="shared" si="27"/>
        <v>1</v>
      </c>
      <c r="L102" s="643"/>
      <c r="M102" s="24">
        <f t="shared" si="28"/>
        <v>1</v>
      </c>
      <c r="N102" s="643"/>
      <c r="O102" s="24">
        <f t="shared" si="29"/>
        <v>1</v>
      </c>
      <c r="P102" s="643"/>
      <c r="Q102" s="24">
        <f t="shared" si="30"/>
        <v>1</v>
      </c>
      <c r="R102" s="24">
        <f t="shared" si="31"/>
        <v>0</v>
      </c>
      <c r="S102" s="314">
        <f t="shared" si="22"/>
        <v>0</v>
      </c>
    </row>
    <row r="103" spans="1:19">
      <c r="A103" s="147"/>
      <c r="B103" s="55"/>
      <c r="C103" s="24">
        <f t="shared" si="23"/>
        <v>1</v>
      </c>
      <c r="D103" s="643"/>
      <c r="E103" s="24">
        <f t="shared" si="24"/>
        <v>0</v>
      </c>
      <c r="F103" s="643"/>
      <c r="G103" s="24">
        <f t="shared" si="25"/>
        <v>0</v>
      </c>
      <c r="H103" s="643"/>
      <c r="I103" s="24">
        <f t="shared" si="26"/>
        <v>0.1</v>
      </c>
      <c r="J103" s="643"/>
      <c r="K103" s="24">
        <f t="shared" si="27"/>
        <v>1</v>
      </c>
      <c r="L103" s="643"/>
      <c r="M103" s="24">
        <f t="shared" si="28"/>
        <v>1</v>
      </c>
      <c r="N103" s="643"/>
      <c r="O103" s="24">
        <f t="shared" si="29"/>
        <v>1</v>
      </c>
      <c r="P103" s="643"/>
      <c r="Q103" s="24">
        <f t="shared" si="30"/>
        <v>1</v>
      </c>
      <c r="R103" s="24">
        <f t="shared" si="31"/>
        <v>0</v>
      </c>
      <c r="S103" s="314">
        <f t="shared" si="22"/>
        <v>0</v>
      </c>
    </row>
    <row r="104" spans="1:19">
      <c r="A104" s="147"/>
      <c r="B104" s="55"/>
      <c r="C104" s="24">
        <f t="shared" si="23"/>
        <v>1</v>
      </c>
      <c r="D104" s="643"/>
      <c r="E104" s="24">
        <f t="shared" si="24"/>
        <v>0</v>
      </c>
      <c r="F104" s="643"/>
      <c r="G104" s="24">
        <f t="shared" si="25"/>
        <v>0</v>
      </c>
      <c r="H104" s="643"/>
      <c r="I104" s="24">
        <f t="shared" si="26"/>
        <v>0.1</v>
      </c>
      <c r="J104" s="643"/>
      <c r="K104" s="24">
        <f t="shared" si="27"/>
        <v>1</v>
      </c>
      <c r="L104" s="643"/>
      <c r="M104" s="24">
        <f t="shared" si="28"/>
        <v>1</v>
      </c>
      <c r="N104" s="643"/>
      <c r="O104" s="24">
        <f t="shared" si="29"/>
        <v>1</v>
      </c>
      <c r="P104" s="643"/>
      <c r="Q104" s="24">
        <f t="shared" si="30"/>
        <v>1</v>
      </c>
      <c r="R104" s="24">
        <f t="shared" si="31"/>
        <v>0</v>
      </c>
      <c r="S104" s="314">
        <f t="shared" si="22"/>
        <v>0</v>
      </c>
    </row>
    <row r="105" spans="1:19">
      <c r="A105" s="147"/>
      <c r="B105" s="55"/>
      <c r="C105" s="24">
        <f t="shared" si="23"/>
        <v>1</v>
      </c>
      <c r="D105" s="643"/>
      <c r="E105" s="24">
        <f t="shared" si="24"/>
        <v>0</v>
      </c>
      <c r="F105" s="643"/>
      <c r="G105" s="24">
        <f t="shared" si="25"/>
        <v>0</v>
      </c>
      <c r="H105" s="643"/>
      <c r="I105" s="24">
        <f t="shared" si="26"/>
        <v>0.1</v>
      </c>
      <c r="J105" s="643"/>
      <c r="K105" s="24">
        <f t="shared" si="27"/>
        <v>1</v>
      </c>
      <c r="L105" s="643"/>
      <c r="M105" s="24">
        <f t="shared" si="28"/>
        <v>1</v>
      </c>
      <c r="N105" s="643"/>
      <c r="O105" s="24">
        <f t="shared" si="29"/>
        <v>1</v>
      </c>
      <c r="P105" s="643"/>
      <c r="Q105" s="24">
        <f t="shared" si="30"/>
        <v>1</v>
      </c>
      <c r="R105" s="24">
        <f t="shared" si="31"/>
        <v>0</v>
      </c>
      <c r="S105" s="314">
        <f t="shared" si="22"/>
        <v>0</v>
      </c>
    </row>
    <row r="106" spans="1:19">
      <c r="A106" s="147"/>
      <c r="B106" s="55"/>
      <c r="C106" s="24">
        <f t="shared" si="23"/>
        <v>1</v>
      </c>
      <c r="D106" s="643"/>
      <c r="E106" s="24">
        <f t="shared" si="24"/>
        <v>0</v>
      </c>
      <c r="F106" s="643"/>
      <c r="G106" s="24">
        <f t="shared" si="25"/>
        <v>0</v>
      </c>
      <c r="H106" s="643"/>
      <c r="I106" s="24">
        <f t="shared" si="26"/>
        <v>0.1</v>
      </c>
      <c r="J106" s="643"/>
      <c r="K106" s="24">
        <f t="shared" si="27"/>
        <v>1</v>
      </c>
      <c r="L106" s="643"/>
      <c r="M106" s="24">
        <f t="shared" si="28"/>
        <v>1</v>
      </c>
      <c r="N106" s="643"/>
      <c r="O106" s="24">
        <f t="shared" si="29"/>
        <v>1</v>
      </c>
      <c r="P106" s="643"/>
      <c r="Q106" s="24">
        <f t="shared" si="30"/>
        <v>1</v>
      </c>
      <c r="R106" s="24">
        <f t="shared" si="31"/>
        <v>0</v>
      </c>
      <c r="S106" s="314">
        <f t="shared" si="22"/>
        <v>0</v>
      </c>
    </row>
    <row r="107" spans="1:19">
      <c r="A107" s="147"/>
      <c r="B107" s="55"/>
      <c r="C107" s="24">
        <f t="shared" si="23"/>
        <v>1</v>
      </c>
      <c r="D107" s="643"/>
      <c r="E107" s="24">
        <f t="shared" si="24"/>
        <v>0</v>
      </c>
      <c r="F107" s="643"/>
      <c r="G107" s="24">
        <f t="shared" si="25"/>
        <v>0</v>
      </c>
      <c r="H107" s="643"/>
      <c r="I107" s="24">
        <f t="shared" si="26"/>
        <v>0.1</v>
      </c>
      <c r="J107" s="643"/>
      <c r="K107" s="24">
        <f t="shared" si="27"/>
        <v>1</v>
      </c>
      <c r="L107" s="643"/>
      <c r="M107" s="24">
        <f t="shared" si="28"/>
        <v>1</v>
      </c>
      <c r="N107" s="643"/>
      <c r="O107" s="24">
        <f t="shared" si="29"/>
        <v>1</v>
      </c>
      <c r="P107" s="643"/>
      <c r="Q107" s="24">
        <f t="shared" si="30"/>
        <v>1</v>
      </c>
      <c r="R107" s="24">
        <f t="shared" si="31"/>
        <v>0</v>
      </c>
      <c r="S107" s="314">
        <f t="shared" si="22"/>
        <v>0</v>
      </c>
    </row>
    <row r="108" spans="1:19">
      <c r="A108" s="147"/>
      <c r="B108" s="55"/>
      <c r="C108" s="24">
        <f t="shared" si="23"/>
        <v>1</v>
      </c>
      <c r="D108" s="643"/>
      <c r="E108" s="24">
        <f t="shared" si="24"/>
        <v>0</v>
      </c>
      <c r="F108" s="643"/>
      <c r="G108" s="24">
        <f t="shared" si="25"/>
        <v>0</v>
      </c>
      <c r="H108" s="643"/>
      <c r="I108" s="24">
        <f t="shared" si="26"/>
        <v>0.1</v>
      </c>
      <c r="J108" s="643"/>
      <c r="K108" s="24">
        <f t="shared" si="27"/>
        <v>1</v>
      </c>
      <c r="L108" s="643"/>
      <c r="M108" s="24">
        <f t="shared" si="28"/>
        <v>1</v>
      </c>
      <c r="N108" s="643"/>
      <c r="O108" s="24">
        <f t="shared" si="29"/>
        <v>1</v>
      </c>
      <c r="P108" s="643"/>
      <c r="Q108" s="24">
        <f t="shared" si="30"/>
        <v>1</v>
      </c>
      <c r="R108" s="24">
        <f t="shared" si="31"/>
        <v>0</v>
      </c>
      <c r="S108" s="314">
        <f t="shared" si="22"/>
        <v>0</v>
      </c>
    </row>
    <row r="109" spans="1:19">
      <c r="A109" s="147"/>
      <c r="B109" s="55"/>
      <c r="C109" s="24">
        <f t="shared" si="23"/>
        <v>1</v>
      </c>
      <c r="D109" s="643"/>
      <c r="E109" s="24">
        <f t="shared" si="24"/>
        <v>0</v>
      </c>
      <c r="F109" s="643"/>
      <c r="G109" s="24">
        <f t="shared" si="25"/>
        <v>0</v>
      </c>
      <c r="H109" s="643"/>
      <c r="I109" s="24">
        <f t="shared" si="26"/>
        <v>0.1</v>
      </c>
      <c r="J109" s="643"/>
      <c r="K109" s="24">
        <f t="shared" si="27"/>
        <v>1</v>
      </c>
      <c r="L109" s="643"/>
      <c r="M109" s="24">
        <f t="shared" si="28"/>
        <v>1</v>
      </c>
      <c r="N109" s="643"/>
      <c r="O109" s="24">
        <f t="shared" si="29"/>
        <v>1</v>
      </c>
      <c r="P109" s="643"/>
      <c r="Q109" s="24">
        <f t="shared" si="30"/>
        <v>1</v>
      </c>
      <c r="R109" s="24">
        <f t="shared" si="31"/>
        <v>0</v>
      </c>
      <c r="S109" s="314">
        <f t="shared" si="22"/>
        <v>0</v>
      </c>
    </row>
    <row r="110" spans="1:19">
      <c r="A110" s="147"/>
      <c r="B110" s="55"/>
      <c r="C110" s="24">
        <f t="shared" si="23"/>
        <v>1</v>
      </c>
      <c r="D110" s="643"/>
      <c r="E110" s="24">
        <f t="shared" si="24"/>
        <v>0</v>
      </c>
      <c r="F110" s="643"/>
      <c r="G110" s="24">
        <f t="shared" si="25"/>
        <v>0</v>
      </c>
      <c r="H110" s="643"/>
      <c r="I110" s="24">
        <f t="shared" si="26"/>
        <v>0.1</v>
      </c>
      <c r="J110" s="643"/>
      <c r="K110" s="24">
        <f t="shared" si="27"/>
        <v>1</v>
      </c>
      <c r="L110" s="643"/>
      <c r="M110" s="24">
        <f t="shared" si="28"/>
        <v>1</v>
      </c>
      <c r="N110" s="643"/>
      <c r="O110" s="24">
        <f t="shared" si="29"/>
        <v>1</v>
      </c>
      <c r="P110" s="643"/>
      <c r="Q110" s="24">
        <f t="shared" si="30"/>
        <v>1</v>
      </c>
      <c r="R110" s="24">
        <f t="shared" si="31"/>
        <v>0</v>
      </c>
      <c r="S110" s="314">
        <f t="shared" si="22"/>
        <v>0</v>
      </c>
    </row>
    <row r="111" spans="1:19">
      <c r="A111" s="147"/>
      <c r="B111" s="55"/>
      <c r="C111" s="24">
        <f t="shared" si="23"/>
        <v>1</v>
      </c>
      <c r="D111" s="643"/>
      <c r="E111" s="24">
        <f t="shared" si="24"/>
        <v>0</v>
      </c>
      <c r="F111" s="643"/>
      <c r="G111" s="24">
        <f t="shared" si="25"/>
        <v>0</v>
      </c>
      <c r="H111" s="643"/>
      <c r="I111" s="24">
        <f t="shared" si="26"/>
        <v>0.1</v>
      </c>
      <c r="J111" s="643"/>
      <c r="K111" s="24">
        <f t="shared" si="27"/>
        <v>1</v>
      </c>
      <c r="L111" s="643"/>
      <c r="M111" s="24">
        <f t="shared" si="28"/>
        <v>1</v>
      </c>
      <c r="N111" s="643"/>
      <c r="O111" s="24">
        <f t="shared" si="29"/>
        <v>1</v>
      </c>
      <c r="P111" s="643"/>
      <c r="Q111" s="24">
        <f t="shared" si="30"/>
        <v>1</v>
      </c>
      <c r="R111" s="24">
        <f t="shared" si="31"/>
        <v>0</v>
      </c>
      <c r="S111" s="314">
        <f t="shared" si="22"/>
        <v>0</v>
      </c>
    </row>
    <row r="112" spans="1:19">
      <c r="A112" s="147"/>
      <c r="B112" s="55"/>
      <c r="C112" s="24">
        <f t="shared" si="23"/>
        <v>1</v>
      </c>
      <c r="D112" s="643"/>
      <c r="E112" s="24">
        <f t="shared" si="24"/>
        <v>0</v>
      </c>
      <c r="F112" s="643"/>
      <c r="G112" s="24">
        <f t="shared" si="25"/>
        <v>0</v>
      </c>
      <c r="H112" s="643"/>
      <c r="I112" s="24">
        <f t="shared" si="26"/>
        <v>0.1</v>
      </c>
      <c r="J112" s="643"/>
      <c r="K112" s="24">
        <f t="shared" si="27"/>
        <v>1</v>
      </c>
      <c r="L112" s="643"/>
      <c r="M112" s="24">
        <f t="shared" si="28"/>
        <v>1</v>
      </c>
      <c r="N112" s="643"/>
      <c r="O112" s="24">
        <f t="shared" si="29"/>
        <v>1</v>
      </c>
      <c r="P112" s="643"/>
      <c r="Q112" s="24">
        <f t="shared" si="30"/>
        <v>1</v>
      </c>
      <c r="R112" s="24">
        <f t="shared" si="31"/>
        <v>0</v>
      </c>
      <c r="S112" s="314">
        <f t="shared" si="22"/>
        <v>0</v>
      </c>
    </row>
    <row r="113" spans="1:19">
      <c r="A113" s="147"/>
      <c r="B113" s="55"/>
      <c r="C113" s="24">
        <f t="shared" si="23"/>
        <v>1</v>
      </c>
      <c r="D113" s="643"/>
      <c r="E113" s="24">
        <f t="shared" si="24"/>
        <v>0</v>
      </c>
      <c r="F113" s="643"/>
      <c r="G113" s="24">
        <f t="shared" si="25"/>
        <v>0</v>
      </c>
      <c r="H113" s="643"/>
      <c r="I113" s="24">
        <f t="shared" si="26"/>
        <v>0.1</v>
      </c>
      <c r="J113" s="643"/>
      <c r="K113" s="24">
        <f t="shared" si="27"/>
        <v>1</v>
      </c>
      <c r="L113" s="643"/>
      <c r="M113" s="24">
        <f t="shared" si="28"/>
        <v>1</v>
      </c>
      <c r="N113" s="643"/>
      <c r="O113" s="24">
        <f t="shared" si="29"/>
        <v>1</v>
      </c>
      <c r="P113" s="643"/>
      <c r="Q113" s="24">
        <f t="shared" si="30"/>
        <v>1</v>
      </c>
      <c r="R113" s="24">
        <f t="shared" si="31"/>
        <v>0</v>
      </c>
      <c r="S113" s="314">
        <f t="shared" si="22"/>
        <v>0</v>
      </c>
    </row>
    <row r="114" spans="1:19">
      <c r="A114" s="147"/>
      <c r="B114" s="55"/>
      <c r="C114" s="24">
        <f t="shared" si="23"/>
        <v>1</v>
      </c>
      <c r="D114" s="643"/>
      <c r="E114" s="24">
        <f t="shared" si="24"/>
        <v>0</v>
      </c>
      <c r="F114" s="643"/>
      <c r="G114" s="24">
        <f t="shared" si="25"/>
        <v>0</v>
      </c>
      <c r="H114" s="643"/>
      <c r="I114" s="24">
        <f t="shared" si="26"/>
        <v>0.1</v>
      </c>
      <c r="J114" s="643"/>
      <c r="K114" s="24">
        <f t="shared" si="27"/>
        <v>1</v>
      </c>
      <c r="L114" s="643"/>
      <c r="M114" s="24">
        <f t="shared" si="28"/>
        <v>1</v>
      </c>
      <c r="N114" s="643"/>
      <c r="O114" s="24">
        <f t="shared" si="29"/>
        <v>1</v>
      </c>
      <c r="P114" s="643"/>
      <c r="Q114" s="24">
        <f t="shared" si="30"/>
        <v>1</v>
      </c>
      <c r="R114" s="24">
        <f t="shared" si="31"/>
        <v>0</v>
      </c>
      <c r="S114" s="314">
        <f t="shared" si="22"/>
        <v>0</v>
      </c>
    </row>
    <row r="115" spans="1:19">
      <c r="A115" s="147"/>
      <c r="B115" s="55"/>
      <c r="C115" s="24">
        <f t="shared" si="23"/>
        <v>1</v>
      </c>
      <c r="D115" s="643"/>
      <c r="E115" s="24">
        <f t="shared" si="24"/>
        <v>0</v>
      </c>
      <c r="F115" s="643"/>
      <c r="G115" s="24">
        <f t="shared" si="25"/>
        <v>0</v>
      </c>
      <c r="H115" s="643"/>
      <c r="I115" s="24">
        <f t="shared" si="26"/>
        <v>0.1</v>
      </c>
      <c r="J115" s="643"/>
      <c r="K115" s="24">
        <f t="shared" si="27"/>
        <v>1</v>
      </c>
      <c r="L115" s="643"/>
      <c r="M115" s="24">
        <f t="shared" si="28"/>
        <v>1</v>
      </c>
      <c r="N115" s="643"/>
      <c r="O115" s="24">
        <f t="shared" si="29"/>
        <v>1</v>
      </c>
      <c r="P115" s="643"/>
      <c r="Q115" s="24">
        <f t="shared" si="30"/>
        <v>1</v>
      </c>
      <c r="R115" s="24">
        <f t="shared" si="31"/>
        <v>0</v>
      </c>
      <c r="S115" s="314">
        <f t="shared" si="22"/>
        <v>0</v>
      </c>
    </row>
    <row r="116" spans="1:19">
      <c r="A116" s="147"/>
      <c r="B116" s="55"/>
      <c r="C116" s="24">
        <f t="shared" si="23"/>
        <v>1</v>
      </c>
      <c r="D116" s="643"/>
      <c r="E116" s="24">
        <f t="shared" si="24"/>
        <v>0</v>
      </c>
      <c r="F116" s="643"/>
      <c r="G116" s="24">
        <f t="shared" si="25"/>
        <v>0</v>
      </c>
      <c r="H116" s="643"/>
      <c r="I116" s="24">
        <f t="shared" si="26"/>
        <v>0.1</v>
      </c>
      <c r="J116" s="643"/>
      <c r="K116" s="24">
        <f t="shared" si="27"/>
        <v>1</v>
      </c>
      <c r="L116" s="643"/>
      <c r="M116" s="24">
        <f t="shared" si="28"/>
        <v>1</v>
      </c>
      <c r="N116" s="643"/>
      <c r="O116" s="24">
        <f t="shared" si="29"/>
        <v>1</v>
      </c>
      <c r="P116" s="643"/>
      <c r="Q116" s="24">
        <f t="shared" si="30"/>
        <v>1</v>
      </c>
      <c r="R116" s="24">
        <f t="shared" si="31"/>
        <v>0</v>
      </c>
      <c r="S116" s="314">
        <f t="shared" si="22"/>
        <v>0</v>
      </c>
    </row>
    <row r="117" spans="1:19">
      <c r="A117" s="147"/>
      <c r="B117" s="55"/>
      <c r="C117" s="24">
        <f t="shared" si="23"/>
        <v>1</v>
      </c>
      <c r="D117" s="643"/>
      <c r="E117" s="24">
        <f t="shared" si="24"/>
        <v>0</v>
      </c>
      <c r="F117" s="643"/>
      <c r="G117" s="24">
        <f t="shared" si="25"/>
        <v>0</v>
      </c>
      <c r="H117" s="643"/>
      <c r="I117" s="24">
        <f t="shared" si="26"/>
        <v>0.1</v>
      </c>
      <c r="J117" s="643"/>
      <c r="K117" s="24">
        <f t="shared" si="27"/>
        <v>1</v>
      </c>
      <c r="L117" s="643"/>
      <c r="M117" s="24">
        <f t="shared" si="28"/>
        <v>1</v>
      </c>
      <c r="N117" s="643"/>
      <c r="O117" s="24">
        <f t="shared" si="29"/>
        <v>1</v>
      </c>
      <c r="P117" s="643"/>
      <c r="Q117" s="24">
        <f t="shared" si="30"/>
        <v>1</v>
      </c>
      <c r="R117" s="24">
        <f t="shared" si="31"/>
        <v>0</v>
      </c>
      <c r="S117" s="314">
        <f t="shared" si="22"/>
        <v>0</v>
      </c>
    </row>
    <row r="118" spans="1:19">
      <c r="A118" s="147"/>
      <c r="B118" s="55"/>
      <c r="C118" s="24">
        <f t="shared" si="23"/>
        <v>1</v>
      </c>
      <c r="D118" s="643"/>
      <c r="E118" s="24">
        <f t="shared" si="24"/>
        <v>0</v>
      </c>
      <c r="F118" s="643"/>
      <c r="G118" s="24">
        <f t="shared" si="25"/>
        <v>0</v>
      </c>
      <c r="H118" s="643"/>
      <c r="I118" s="24">
        <f t="shared" si="26"/>
        <v>0.1</v>
      </c>
      <c r="J118" s="643"/>
      <c r="K118" s="24">
        <f t="shared" si="27"/>
        <v>1</v>
      </c>
      <c r="L118" s="643"/>
      <c r="M118" s="24">
        <f t="shared" si="28"/>
        <v>1</v>
      </c>
      <c r="N118" s="643"/>
      <c r="O118" s="24">
        <f t="shared" si="29"/>
        <v>1</v>
      </c>
      <c r="P118" s="643"/>
      <c r="Q118" s="24">
        <f t="shared" si="30"/>
        <v>1</v>
      </c>
      <c r="R118" s="24">
        <f t="shared" si="31"/>
        <v>0</v>
      </c>
      <c r="S118" s="314">
        <f t="shared" si="22"/>
        <v>0</v>
      </c>
    </row>
    <row r="119" spans="1:19">
      <c r="A119" s="147"/>
      <c r="B119" s="55"/>
      <c r="C119" s="24">
        <f t="shared" si="23"/>
        <v>1</v>
      </c>
      <c r="D119" s="643"/>
      <c r="E119" s="24">
        <f t="shared" si="24"/>
        <v>0</v>
      </c>
      <c r="F119" s="643"/>
      <c r="G119" s="24">
        <f t="shared" si="25"/>
        <v>0</v>
      </c>
      <c r="H119" s="643"/>
      <c r="I119" s="24">
        <f t="shared" si="26"/>
        <v>0.1</v>
      </c>
      <c r="J119" s="643"/>
      <c r="K119" s="24">
        <f t="shared" si="27"/>
        <v>1</v>
      </c>
      <c r="L119" s="643"/>
      <c r="M119" s="24">
        <f t="shared" si="28"/>
        <v>1</v>
      </c>
      <c r="N119" s="643"/>
      <c r="O119" s="24">
        <f t="shared" si="29"/>
        <v>1</v>
      </c>
      <c r="P119" s="643"/>
      <c r="Q119" s="24">
        <f t="shared" si="30"/>
        <v>1</v>
      </c>
      <c r="R119" s="24">
        <f t="shared" si="31"/>
        <v>0</v>
      </c>
      <c r="S119" s="314">
        <f t="shared" si="22"/>
        <v>0</v>
      </c>
    </row>
    <row r="120" spans="1:19">
      <c r="A120" s="147"/>
      <c r="B120" s="55"/>
      <c r="C120" s="24">
        <f t="shared" si="23"/>
        <v>1</v>
      </c>
      <c r="D120" s="643"/>
      <c r="E120" s="24">
        <f t="shared" si="24"/>
        <v>0</v>
      </c>
      <c r="F120" s="643"/>
      <c r="G120" s="24">
        <f t="shared" si="25"/>
        <v>0</v>
      </c>
      <c r="H120" s="643"/>
      <c r="I120" s="24">
        <f t="shared" si="26"/>
        <v>0.1</v>
      </c>
      <c r="J120" s="643"/>
      <c r="K120" s="24">
        <f t="shared" si="27"/>
        <v>1</v>
      </c>
      <c r="L120" s="643"/>
      <c r="M120" s="24">
        <f t="shared" si="28"/>
        <v>1</v>
      </c>
      <c r="N120" s="643"/>
      <c r="O120" s="24">
        <f t="shared" si="29"/>
        <v>1</v>
      </c>
      <c r="P120" s="643"/>
      <c r="Q120" s="24">
        <f t="shared" si="30"/>
        <v>1</v>
      </c>
      <c r="R120" s="24">
        <f t="shared" si="31"/>
        <v>0</v>
      </c>
      <c r="S120" s="314">
        <f t="shared" si="22"/>
        <v>0</v>
      </c>
    </row>
    <row r="121" spans="1:19">
      <c r="A121" s="147"/>
      <c r="B121" s="55"/>
      <c r="C121" s="24">
        <f t="shared" si="23"/>
        <v>1</v>
      </c>
      <c r="D121" s="643"/>
      <c r="E121" s="24">
        <f t="shared" si="24"/>
        <v>0</v>
      </c>
      <c r="F121" s="643"/>
      <c r="G121" s="24">
        <f t="shared" si="25"/>
        <v>0</v>
      </c>
      <c r="H121" s="643"/>
      <c r="I121" s="24">
        <f t="shared" si="26"/>
        <v>0.1</v>
      </c>
      <c r="J121" s="643"/>
      <c r="K121" s="24">
        <f t="shared" si="27"/>
        <v>1</v>
      </c>
      <c r="L121" s="643"/>
      <c r="M121" s="24">
        <f t="shared" si="28"/>
        <v>1</v>
      </c>
      <c r="N121" s="643"/>
      <c r="O121" s="24">
        <f t="shared" si="29"/>
        <v>1</v>
      </c>
      <c r="P121" s="643"/>
      <c r="Q121" s="24">
        <f t="shared" si="30"/>
        <v>1</v>
      </c>
      <c r="R121" s="24">
        <f t="shared" si="31"/>
        <v>0</v>
      </c>
      <c r="S121" s="314">
        <f t="shared" si="22"/>
        <v>0</v>
      </c>
    </row>
    <row r="122" spans="1:19">
      <c r="A122" s="147"/>
      <c r="B122" s="55"/>
      <c r="C122" s="24">
        <f t="shared" si="23"/>
        <v>1</v>
      </c>
      <c r="D122" s="643"/>
      <c r="E122" s="24">
        <f t="shared" si="24"/>
        <v>0</v>
      </c>
      <c r="F122" s="643"/>
      <c r="G122" s="24">
        <f t="shared" si="25"/>
        <v>0</v>
      </c>
      <c r="H122" s="643"/>
      <c r="I122" s="24">
        <f t="shared" si="26"/>
        <v>0.1</v>
      </c>
      <c r="J122" s="643"/>
      <c r="K122" s="24">
        <f t="shared" si="27"/>
        <v>1</v>
      </c>
      <c r="L122" s="643"/>
      <c r="M122" s="24">
        <f t="shared" si="28"/>
        <v>1</v>
      </c>
      <c r="N122" s="643"/>
      <c r="O122" s="24">
        <f t="shared" si="29"/>
        <v>1</v>
      </c>
      <c r="P122" s="643"/>
      <c r="Q122" s="24">
        <f t="shared" si="30"/>
        <v>1</v>
      </c>
      <c r="R122" s="24">
        <f t="shared" si="31"/>
        <v>0</v>
      </c>
      <c r="S122" s="314">
        <f t="shared" si="22"/>
        <v>0</v>
      </c>
    </row>
    <row r="123" spans="1:19">
      <c r="A123" s="147"/>
      <c r="B123" s="55"/>
      <c r="C123" s="24">
        <f t="shared" si="23"/>
        <v>1</v>
      </c>
      <c r="D123" s="643"/>
      <c r="E123" s="24">
        <f t="shared" si="24"/>
        <v>0</v>
      </c>
      <c r="F123" s="643"/>
      <c r="G123" s="24">
        <f t="shared" si="25"/>
        <v>0</v>
      </c>
      <c r="H123" s="643"/>
      <c r="I123" s="24">
        <f t="shared" si="26"/>
        <v>0.1</v>
      </c>
      <c r="J123" s="643"/>
      <c r="K123" s="24">
        <f t="shared" si="27"/>
        <v>1</v>
      </c>
      <c r="L123" s="643"/>
      <c r="M123" s="24">
        <f t="shared" si="28"/>
        <v>1</v>
      </c>
      <c r="N123" s="643"/>
      <c r="O123" s="24">
        <f t="shared" si="29"/>
        <v>1</v>
      </c>
      <c r="P123" s="643"/>
      <c r="Q123" s="24">
        <f t="shared" si="30"/>
        <v>1</v>
      </c>
      <c r="R123" s="24">
        <f t="shared" si="31"/>
        <v>0</v>
      </c>
      <c r="S123" s="314">
        <f t="shared" ref="S123:S186" si="32">ROUND(R123*B123/10000,0)</f>
        <v>0</v>
      </c>
    </row>
    <row r="124" spans="1:19">
      <c r="A124" s="147"/>
      <c r="B124" s="55"/>
      <c r="C124" s="24">
        <f t="shared" si="23"/>
        <v>1</v>
      </c>
      <c r="D124" s="643"/>
      <c r="E124" s="24">
        <f t="shared" si="24"/>
        <v>0</v>
      </c>
      <c r="F124" s="643"/>
      <c r="G124" s="24">
        <f t="shared" si="25"/>
        <v>0</v>
      </c>
      <c r="H124" s="643"/>
      <c r="I124" s="24">
        <f t="shared" si="26"/>
        <v>0.1</v>
      </c>
      <c r="J124" s="643"/>
      <c r="K124" s="24">
        <f t="shared" si="27"/>
        <v>1</v>
      </c>
      <c r="L124" s="643"/>
      <c r="M124" s="24">
        <f t="shared" si="28"/>
        <v>1</v>
      </c>
      <c r="N124" s="643"/>
      <c r="O124" s="24">
        <f t="shared" si="29"/>
        <v>1</v>
      </c>
      <c r="P124" s="643"/>
      <c r="Q124" s="24">
        <f t="shared" si="30"/>
        <v>1</v>
      </c>
      <c r="R124" s="24">
        <f t="shared" si="31"/>
        <v>0</v>
      </c>
      <c r="S124" s="314">
        <f t="shared" si="32"/>
        <v>0</v>
      </c>
    </row>
    <row r="125" spans="1:19">
      <c r="A125" s="147"/>
      <c r="B125" s="55"/>
      <c r="C125" s="24">
        <f t="shared" si="23"/>
        <v>1</v>
      </c>
      <c r="D125" s="643"/>
      <c r="E125" s="24">
        <f t="shared" si="24"/>
        <v>0</v>
      </c>
      <c r="F125" s="643"/>
      <c r="G125" s="24">
        <f t="shared" si="25"/>
        <v>0</v>
      </c>
      <c r="H125" s="643"/>
      <c r="I125" s="24">
        <f t="shared" si="26"/>
        <v>0.1</v>
      </c>
      <c r="J125" s="643"/>
      <c r="K125" s="24">
        <f t="shared" si="27"/>
        <v>1</v>
      </c>
      <c r="L125" s="643"/>
      <c r="M125" s="24">
        <f t="shared" si="28"/>
        <v>1</v>
      </c>
      <c r="N125" s="643"/>
      <c r="O125" s="24">
        <f t="shared" si="29"/>
        <v>1</v>
      </c>
      <c r="P125" s="643"/>
      <c r="Q125" s="24">
        <f t="shared" si="30"/>
        <v>1</v>
      </c>
      <c r="R125" s="24">
        <f t="shared" si="31"/>
        <v>0</v>
      </c>
      <c r="S125" s="314">
        <f t="shared" si="32"/>
        <v>0</v>
      </c>
    </row>
    <row r="126" spans="1:19">
      <c r="A126" s="147"/>
      <c r="B126" s="55"/>
      <c r="C126" s="24">
        <f t="shared" si="23"/>
        <v>1</v>
      </c>
      <c r="D126" s="643"/>
      <c r="E126" s="24">
        <f t="shared" si="24"/>
        <v>0</v>
      </c>
      <c r="F126" s="643"/>
      <c r="G126" s="24">
        <f t="shared" si="25"/>
        <v>0</v>
      </c>
      <c r="H126" s="643"/>
      <c r="I126" s="24">
        <f t="shared" si="26"/>
        <v>0.1</v>
      </c>
      <c r="J126" s="643"/>
      <c r="K126" s="24">
        <f t="shared" si="27"/>
        <v>1</v>
      </c>
      <c r="L126" s="643"/>
      <c r="M126" s="24">
        <f t="shared" si="28"/>
        <v>1</v>
      </c>
      <c r="N126" s="643"/>
      <c r="O126" s="24">
        <f t="shared" si="29"/>
        <v>1</v>
      </c>
      <c r="P126" s="643"/>
      <c r="Q126" s="24">
        <f t="shared" si="30"/>
        <v>1</v>
      </c>
      <c r="R126" s="24">
        <f t="shared" si="31"/>
        <v>0</v>
      </c>
      <c r="S126" s="314">
        <f t="shared" si="32"/>
        <v>0</v>
      </c>
    </row>
    <row r="127" spans="1:19">
      <c r="A127" s="147"/>
      <c r="B127" s="55"/>
      <c r="C127" s="24">
        <f t="shared" si="23"/>
        <v>1</v>
      </c>
      <c r="D127" s="643"/>
      <c r="E127" s="24">
        <f t="shared" si="24"/>
        <v>0</v>
      </c>
      <c r="F127" s="643"/>
      <c r="G127" s="24">
        <f t="shared" si="25"/>
        <v>0</v>
      </c>
      <c r="H127" s="643"/>
      <c r="I127" s="24">
        <f t="shared" si="26"/>
        <v>0.1</v>
      </c>
      <c r="J127" s="643"/>
      <c r="K127" s="24">
        <f t="shared" si="27"/>
        <v>1</v>
      </c>
      <c r="L127" s="643"/>
      <c r="M127" s="24">
        <f t="shared" si="28"/>
        <v>1</v>
      </c>
      <c r="N127" s="643"/>
      <c r="O127" s="24">
        <f t="shared" si="29"/>
        <v>1</v>
      </c>
      <c r="P127" s="643"/>
      <c r="Q127" s="24">
        <f t="shared" si="30"/>
        <v>1</v>
      </c>
      <c r="R127" s="24">
        <f t="shared" si="31"/>
        <v>0</v>
      </c>
      <c r="S127" s="314">
        <f t="shared" si="32"/>
        <v>0</v>
      </c>
    </row>
    <row r="128" spans="1:19">
      <c r="A128" s="147"/>
      <c r="B128" s="55"/>
      <c r="C128" s="24">
        <f t="shared" si="23"/>
        <v>1</v>
      </c>
      <c r="D128" s="643"/>
      <c r="E128" s="24">
        <f t="shared" si="24"/>
        <v>0</v>
      </c>
      <c r="F128" s="643"/>
      <c r="G128" s="24">
        <f t="shared" si="25"/>
        <v>0</v>
      </c>
      <c r="H128" s="643"/>
      <c r="I128" s="24">
        <f t="shared" si="26"/>
        <v>0.1</v>
      </c>
      <c r="J128" s="643"/>
      <c r="K128" s="24">
        <f t="shared" si="27"/>
        <v>1</v>
      </c>
      <c r="L128" s="643"/>
      <c r="M128" s="24">
        <f t="shared" si="28"/>
        <v>1</v>
      </c>
      <c r="N128" s="643"/>
      <c r="O128" s="24">
        <f t="shared" si="29"/>
        <v>1</v>
      </c>
      <c r="P128" s="643"/>
      <c r="Q128" s="24">
        <f t="shared" si="30"/>
        <v>1</v>
      </c>
      <c r="R128" s="24">
        <f t="shared" si="31"/>
        <v>0</v>
      </c>
      <c r="S128" s="314">
        <f t="shared" si="32"/>
        <v>0</v>
      </c>
    </row>
    <row r="129" spans="1:19">
      <c r="A129" s="147"/>
      <c r="B129" s="55"/>
      <c r="C129" s="24">
        <f t="shared" si="23"/>
        <v>1</v>
      </c>
      <c r="D129" s="643"/>
      <c r="E129" s="24">
        <f t="shared" si="24"/>
        <v>0</v>
      </c>
      <c r="F129" s="643"/>
      <c r="G129" s="24">
        <f t="shared" si="25"/>
        <v>0</v>
      </c>
      <c r="H129" s="643"/>
      <c r="I129" s="24">
        <f t="shared" si="26"/>
        <v>0.1</v>
      </c>
      <c r="J129" s="643"/>
      <c r="K129" s="24">
        <f t="shared" si="27"/>
        <v>1</v>
      </c>
      <c r="L129" s="643"/>
      <c r="M129" s="24">
        <f t="shared" si="28"/>
        <v>1</v>
      </c>
      <c r="N129" s="643"/>
      <c r="O129" s="24">
        <f t="shared" si="29"/>
        <v>1</v>
      </c>
      <c r="P129" s="643"/>
      <c r="Q129" s="24">
        <f t="shared" si="30"/>
        <v>1</v>
      </c>
      <c r="R129" s="24">
        <f t="shared" si="31"/>
        <v>0</v>
      </c>
      <c r="S129" s="314">
        <f t="shared" si="32"/>
        <v>0</v>
      </c>
    </row>
    <row r="130" spans="1:19">
      <c r="A130" s="147"/>
      <c r="B130" s="55"/>
      <c r="C130" s="24">
        <f t="shared" si="23"/>
        <v>1</v>
      </c>
      <c r="D130" s="643"/>
      <c r="E130" s="24">
        <f t="shared" si="24"/>
        <v>0</v>
      </c>
      <c r="F130" s="643"/>
      <c r="G130" s="24">
        <f t="shared" si="25"/>
        <v>0</v>
      </c>
      <c r="H130" s="643"/>
      <c r="I130" s="24">
        <f t="shared" si="26"/>
        <v>0.1</v>
      </c>
      <c r="J130" s="643"/>
      <c r="K130" s="24">
        <f t="shared" si="27"/>
        <v>1</v>
      </c>
      <c r="L130" s="643"/>
      <c r="M130" s="24">
        <f t="shared" si="28"/>
        <v>1</v>
      </c>
      <c r="N130" s="643"/>
      <c r="O130" s="24">
        <f t="shared" si="29"/>
        <v>1</v>
      </c>
      <c r="P130" s="643"/>
      <c r="Q130" s="24">
        <f t="shared" si="30"/>
        <v>1</v>
      </c>
      <c r="R130" s="24">
        <f t="shared" si="31"/>
        <v>0</v>
      </c>
      <c r="S130" s="314">
        <f t="shared" si="32"/>
        <v>0</v>
      </c>
    </row>
    <row r="131" spans="1:19">
      <c r="A131" s="147"/>
      <c r="B131" s="55"/>
      <c r="C131" s="24">
        <f t="shared" si="23"/>
        <v>1</v>
      </c>
      <c r="D131" s="643"/>
      <c r="E131" s="24">
        <f t="shared" si="24"/>
        <v>0</v>
      </c>
      <c r="F131" s="643"/>
      <c r="G131" s="24">
        <f t="shared" si="25"/>
        <v>0</v>
      </c>
      <c r="H131" s="643"/>
      <c r="I131" s="24">
        <f t="shared" si="26"/>
        <v>0.1</v>
      </c>
      <c r="J131" s="643"/>
      <c r="K131" s="24">
        <f t="shared" si="27"/>
        <v>1</v>
      </c>
      <c r="L131" s="643"/>
      <c r="M131" s="24">
        <f t="shared" si="28"/>
        <v>1</v>
      </c>
      <c r="N131" s="643"/>
      <c r="O131" s="24">
        <f t="shared" si="29"/>
        <v>1</v>
      </c>
      <c r="P131" s="643"/>
      <c r="Q131" s="24">
        <f t="shared" si="30"/>
        <v>1</v>
      </c>
      <c r="R131" s="24">
        <f t="shared" si="31"/>
        <v>0</v>
      </c>
      <c r="S131" s="314">
        <f t="shared" si="32"/>
        <v>0</v>
      </c>
    </row>
    <row r="132" spans="1:19">
      <c r="A132" s="147"/>
      <c r="B132" s="55"/>
      <c r="C132" s="24">
        <f t="shared" si="23"/>
        <v>1</v>
      </c>
      <c r="D132" s="643"/>
      <c r="E132" s="24">
        <f t="shared" si="24"/>
        <v>0</v>
      </c>
      <c r="F132" s="643"/>
      <c r="G132" s="24">
        <f t="shared" si="25"/>
        <v>0</v>
      </c>
      <c r="H132" s="643"/>
      <c r="I132" s="24">
        <f t="shared" si="26"/>
        <v>0.1</v>
      </c>
      <c r="J132" s="643"/>
      <c r="K132" s="24">
        <f t="shared" si="27"/>
        <v>1</v>
      </c>
      <c r="L132" s="643"/>
      <c r="M132" s="24">
        <f t="shared" si="28"/>
        <v>1</v>
      </c>
      <c r="N132" s="643"/>
      <c r="O132" s="24">
        <f t="shared" si="29"/>
        <v>1</v>
      </c>
      <c r="P132" s="643"/>
      <c r="Q132" s="24">
        <f t="shared" si="30"/>
        <v>1</v>
      </c>
      <c r="R132" s="24">
        <f t="shared" si="31"/>
        <v>0</v>
      </c>
      <c r="S132" s="314">
        <f t="shared" si="32"/>
        <v>0</v>
      </c>
    </row>
    <row r="133" spans="1:19">
      <c r="A133" s="147"/>
      <c r="B133" s="55"/>
      <c r="C133" s="24">
        <f t="shared" si="23"/>
        <v>1</v>
      </c>
      <c r="D133" s="643"/>
      <c r="E133" s="24">
        <f t="shared" si="24"/>
        <v>0</v>
      </c>
      <c r="F133" s="643"/>
      <c r="G133" s="24">
        <f t="shared" si="25"/>
        <v>0</v>
      </c>
      <c r="H133" s="643"/>
      <c r="I133" s="24">
        <f t="shared" si="26"/>
        <v>0.1</v>
      </c>
      <c r="J133" s="643"/>
      <c r="K133" s="24">
        <f t="shared" si="27"/>
        <v>1</v>
      </c>
      <c r="L133" s="643"/>
      <c r="M133" s="24">
        <f t="shared" si="28"/>
        <v>1</v>
      </c>
      <c r="N133" s="643"/>
      <c r="O133" s="24">
        <f t="shared" si="29"/>
        <v>1</v>
      </c>
      <c r="P133" s="643"/>
      <c r="Q133" s="24">
        <f t="shared" si="30"/>
        <v>1</v>
      </c>
      <c r="R133" s="24">
        <f t="shared" si="31"/>
        <v>0</v>
      </c>
      <c r="S133" s="314">
        <f t="shared" si="32"/>
        <v>0</v>
      </c>
    </row>
    <row r="134" spans="1:19">
      <c r="A134" s="147"/>
      <c r="B134" s="55"/>
      <c r="C134" s="24">
        <f t="shared" si="23"/>
        <v>1</v>
      </c>
      <c r="D134" s="643"/>
      <c r="E134" s="24">
        <f t="shared" si="24"/>
        <v>0</v>
      </c>
      <c r="F134" s="643"/>
      <c r="G134" s="24">
        <f t="shared" si="25"/>
        <v>0</v>
      </c>
      <c r="H134" s="643"/>
      <c r="I134" s="24">
        <f t="shared" si="26"/>
        <v>0.1</v>
      </c>
      <c r="J134" s="643"/>
      <c r="K134" s="24">
        <f t="shared" si="27"/>
        <v>1</v>
      </c>
      <c r="L134" s="643"/>
      <c r="M134" s="24">
        <f t="shared" si="28"/>
        <v>1</v>
      </c>
      <c r="N134" s="643"/>
      <c r="O134" s="24">
        <f t="shared" si="29"/>
        <v>1</v>
      </c>
      <c r="P134" s="643"/>
      <c r="Q134" s="24">
        <f t="shared" si="30"/>
        <v>1</v>
      </c>
      <c r="R134" s="24">
        <f t="shared" si="31"/>
        <v>0</v>
      </c>
      <c r="S134" s="314">
        <f t="shared" si="32"/>
        <v>0</v>
      </c>
    </row>
    <row r="135" spans="1:19">
      <c r="A135" s="147"/>
      <c r="B135" s="55"/>
      <c r="C135" s="24">
        <f t="shared" si="23"/>
        <v>1</v>
      </c>
      <c r="D135" s="643"/>
      <c r="E135" s="24">
        <f t="shared" si="24"/>
        <v>0</v>
      </c>
      <c r="F135" s="643"/>
      <c r="G135" s="24">
        <f t="shared" si="25"/>
        <v>0</v>
      </c>
      <c r="H135" s="643"/>
      <c r="I135" s="24">
        <f t="shared" si="26"/>
        <v>0.1</v>
      </c>
      <c r="J135" s="643"/>
      <c r="K135" s="24">
        <f t="shared" si="27"/>
        <v>1</v>
      </c>
      <c r="L135" s="643"/>
      <c r="M135" s="24">
        <f t="shared" si="28"/>
        <v>1</v>
      </c>
      <c r="N135" s="643"/>
      <c r="O135" s="24">
        <f t="shared" si="29"/>
        <v>1</v>
      </c>
      <c r="P135" s="643"/>
      <c r="Q135" s="24">
        <f t="shared" si="30"/>
        <v>1</v>
      </c>
      <c r="R135" s="24">
        <f t="shared" si="31"/>
        <v>0</v>
      </c>
      <c r="S135" s="314">
        <f t="shared" si="32"/>
        <v>0</v>
      </c>
    </row>
    <row r="136" spans="1:19">
      <c r="A136" s="147"/>
      <c r="B136" s="55"/>
      <c r="C136" s="24">
        <f t="shared" si="23"/>
        <v>1</v>
      </c>
      <c r="D136" s="643"/>
      <c r="E136" s="24">
        <f t="shared" si="24"/>
        <v>0</v>
      </c>
      <c r="F136" s="643"/>
      <c r="G136" s="24">
        <f t="shared" si="25"/>
        <v>0</v>
      </c>
      <c r="H136" s="643"/>
      <c r="I136" s="24">
        <f t="shared" si="26"/>
        <v>0.1</v>
      </c>
      <c r="J136" s="643"/>
      <c r="K136" s="24">
        <f t="shared" si="27"/>
        <v>1</v>
      </c>
      <c r="L136" s="643"/>
      <c r="M136" s="24">
        <f t="shared" si="28"/>
        <v>1</v>
      </c>
      <c r="N136" s="643"/>
      <c r="O136" s="24">
        <f t="shared" si="29"/>
        <v>1</v>
      </c>
      <c r="P136" s="643"/>
      <c r="Q136" s="24">
        <f t="shared" si="30"/>
        <v>1</v>
      </c>
      <c r="R136" s="24">
        <f t="shared" si="31"/>
        <v>0</v>
      </c>
      <c r="S136" s="314">
        <f t="shared" si="32"/>
        <v>0</v>
      </c>
    </row>
    <row r="137" spans="1:19">
      <c r="A137" s="147"/>
      <c r="B137" s="55"/>
      <c r="C137" s="24">
        <f t="shared" si="23"/>
        <v>1</v>
      </c>
      <c r="D137" s="643"/>
      <c r="E137" s="24">
        <f t="shared" si="24"/>
        <v>0</v>
      </c>
      <c r="F137" s="643"/>
      <c r="G137" s="24">
        <f t="shared" si="25"/>
        <v>0</v>
      </c>
      <c r="H137" s="643"/>
      <c r="I137" s="24">
        <f t="shared" si="26"/>
        <v>0.1</v>
      </c>
      <c r="J137" s="643"/>
      <c r="K137" s="24">
        <f t="shared" si="27"/>
        <v>1</v>
      </c>
      <c r="L137" s="643"/>
      <c r="M137" s="24">
        <f t="shared" si="28"/>
        <v>1</v>
      </c>
      <c r="N137" s="643"/>
      <c r="O137" s="24">
        <f t="shared" si="29"/>
        <v>1</v>
      </c>
      <c r="P137" s="643"/>
      <c r="Q137" s="24">
        <f t="shared" si="30"/>
        <v>1</v>
      </c>
      <c r="R137" s="24">
        <f t="shared" si="31"/>
        <v>0</v>
      </c>
      <c r="S137" s="314">
        <f t="shared" si="32"/>
        <v>0</v>
      </c>
    </row>
    <row r="138" spans="1:19">
      <c r="A138" s="147"/>
      <c r="B138" s="55"/>
      <c r="C138" s="24">
        <f t="shared" si="23"/>
        <v>1</v>
      </c>
      <c r="D138" s="643"/>
      <c r="E138" s="24">
        <f t="shared" si="24"/>
        <v>0</v>
      </c>
      <c r="F138" s="643"/>
      <c r="G138" s="24">
        <f t="shared" si="25"/>
        <v>0</v>
      </c>
      <c r="H138" s="643"/>
      <c r="I138" s="24">
        <f t="shared" si="26"/>
        <v>0.1</v>
      </c>
      <c r="J138" s="643"/>
      <c r="K138" s="24">
        <f t="shared" si="27"/>
        <v>1</v>
      </c>
      <c r="L138" s="643"/>
      <c r="M138" s="24">
        <f t="shared" si="28"/>
        <v>1</v>
      </c>
      <c r="N138" s="643"/>
      <c r="O138" s="24">
        <f t="shared" si="29"/>
        <v>1</v>
      </c>
      <c r="P138" s="643"/>
      <c r="Q138" s="24">
        <f t="shared" si="30"/>
        <v>1</v>
      </c>
      <c r="R138" s="24">
        <f t="shared" si="31"/>
        <v>0</v>
      </c>
      <c r="S138" s="314">
        <f t="shared" si="32"/>
        <v>0</v>
      </c>
    </row>
    <row r="139" spans="1:19">
      <c r="A139" s="147"/>
      <c r="B139" s="55"/>
      <c r="C139" s="24">
        <f t="shared" si="23"/>
        <v>1</v>
      </c>
      <c r="D139" s="643"/>
      <c r="E139" s="24">
        <f t="shared" si="24"/>
        <v>0</v>
      </c>
      <c r="F139" s="643"/>
      <c r="G139" s="24">
        <f t="shared" si="25"/>
        <v>0</v>
      </c>
      <c r="H139" s="643"/>
      <c r="I139" s="24">
        <f t="shared" si="26"/>
        <v>0.1</v>
      </c>
      <c r="J139" s="643"/>
      <c r="K139" s="24">
        <f t="shared" si="27"/>
        <v>1</v>
      </c>
      <c r="L139" s="643"/>
      <c r="M139" s="24">
        <f t="shared" si="28"/>
        <v>1</v>
      </c>
      <c r="N139" s="643"/>
      <c r="O139" s="24">
        <f t="shared" si="29"/>
        <v>1</v>
      </c>
      <c r="P139" s="643"/>
      <c r="Q139" s="24">
        <f t="shared" si="30"/>
        <v>1</v>
      </c>
      <c r="R139" s="24">
        <f t="shared" si="31"/>
        <v>0</v>
      </c>
      <c r="S139" s="314">
        <f t="shared" si="32"/>
        <v>0</v>
      </c>
    </row>
    <row r="140" spans="1:19">
      <c r="A140" s="147"/>
      <c r="B140" s="55"/>
      <c r="C140" s="24">
        <f t="shared" si="23"/>
        <v>1</v>
      </c>
      <c r="D140" s="643"/>
      <c r="E140" s="24">
        <f t="shared" si="24"/>
        <v>0</v>
      </c>
      <c r="F140" s="643"/>
      <c r="G140" s="24">
        <f t="shared" si="25"/>
        <v>0</v>
      </c>
      <c r="H140" s="643"/>
      <c r="I140" s="24">
        <f t="shared" si="26"/>
        <v>0.1</v>
      </c>
      <c r="J140" s="643"/>
      <c r="K140" s="24">
        <f t="shared" si="27"/>
        <v>1</v>
      </c>
      <c r="L140" s="643"/>
      <c r="M140" s="24">
        <f t="shared" si="28"/>
        <v>1</v>
      </c>
      <c r="N140" s="643"/>
      <c r="O140" s="24">
        <f t="shared" si="29"/>
        <v>1</v>
      </c>
      <c r="P140" s="643"/>
      <c r="Q140" s="24">
        <f t="shared" si="30"/>
        <v>1</v>
      </c>
      <c r="R140" s="24">
        <f t="shared" si="31"/>
        <v>0</v>
      </c>
      <c r="S140" s="314">
        <f t="shared" si="32"/>
        <v>0</v>
      </c>
    </row>
    <row r="141" spans="1:19">
      <c r="A141" s="147"/>
      <c r="B141" s="55"/>
      <c r="C141" s="24">
        <f t="shared" si="23"/>
        <v>1</v>
      </c>
      <c r="D141" s="643"/>
      <c r="E141" s="24">
        <f t="shared" si="24"/>
        <v>0</v>
      </c>
      <c r="F141" s="643"/>
      <c r="G141" s="24">
        <f t="shared" si="25"/>
        <v>0</v>
      </c>
      <c r="H141" s="643"/>
      <c r="I141" s="24">
        <f t="shared" si="26"/>
        <v>0.1</v>
      </c>
      <c r="J141" s="643"/>
      <c r="K141" s="24">
        <f t="shared" si="27"/>
        <v>1</v>
      </c>
      <c r="L141" s="643"/>
      <c r="M141" s="24">
        <f t="shared" si="28"/>
        <v>1</v>
      </c>
      <c r="N141" s="643"/>
      <c r="O141" s="24">
        <f t="shared" si="29"/>
        <v>1</v>
      </c>
      <c r="P141" s="643"/>
      <c r="Q141" s="24">
        <f t="shared" si="30"/>
        <v>1</v>
      </c>
      <c r="R141" s="24">
        <f t="shared" si="31"/>
        <v>0</v>
      </c>
      <c r="S141" s="314">
        <f t="shared" si="32"/>
        <v>0</v>
      </c>
    </row>
    <row r="142" spans="1:19">
      <c r="A142" s="147"/>
      <c r="B142" s="55"/>
      <c r="C142" s="24">
        <f t="shared" si="23"/>
        <v>1</v>
      </c>
      <c r="D142" s="643"/>
      <c r="E142" s="24">
        <f t="shared" si="24"/>
        <v>0</v>
      </c>
      <c r="F142" s="643"/>
      <c r="G142" s="24">
        <f t="shared" si="25"/>
        <v>0</v>
      </c>
      <c r="H142" s="643"/>
      <c r="I142" s="24">
        <f t="shared" si="26"/>
        <v>0.1</v>
      </c>
      <c r="J142" s="643"/>
      <c r="K142" s="24">
        <f t="shared" si="27"/>
        <v>1</v>
      </c>
      <c r="L142" s="643"/>
      <c r="M142" s="24">
        <f t="shared" si="28"/>
        <v>1</v>
      </c>
      <c r="N142" s="643"/>
      <c r="O142" s="24">
        <f t="shared" si="29"/>
        <v>1</v>
      </c>
      <c r="P142" s="643"/>
      <c r="Q142" s="24">
        <f t="shared" si="30"/>
        <v>1</v>
      </c>
      <c r="R142" s="24">
        <f t="shared" si="31"/>
        <v>0</v>
      </c>
      <c r="S142" s="314">
        <f t="shared" si="32"/>
        <v>0</v>
      </c>
    </row>
    <row r="143" spans="1:19">
      <c r="A143" s="147"/>
      <c r="B143" s="55"/>
      <c r="C143" s="24">
        <f t="shared" si="23"/>
        <v>1</v>
      </c>
      <c r="D143" s="643"/>
      <c r="E143" s="24">
        <f t="shared" si="24"/>
        <v>0</v>
      </c>
      <c r="F143" s="643"/>
      <c r="G143" s="24">
        <f t="shared" si="25"/>
        <v>0</v>
      </c>
      <c r="H143" s="643"/>
      <c r="I143" s="24">
        <f t="shared" si="26"/>
        <v>0.1</v>
      </c>
      <c r="J143" s="643"/>
      <c r="K143" s="24">
        <f t="shared" si="27"/>
        <v>1</v>
      </c>
      <c r="L143" s="643"/>
      <c r="M143" s="24">
        <f t="shared" si="28"/>
        <v>1</v>
      </c>
      <c r="N143" s="643"/>
      <c r="O143" s="24">
        <f t="shared" si="29"/>
        <v>1</v>
      </c>
      <c r="P143" s="643"/>
      <c r="Q143" s="24">
        <f t="shared" si="30"/>
        <v>1</v>
      </c>
      <c r="R143" s="24">
        <f t="shared" si="31"/>
        <v>0</v>
      </c>
      <c r="S143" s="314">
        <f t="shared" si="32"/>
        <v>0</v>
      </c>
    </row>
    <row r="144" spans="1:19">
      <c r="A144" s="147"/>
      <c r="B144" s="55"/>
      <c r="C144" s="24">
        <f t="shared" si="23"/>
        <v>1</v>
      </c>
      <c r="D144" s="643"/>
      <c r="E144" s="24">
        <f t="shared" si="24"/>
        <v>0</v>
      </c>
      <c r="F144" s="643"/>
      <c r="G144" s="24">
        <f t="shared" si="25"/>
        <v>0</v>
      </c>
      <c r="H144" s="643"/>
      <c r="I144" s="24">
        <f t="shared" si="26"/>
        <v>0.1</v>
      </c>
      <c r="J144" s="643"/>
      <c r="K144" s="24">
        <f t="shared" si="27"/>
        <v>1</v>
      </c>
      <c r="L144" s="643"/>
      <c r="M144" s="24">
        <f t="shared" si="28"/>
        <v>1</v>
      </c>
      <c r="N144" s="643"/>
      <c r="O144" s="24">
        <f t="shared" si="29"/>
        <v>1</v>
      </c>
      <c r="P144" s="643"/>
      <c r="Q144" s="24">
        <f t="shared" si="30"/>
        <v>1</v>
      </c>
      <c r="R144" s="24">
        <f t="shared" si="31"/>
        <v>0</v>
      </c>
      <c r="S144" s="314">
        <f t="shared" si="32"/>
        <v>0</v>
      </c>
    </row>
    <row r="145" spans="1:19">
      <c r="A145" s="147"/>
      <c r="B145" s="55"/>
      <c r="C145" s="24">
        <f t="shared" si="23"/>
        <v>1</v>
      </c>
      <c r="D145" s="643"/>
      <c r="E145" s="24">
        <f t="shared" si="24"/>
        <v>0</v>
      </c>
      <c r="F145" s="643"/>
      <c r="G145" s="24">
        <f t="shared" si="25"/>
        <v>0</v>
      </c>
      <c r="H145" s="643"/>
      <c r="I145" s="24">
        <f t="shared" si="26"/>
        <v>0.1</v>
      </c>
      <c r="J145" s="643"/>
      <c r="K145" s="24">
        <f t="shared" si="27"/>
        <v>1</v>
      </c>
      <c r="L145" s="643"/>
      <c r="M145" s="24">
        <f t="shared" si="28"/>
        <v>1</v>
      </c>
      <c r="N145" s="643"/>
      <c r="O145" s="24">
        <f t="shared" si="29"/>
        <v>1</v>
      </c>
      <c r="P145" s="643"/>
      <c r="Q145" s="24">
        <f t="shared" si="30"/>
        <v>1</v>
      </c>
      <c r="R145" s="24">
        <f t="shared" si="31"/>
        <v>0</v>
      </c>
      <c r="S145" s="314">
        <f t="shared" si="32"/>
        <v>0</v>
      </c>
    </row>
    <row r="146" spans="1:19">
      <c r="A146" s="147"/>
      <c r="B146" s="55"/>
      <c r="C146" s="24">
        <f t="shared" si="23"/>
        <v>1</v>
      </c>
      <c r="D146" s="643"/>
      <c r="E146" s="24">
        <f t="shared" si="24"/>
        <v>0</v>
      </c>
      <c r="F146" s="643"/>
      <c r="G146" s="24">
        <f t="shared" si="25"/>
        <v>0</v>
      </c>
      <c r="H146" s="643"/>
      <c r="I146" s="24">
        <f t="shared" si="26"/>
        <v>0.1</v>
      </c>
      <c r="J146" s="643"/>
      <c r="K146" s="24">
        <f t="shared" si="27"/>
        <v>1</v>
      </c>
      <c r="L146" s="643"/>
      <c r="M146" s="24">
        <f t="shared" si="28"/>
        <v>1</v>
      </c>
      <c r="N146" s="643"/>
      <c r="O146" s="24">
        <f t="shared" si="29"/>
        <v>1</v>
      </c>
      <c r="P146" s="643"/>
      <c r="Q146" s="24">
        <f t="shared" si="30"/>
        <v>1</v>
      </c>
      <c r="R146" s="24">
        <f t="shared" si="31"/>
        <v>0</v>
      </c>
      <c r="S146" s="314">
        <f t="shared" si="32"/>
        <v>0</v>
      </c>
    </row>
    <row r="147" spans="1:19">
      <c r="A147" s="147"/>
      <c r="B147" s="55"/>
      <c r="C147" s="24">
        <f t="shared" si="23"/>
        <v>1</v>
      </c>
      <c r="D147" s="643"/>
      <c r="E147" s="24">
        <f t="shared" si="24"/>
        <v>0</v>
      </c>
      <c r="F147" s="643"/>
      <c r="G147" s="24">
        <f t="shared" si="25"/>
        <v>0</v>
      </c>
      <c r="H147" s="643"/>
      <c r="I147" s="24">
        <f t="shared" si="26"/>
        <v>0.1</v>
      </c>
      <c r="J147" s="643"/>
      <c r="K147" s="24">
        <f t="shared" si="27"/>
        <v>1</v>
      </c>
      <c r="L147" s="643"/>
      <c r="M147" s="24">
        <f t="shared" si="28"/>
        <v>1</v>
      </c>
      <c r="N147" s="643"/>
      <c r="O147" s="24">
        <f t="shared" si="29"/>
        <v>1</v>
      </c>
      <c r="P147" s="643"/>
      <c r="Q147" s="24">
        <f t="shared" si="30"/>
        <v>1</v>
      </c>
      <c r="R147" s="24">
        <f t="shared" si="31"/>
        <v>0</v>
      </c>
      <c r="S147" s="314">
        <f t="shared" si="32"/>
        <v>0</v>
      </c>
    </row>
    <row r="148" spans="1:19">
      <c r="A148" s="147"/>
      <c r="B148" s="55"/>
      <c r="C148" s="24">
        <f t="shared" si="23"/>
        <v>1</v>
      </c>
      <c r="D148" s="643"/>
      <c r="E148" s="24">
        <f t="shared" si="24"/>
        <v>0</v>
      </c>
      <c r="F148" s="643"/>
      <c r="G148" s="24">
        <f t="shared" si="25"/>
        <v>0</v>
      </c>
      <c r="H148" s="643"/>
      <c r="I148" s="24">
        <f t="shared" si="26"/>
        <v>0.1</v>
      </c>
      <c r="J148" s="643"/>
      <c r="K148" s="24">
        <f t="shared" si="27"/>
        <v>1</v>
      </c>
      <c r="L148" s="643"/>
      <c r="M148" s="24">
        <f t="shared" si="28"/>
        <v>1</v>
      </c>
      <c r="N148" s="643"/>
      <c r="O148" s="24">
        <f t="shared" si="29"/>
        <v>1</v>
      </c>
      <c r="P148" s="643"/>
      <c r="Q148" s="24">
        <f t="shared" si="30"/>
        <v>1</v>
      </c>
      <c r="R148" s="24">
        <f t="shared" si="31"/>
        <v>0</v>
      </c>
      <c r="S148" s="314">
        <f t="shared" si="32"/>
        <v>0</v>
      </c>
    </row>
    <row r="149" spans="1:19">
      <c r="A149" s="147"/>
      <c r="B149" s="55"/>
      <c r="C149" s="24">
        <f t="shared" si="23"/>
        <v>1</v>
      </c>
      <c r="D149" s="643"/>
      <c r="E149" s="24">
        <f t="shared" si="24"/>
        <v>0</v>
      </c>
      <c r="F149" s="643"/>
      <c r="G149" s="24">
        <f t="shared" si="25"/>
        <v>0</v>
      </c>
      <c r="H149" s="643"/>
      <c r="I149" s="24">
        <f t="shared" si="26"/>
        <v>0.1</v>
      </c>
      <c r="J149" s="643"/>
      <c r="K149" s="24">
        <f t="shared" si="27"/>
        <v>1</v>
      </c>
      <c r="L149" s="643"/>
      <c r="M149" s="24">
        <f t="shared" si="28"/>
        <v>1</v>
      </c>
      <c r="N149" s="643"/>
      <c r="O149" s="24">
        <f t="shared" si="29"/>
        <v>1</v>
      </c>
      <c r="P149" s="643"/>
      <c r="Q149" s="24">
        <f t="shared" si="30"/>
        <v>1</v>
      </c>
      <c r="R149" s="24">
        <f t="shared" si="31"/>
        <v>0</v>
      </c>
      <c r="S149" s="314">
        <f t="shared" si="32"/>
        <v>0</v>
      </c>
    </row>
    <row r="150" spans="1:19">
      <c r="A150" s="147"/>
      <c r="B150" s="55"/>
      <c r="C150" s="24">
        <f t="shared" si="23"/>
        <v>1</v>
      </c>
      <c r="D150" s="643"/>
      <c r="E150" s="24">
        <f t="shared" si="24"/>
        <v>0</v>
      </c>
      <c r="F150" s="643"/>
      <c r="G150" s="24">
        <f t="shared" si="25"/>
        <v>0</v>
      </c>
      <c r="H150" s="643"/>
      <c r="I150" s="24">
        <f t="shared" si="26"/>
        <v>0.1</v>
      </c>
      <c r="J150" s="643"/>
      <c r="K150" s="24">
        <f t="shared" si="27"/>
        <v>1</v>
      </c>
      <c r="L150" s="643"/>
      <c r="M150" s="24">
        <f t="shared" si="28"/>
        <v>1</v>
      </c>
      <c r="N150" s="643"/>
      <c r="O150" s="24">
        <f t="shared" si="29"/>
        <v>1</v>
      </c>
      <c r="P150" s="643"/>
      <c r="Q150" s="24">
        <f t="shared" si="30"/>
        <v>1</v>
      </c>
      <c r="R150" s="24">
        <f t="shared" si="31"/>
        <v>0</v>
      </c>
      <c r="S150" s="314">
        <f t="shared" si="32"/>
        <v>0</v>
      </c>
    </row>
    <row r="151" spans="1:19">
      <c r="A151" s="147"/>
      <c r="B151" s="55"/>
      <c r="C151" s="24">
        <f t="shared" si="23"/>
        <v>1</v>
      </c>
      <c r="D151" s="643"/>
      <c r="E151" s="24">
        <f t="shared" si="24"/>
        <v>0</v>
      </c>
      <c r="F151" s="643"/>
      <c r="G151" s="24">
        <f t="shared" si="25"/>
        <v>0</v>
      </c>
      <c r="H151" s="643"/>
      <c r="I151" s="24">
        <f t="shared" si="26"/>
        <v>0.1</v>
      </c>
      <c r="J151" s="643"/>
      <c r="K151" s="24">
        <f t="shared" si="27"/>
        <v>1</v>
      </c>
      <c r="L151" s="643"/>
      <c r="M151" s="24">
        <f t="shared" si="28"/>
        <v>1</v>
      </c>
      <c r="N151" s="643"/>
      <c r="O151" s="24">
        <f t="shared" si="29"/>
        <v>1</v>
      </c>
      <c r="P151" s="643"/>
      <c r="Q151" s="24">
        <f t="shared" si="30"/>
        <v>1</v>
      </c>
      <c r="R151" s="24">
        <f t="shared" si="31"/>
        <v>0</v>
      </c>
      <c r="S151" s="314">
        <f t="shared" si="32"/>
        <v>0</v>
      </c>
    </row>
    <row r="152" spans="1:19">
      <c r="A152" s="147"/>
      <c r="B152" s="55"/>
      <c r="C152" s="24">
        <f t="shared" si="23"/>
        <v>1</v>
      </c>
      <c r="D152" s="643"/>
      <c r="E152" s="24">
        <f t="shared" si="24"/>
        <v>0</v>
      </c>
      <c r="F152" s="643"/>
      <c r="G152" s="24">
        <f t="shared" si="25"/>
        <v>0</v>
      </c>
      <c r="H152" s="643"/>
      <c r="I152" s="24">
        <f t="shared" si="26"/>
        <v>0.1</v>
      </c>
      <c r="J152" s="643"/>
      <c r="K152" s="24">
        <f t="shared" si="27"/>
        <v>1</v>
      </c>
      <c r="L152" s="643"/>
      <c r="M152" s="24">
        <f t="shared" si="28"/>
        <v>1</v>
      </c>
      <c r="N152" s="643"/>
      <c r="O152" s="24">
        <f t="shared" si="29"/>
        <v>1</v>
      </c>
      <c r="P152" s="643"/>
      <c r="Q152" s="24">
        <f t="shared" si="30"/>
        <v>1</v>
      </c>
      <c r="R152" s="24">
        <f t="shared" si="31"/>
        <v>0</v>
      </c>
      <c r="S152" s="314">
        <f t="shared" si="32"/>
        <v>0</v>
      </c>
    </row>
    <row r="153" spans="1:19">
      <c r="A153" s="147"/>
      <c r="B153" s="55"/>
      <c r="C153" s="24">
        <f t="shared" si="23"/>
        <v>1</v>
      </c>
      <c r="D153" s="643"/>
      <c r="E153" s="24">
        <f t="shared" si="24"/>
        <v>0</v>
      </c>
      <c r="F153" s="643"/>
      <c r="G153" s="24">
        <f t="shared" si="25"/>
        <v>0</v>
      </c>
      <c r="H153" s="643"/>
      <c r="I153" s="24">
        <f t="shared" si="26"/>
        <v>0.1</v>
      </c>
      <c r="J153" s="643"/>
      <c r="K153" s="24">
        <f t="shared" si="27"/>
        <v>1</v>
      </c>
      <c r="L153" s="643"/>
      <c r="M153" s="24">
        <f t="shared" si="28"/>
        <v>1</v>
      </c>
      <c r="N153" s="643"/>
      <c r="O153" s="24">
        <f t="shared" si="29"/>
        <v>1</v>
      </c>
      <c r="P153" s="643"/>
      <c r="Q153" s="24">
        <f t="shared" si="30"/>
        <v>1</v>
      </c>
      <c r="R153" s="24">
        <f t="shared" si="31"/>
        <v>0</v>
      </c>
      <c r="S153" s="314">
        <f t="shared" si="32"/>
        <v>0</v>
      </c>
    </row>
    <row r="154" spans="1:19">
      <c r="A154" s="147"/>
      <c r="B154" s="55"/>
      <c r="C154" s="24">
        <f t="shared" ref="C154:C217" si="33">IF(B154="",1,(LOOKUP(B154,$3:$3,$4:$4)-LOOKUP($B$24,$3:$3,$4:$4)+100)/100)</f>
        <v>1</v>
      </c>
      <c r="D154" s="643"/>
      <c r="E154" s="24">
        <f t="shared" ref="E154:E217" si="34">(SUMIF($5:$5,D154,$6:$6)-SUMIF($5:$5,$D$24,$6:$6)+100)/100</f>
        <v>0</v>
      </c>
      <c r="F154" s="643"/>
      <c r="G154" s="24">
        <f t="shared" ref="G154:G217" si="35">(SUMIF($7:$7,F154,$8:$8)-SUMIF($7:$7,$F$24,$8:$8)+100)/100</f>
        <v>0</v>
      </c>
      <c r="H154" s="643"/>
      <c r="I154" s="24">
        <f t="shared" ref="I154:I217" si="36">(SUMIF($9:$9,H154,$10:$10)-SUMIF($9:$9,$H$24,$10:$10)+100)/100</f>
        <v>0.1</v>
      </c>
      <c r="J154" s="643"/>
      <c r="K154" s="24">
        <f t="shared" ref="K154:K217" si="37">(SUMIF($11:$11,J154,$12:$12)-SUMIF($11:$11,$J$24,$12:$12)+100)/100</f>
        <v>1</v>
      </c>
      <c r="L154" s="643"/>
      <c r="M154" s="24">
        <f t="shared" ref="M154:M217" si="38">(SUMIF($13:$13,L154,$14:$14)-SUMIF($13:$13,$L$24,$14:$14)+100)/100</f>
        <v>1</v>
      </c>
      <c r="N154" s="643"/>
      <c r="O154" s="24">
        <f t="shared" ref="O154:O217" si="39">(SUMIF($15:$15,N154,$16:$16)-SUMIF($15:$15,$N$24,$16:$16)+100)/100</f>
        <v>1</v>
      </c>
      <c r="P154" s="643"/>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3"/>
      <c r="E155" s="24">
        <f t="shared" si="34"/>
        <v>0</v>
      </c>
      <c r="F155" s="643"/>
      <c r="G155" s="24">
        <f t="shared" si="35"/>
        <v>0</v>
      </c>
      <c r="H155" s="643"/>
      <c r="I155" s="24">
        <f t="shared" si="36"/>
        <v>0.1</v>
      </c>
      <c r="J155" s="643"/>
      <c r="K155" s="24">
        <f t="shared" si="37"/>
        <v>1</v>
      </c>
      <c r="L155" s="643"/>
      <c r="M155" s="24">
        <f t="shared" si="38"/>
        <v>1</v>
      </c>
      <c r="N155" s="643"/>
      <c r="O155" s="24">
        <f t="shared" si="39"/>
        <v>1</v>
      </c>
      <c r="P155" s="643"/>
      <c r="Q155" s="24">
        <f t="shared" si="40"/>
        <v>1</v>
      </c>
      <c r="R155" s="24">
        <f t="shared" si="41"/>
        <v>0</v>
      </c>
      <c r="S155" s="314">
        <f t="shared" si="32"/>
        <v>0</v>
      </c>
    </row>
    <row r="156" spans="1:19">
      <c r="A156" s="147"/>
      <c r="B156" s="55"/>
      <c r="C156" s="24">
        <f t="shared" si="33"/>
        <v>1</v>
      </c>
      <c r="D156" s="643"/>
      <c r="E156" s="24">
        <f t="shared" si="34"/>
        <v>0</v>
      </c>
      <c r="F156" s="643"/>
      <c r="G156" s="24">
        <f t="shared" si="35"/>
        <v>0</v>
      </c>
      <c r="H156" s="643"/>
      <c r="I156" s="24">
        <f t="shared" si="36"/>
        <v>0.1</v>
      </c>
      <c r="J156" s="643"/>
      <c r="K156" s="24">
        <f t="shared" si="37"/>
        <v>1</v>
      </c>
      <c r="L156" s="643"/>
      <c r="M156" s="24">
        <f t="shared" si="38"/>
        <v>1</v>
      </c>
      <c r="N156" s="643"/>
      <c r="O156" s="24">
        <f t="shared" si="39"/>
        <v>1</v>
      </c>
      <c r="P156" s="643"/>
      <c r="Q156" s="24">
        <f t="shared" si="40"/>
        <v>1</v>
      </c>
      <c r="R156" s="24">
        <f t="shared" si="41"/>
        <v>0</v>
      </c>
      <c r="S156" s="314">
        <f t="shared" si="32"/>
        <v>0</v>
      </c>
    </row>
    <row r="157" spans="1:19">
      <c r="A157" s="147"/>
      <c r="B157" s="55"/>
      <c r="C157" s="24">
        <f t="shared" si="33"/>
        <v>1</v>
      </c>
      <c r="D157" s="643"/>
      <c r="E157" s="24">
        <f t="shared" si="34"/>
        <v>0</v>
      </c>
      <c r="F157" s="643"/>
      <c r="G157" s="24">
        <f t="shared" si="35"/>
        <v>0</v>
      </c>
      <c r="H157" s="643"/>
      <c r="I157" s="24">
        <f t="shared" si="36"/>
        <v>0.1</v>
      </c>
      <c r="J157" s="643"/>
      <c r="K157" s="24">
        <f t="shared" si="37"/>
        <v>1</v>
      </c>
      <c r="L157" s="643"/>
      <c r="M157" s="24">
        <f t="shared" si="38"/>
        <v>1</v>
      </c>
      <c r="N157" s="643"/>
      <c r="O157" s="24">
        <f t="shared" si="39"/>
        <v>1</v>
      </c>
      <c r="P157" s="643"/>
      <c r="Q157" s="24">
        <f t="shared" si="40"/>
        <v>1</v>
      </c>
      <c r="R157" s="24">
        <f t="shared" si="41"/>
        <v>0</v>
      </c>
      <c r="S157" s="314">
        <f t="shared" si="32"/>
        <v>0</v>
      </c>
    </row>
    <row r="158" spans="1:19">
      <c r="A158" s="147"/>
      <c r="B158" s="55"/>
      <c r="C158" s="24">
        <f t="shared" si="33"/>
        <v>1</v>
      </c>
      <c r="D158" s="643"/>
      <c r="E158" s="24">
        <f t="shared" si="34"/>
        <v>0</v>
      </c>
      <c r="F158" s="643"/>
      <c r="G158" s="24">
        <f t="shared" si="35"/>
        <v>0</v>
      </c>
      <c r="H158" s="643"/>
      <c r="I158" s="24">
        <f t="shared" si="36"/>
        <v>0.1</v>
      </c>
      <c r="J158" s="643"/>
      <c r="K158" s="24">
        <f t="shared" si="37"/>
        <v>1</v>
      </c>
      <c r="L158" s="643"/>
      <c r="M158" s="24">
        <f t="shared" si="38"/>
        <v>1</v>
      </c>
      <c r="N158" s="643"/>
      <c r="O158" s="24">
        <f t="shared" si="39"/>
        <v>1</v>
      </c>
      <c r="P158" s="643"/>
      <c r="Q158" s="24">
        <f t="shared" si="40"/>
        <v>1</v>
      </c>
      <c r="R158" s="24">
        <f t="shared" si="41"/>
        <v>0</v>
      </c>
      <c r="S158" s="314">
        <f t="shared" si="32"/>
        <v>0</v>
      </c>
    </row>
    <row r="159" spans="1:19">
      <c r="A159" s="147"/>
      <c r="B159" s="55"/>
      <c r="C159" s="24">
        <f t="shared" si="33"/>
        <v>1</v>
      </c>
      <c r="D159" s="643"/>
      <c r="E159" s="24">
        <f t="shared" si="34"/>
        <v>0</v>
      </c>
      <c r="F159" s="643"/>
      <c r="G159" s="24">
        <f t="shared" si="35"/>
        <v>0</v>
      </c>
      <c r="H159" s="643"/>
      <c r="I159" s="24">
        <f t="shared" si="36"/>
        <v>0.1</v>
      </c>
      <c r="J159" s="643"/>
      <c r="K159" s="24">
        <f t="shared" si="37"/>
        <v>1</v>
      </c>
      <c r="L159" s="643"/>
      <c r="M159" s="24">
        <f t="shared" si="38"/>
        <v>1</v>
      </c>
      <c r="N159" s="643"/>
      <c r="O159" s="24">
        <f t="shared" si="39"/>
        <v>1</v>
      </c>
      <c r="P159" s="643"/>
      <c r="Q159" s="24">
        <f t="shared" si="40"/>
        <v>1</v>
      </c>
      <c r="R159" s="24">
        <f t="shared" si="41"/>
        <v>0</v>
      </c>
      <c r="S159" s="314">
        <f t="shared" si="32"/>
        <v>0</v>
      </c>
    </row>
    <row r="160" spans="1:19">
      <c r="A160" s="147"/>
      <c r="B160" s="55"/>
      <c r="C160" s="24">
        <f t="shared" si="33"/>
        <v>1</v>
      </c>
      <c r="D160" s="643"/>
      <c r="E160" s="24">
        <f t="shared" si="34"/>
        <v>0</v>
      </c>
      <c r="F160" s="643"/>
      <c r="G160" s="24">
        <f t="shared" si="35"/>
        <v>0</v>
      </c>
      <c r="H160" s="643"/>
      <c r="I160" s="24">
        <f t="shared" si="36"/>
        <v>0.1</v>
      </c>
      <c r="J160" s="643"/>
      <c r="K160" s="24">
        <f t="shared" si="37"/>
        <v>1</v>
      </c>
      <c r="L160" s="643"/>
      <c r="M160" s="24">
        <f t="shared" si="38"/>
        <v>1</v>
      </c>
      <c r="N160" s="643"/>
      <c r="O160" s="24">
        <f t="shared" si="39"/>
        <v>1</v>
      </c>
      <c r="P160" s="643"/>
      <c r="Q160" s="24">
        <f t="shared" si="40"/>
        <v>1</v>
      </c>
      <c r="R160" s="24">
        <f t="shared" si="41"/>
        <v>0</v>
      </c>
      <c r="S160" s="314">
        <f t="shared" si="32"/>
        <v>0</v>
      </c>
    </row>
    <row r="161" spans="1:19">
      <c r="A161" s="147"/>
      <c r="B161" s="55"/>
      <c r="C161" s="24">
        <f t="shared" si="33"/>
        <v>1</v>
      </c>
      <c r="D161" s="643"/>
      <c r="E161" s="24">
        <f t="shared" si="34"/>
        <v>0</v>
      </c>
      <c r="F161" s="643"/>
      <c r="G161" s="24">
        <f t="shared" si="35"/>
        <v>0</v>
      </c>
      <c r="H161" s="643"/>
      <c r="I161" s="24">
        <f t="shared" si="36"/>
        <v>0.1</v>
      </c>
      <c r="J161" s="643"/>
      <c r="K161" s="24">
        <f t="shared" si="37"/>
        <v>1</v>
      </c>
      <c r="L161" s="643"/>
      <c r="M161" s="24">
        <f t="shared" si="38"/>
        <v>1</v>
      </c>
      <c r="N161" s="643"/>
      <c r="O161" s="24">
        <f t="shared" si="39"/>
        <v>1</v>
      </c>
      <c r="P161" s="643"/>
      <c r="Q161" s="24">
        <f t="shared" si="40"/>
        <v>1</v>
      </c>
      <c r="R161" s="24">
        <f t="shared" si="41"/>
        <v>0</v>
      </c>
      <c r="S161" s="314">
        <f t="shared" si="32"/>
        <v>0</v>
      </c>
    </row>
    <row r="162" spans="1:19">
      <c r="A162" s="147"/>
      <c r="B162" s="55"/>
      <c r="C162" s="24">
        <f t="shared" si="33"/>
        <v>1</v>
      </c>
      <c r="D162" s="643"/>
      <c r="E162" s="24">
        <f t="shared" si="34"/>
        <v>0</v>
      </c>
      <c r="F162" s="643"/>
      <c r="G162" s="24">
        <f t="shared" si="35"/>
        <v>0</v>
      </c>
      <c r="H162" s="643"/>
      <c r="I162" s="24">
        <f t="shared" si="36"/>
        <v>0.1</v>
      </c>
      <c r="J162" s="643"/>
      <c r="K162" s="24">
        <f t="shared" si="37"/>
        <v>1</v>
      </c>
      <c r="L162" s="643"/>
      <c r="M162" s="24">
        <f t="shared" si="38"/>
        <v>1</v>
      </c>
      <c r="N162" s="643"/>
      <c r="O162" s="24">
        <f t="shared" si="39"/>
        <v>1</v>
      </c>
      <c r="P162" s="643"/>
      <c r="Q162" s="24">
        <f t="shared" si="40"/>
        <v>1</v>
      </c>
      <c r="R162" s="24">
        <f t="shared" si="41"/>
        <v>0</v>
      </c>
      <c r="S162" s="314">
        <f t="shared" si="32"/>
        <v>0</v>
      </c>
    </row>
    <row r="163" spans="1:19">
      <c r="A163" s="147"/>
      <c r="B163" s="55"/>
      <c r="C163" s="24">
        <f t="shared" si="33"/>
        <v>1</v>
      </c>
      <c r="D163" s="643"/>
      <c r="E163" s="24">
        <f t="shared" si="34"/>
        <v>0</v>
      </c>
      <c r="F163" s="643"/>
      <c r="G163" s="24">
        <f t="shared" si="35"/>
        <v>0</v>
      </c>
      <c r="H163" s="643"/>
      <c r="I163" s="24">
        <f t="shared" si="36"/>
        <v>0.1</v>
      </c>
      <c r="J163" s="643"/>
      <c r="K163" s="24">
        <f t="shared" si="37"/>
        <v>1</v>
      </c>
      <c r="L163" s="643"/>
      <c r="M163" s="24">
        <f t="shared" si="38"/>
        <v>1</v>
      </c>
      <c r="N163" s="643"/>
      <c r="O163" s="24">
        <f t="shared" si="39"/>
        <v>1</v>
      </c>
      <c r="P163" s="643"/>
      <c r="Q163" s="24">
        <f t="shared" si="40"/>
        <v>1</v>
      </c>
      <c r="R163" s="24">
        <f t="shared" si="41"/>
        <v>0</v>
      </c>
      <c r="S163" s="314">
        <f t="shared" si="32"/>
        <v>0</v>
      </c>
    </row>
    <row r="164" spans="1:19">
      <c r="A164" s="147"/>
      <c r="B164" s="55"/>
      <c r="C164" s="24">
        <f t="shared" si="33"/>
        <v>1</v>
      </c>
      <c r="D164" s="643"/>
      <c r="E164" s="24">
        <f t="shared" si="34"/>
        <v>0</v>
      </c>
      <c r="F164" s="643"/>
      <c r="G164" s="24">
        <f t="shared" si="35"/>
        <v>0</v>
      </c>
      <c r="H164" s="643"/>
      <c r="I164" s="24">
        <f t="shared" si="36"/>
        <v>0.1</v>
      </c>
      <c r="J164" s="643"/>
      <c r="K164" s="24">
        <f t="shared" si="37"/>
        <v>1</v>
      </c>
      <c r="L164" s="643"/>
      <c r="M164" s="24">
        <f t="shared" si="38"/>
        <v>1</v>
      </c>
      <c r="N164" s="643"/>
      <c r="O164" s="24">
        <f t="shared" si="39"/>
        <v>1</v>
      </c>
      <c r="P164" s="643"/>
      <c r="Q164" s="24">
        <f t="shared" si="40"/>
        <v>1</v>
      </c>
      <c r="R164" s="24">
        <f t="shared" si="41"/>
        <v>0</v>
      </c>
      <c r="S164" s="314">
        <f t="shared" si="32"/>
        <v>0</v>
      </c>
    </row>
    <row r="165" spans="1:19">
      <c r="A165" s="147"/>
      <c r="B165" s="55"/>
      <c r="C165" s="24">
        <f t="shared" si="33"/>
        <v>1</v>
      </c>
      <c r="D165" s="643"/>
      <c r="E165" s="24">
        <f t="shared" si="34"/>
        <v>0</v>
      </c>
      <c r="F165" s="643"/>
      <c r="G165" s="24">
        <f t="shared" si="35"/>
        <v>0</v>
      </c>
      <c r="H165" s="643"/>
      <c r="I165" s="24">
        <f t="shared" si="36"/>
        <v>0.1</v>
      </c>
      <c r="J165" s="643"/>
      <c r="K165" s="24">
        <f t="shared" si="37"/>
        <v>1</v>
      </c>
      <c r="L165" s="643"/>
      <c r="M165" s="24">
        <f t="shared" si="38"/>
        <v>1</v>
      </c>
      <c r="N165" s="643"/>
      <c r="O165" s="24">
        <f t="shared" si="39"/>
        <v>1</v>
      </c>
      <c r="P165" s="643"/>
      <c r="Q165" s="24">
        <f t="shared" si="40"/>
        <v>1</v>
      </c>
      <c r="R165" s="24">
        <f t="shared" si="41"/>
        <v>0</v>
      </c>
      <c r="S165" s="314">
        <f t="shared" si="32"/>
        <v>0</v>
      </c>
    </row>
    <row r="166" spans="1:19">
      <c r="A166" s="147"/>
      <c r="B166" s="55"/>
      <c r="C166" s="24">
        <f t="shared" si="33"/>
        <v>1</v>
      </c>
      <c r="D166" s="643"/>
      <c r="E166" s="24">
        <f t="shared" si="34"/>
        <v>0</v>
      </c>
      <c r="F166" s="643"/>
      <c r="G166" s="24">
        <f t="shared" si="35"/>
        <v>0</v>
      </c>
      <c r="H166" s="643"/>
      <c r="I166" s="24">
        <f t="shared" si="36"/>
        <v>0.1</v>
      </c>
      <c r="J166" s="643"/>
      <c r="K166" s="24">
        <f t="shared" si="37"/>
        <v>1</v>
      </c>
      <c r="L166" s="643"/>
      <c r="M166" s="24">
        <f t="shared" si="38"/>
        <v>1</v>
      </c>
      <c r="N166" s="643"/>
      <c r="O166" s="24">
        <f t="shared" si="39"/>
        <v>1</v>
      </c>
      <c r="P166" s="643"/>
      <c r="Q166" s="24">
        <f t="shared" si="40"/>
        <v>1</v>
      </c>
      <c r="R166" s="24">
        <f t="shared" si="41"/>
        <v>0</v>
      </c>
      <c r="S166" s="314">
        <f t="shared" si="32"/>
        <v>0</v>
      </c>
    </row>
    <row r="167" spans="1:19">
      <c r="A167" s="147"/>
      <c r="B167" s="55"/>
      <c r="C167" s="24">
        <f t="shared" si="33"/>
        <v>1</v>
      </c>
      <c r="D167" s="643"/>
      <c r="E167" s="24">
        <f t="shared" si="34"/>
        <v>0</v>
      </c>
      <c r="F167" s="643"/>
      <c r="G167" s="24">
        <f t="shared" si="35"/>
        <v>0</v>
      </c>
      <c r="H167" s="643"/>
      <c r="I167" s="24">
        <f t="shared" si="36"/>
        <v>0.1</v>
      </c>
      <c r="J167" s="643"/>
      <c r="K167" s="24">
        <f t="shared" si="37"/>
        <v>1</v>
      </c>
      <c r="L167" s="643"/>
      <c r="M167" s="24">
        <f t="shared" si="38"/>
        <v>1</v>
      </c>
      <c r="N167" s="643"/>
      <c r="O167" s="24">
        <f t="shared" si="39"/>
        <v>1</v>
      </c>
      <c r="P167" s="643"/>
      <c r="Q167" s="24">
        <f t="shared" si="40"/>
        <v>1</v>
      </c>
      <c r="R167" s="24">
        <f t="shared" si="41"/>
        <v>0</v>
      </c>
      <c r="S167" s="314">
        <f t="shared" si="32"/>
        <v>0</v>
      </c>
    </row>
    <row r="168" spans="1:19">
      <c r="A168" s="147"/>
      <c r="B168" s="55"/>
      <c r="C168" s="24">
        <f t="shared" si="33"/>
        <v>1</v>
      </c>
      <c r="D168" s="643"/>
      <c r="E168" s="24">
        <f t="shared" si="34"/>
        <v>0</v>
      </c>
      <c r="F168" s="643"/>
      <c r="G168" s="24">
        <f t="shared" si="35"/>
        <v>0</v>
      </c>
      <c r="H168" s="643"/>
      <c r="I168" s="24">
        <f t="shared" si="36"/>
        <v>0.1</v>
      </c>
      <c r="J168" s="643"/>
      <c r="K168" s="24">
        <f t="shared" si="37"/>
        <v>1</v>
      </c>
      <c r="L168" s="643"/>
      <c r="M168" s="24">
        <f t="shared" si="38"/>
        <v>1</v>
      </c>
      <c r="N168" s="643"/>
      <c r="O168" s="24">
        <f t="shared" si="39"/>
        <v>1</v>
      </c>
      <c r="P168" s="643"/>
      <c r="Q168" s="24">
        <f t="shared" si="40"/>
        <v>1</v>
      </c>
      <c r="R168" s="24">
        <f t="shared" si="41"/>
        <v>0</v>
      </c>
      <c r="S168" s="314">
        <f t="shared" si="32"/>
        <v>0</v>
      </c>
    </row>
    <row r="169" spans="1:19">
      <c r="A169" s="147"/>
      <c r="B169" s="55"/>
      <c r="C169" s="24">
        <f t="shared" si="33"/>
        <v>1</v>
      </c>
      <c r="D169" s="643"/>
      <c r="E169" s="24">
        <f t="shared" si="34"/>
        <v>0</v>
      </c>
      <c r="F169" s="643"/>
      <c r="G169" s="24">
        <f t="shared" si="35"/>
        <v>0</v>
      </c>
      <c r="H169" s="643"/>
      <c r="I169" s="24">
        <f t="shared" si="36"/>
        <v>0.1</v>
      </c>
      <c r="J169" s="643"/>
      <c r="K169" s="24">
        <f t="shared" si="37"/>
        <v>1</v>
      </c>
      <c r="L169" s="643"/>
      <c r="M169" s="24">
        <f t="shared" si="38"/>
        <v>1</v>
      </c>
      <c r="N169" s="643"/>
      <c r="O169" s="24">
        <f t="shared" si="39"/>
        <v>1</v>
      </c>
      <c r="P169" s="643"/>
      <c r="Q169" s="24">
        <f t="shared" si="40"/>
        <v>1</v>
      </c>
      <c r="R169" s="24">
        <f t="shared" si="41"/>
        <v>0</v>
      </c>
      <c r="S169" s="314">
        <f t="shared" si="32"/>
        <v>0</v>
      </c>
    </row>
    <row r="170" spans="1:19">
      <c r="A170" s="147"/>
      <c r="B170" s="55"/>
      <c r="C170" s="24">
        <f t="shared" si="33"/>
        <v>1</v>
      </c>
      <c r="D170" s="643"/>
      <c r="E170" s="24">
        <f t="shared" si="34"/>
        <v>0</v>
      </c>
      <c r="F170" s="643"/>
      <c r="G170" s="24">
        <f t="shared" si="35"/>
        <v>0</v>
      </c>
      <c r="H170" s="643"/>
      <c r="I170" s="24">
        <f t="shared" si="36"/>
        <v>0.1</v>
      </c>
      <c r="J170" s="643"/>
      <c r="K170" s="24">
        <f t="shared" si="37"/>
        <v>1</v>
      </c>
      <c r="L170" s="643"/>
      <c r="M170" s="24">
        <f t="shared" si="38"/>
        <v>1</v>
      </c>
      <c r="N170" s="643"/>
      <c r="O170" s="24">
        <f t="shared" si="39"/>
        <v>1</v>
      </c>
      <c r="P170" s="643"/>
      <c r="Q170" s="24">
        <f t="shared" si="40"/>
        <v>1</v>
      </c>
      <c r="R170" s="24">
        <f t="shared" si="41"/>
        <v>0</v>
      </c>
      <c r="S170" s="314">
        <f t="shared" si="32"/>
        <v>0</v>
      </c>
    </row>
    <row r="171" spans="1:19">
      <c r="A171" s="147"/>
      <c r="B171" s="55"/>
      <c r="C171" s="24">
        <f t="shared" si="33"/>
        <v>1</v>
      </c>
      <c r="D171" s="643"/>
      <c r="E171" s="24">
        <f t="shared" si="34"/>
        <v>0</v>
      </c>
      <c r="F171" s="643"/>
      <c r="G171" s="24">
        <f t="shared" si="35"/>
        <v>0</v>
      </c>
      <c r="H171" s="643"/>
      <c r="I171" s="24">
        <f t="shared" si="36"/>
        <v>0.1</v>
      </c>
      <c r="J171" s="643"/>
      <c r="K171" s="24">
        <f t="shared" si="37"/>
        <v>1</v>
      </c>
      <c r="L171" s="643"/>
      <c r="M171" s="24">
        <f t="shared" si="38"/>
        <v>1</v>
      </c>
      <c r="N171" s="643"/>
      <c r="O171" s="24">
        <f t="shared" si="39"/>
        <v>1</v>
      </c>
      <c r="P171" s="643"/>
      <c r="Q171" s="24">
        <f t="shared" si="40"/>
        <v>1</v>
      </c>
      <c r="R171" s="24">
        <f t="shared" si="41"/>
        <v>0</v>
      </c>
      <c r="S171" s="314">
        <f t="shared" si="32"/>
        <v>0</v>
      </c>
    </row>
    <row r="172" spans="1:19">
      <c r="A172" s="147"/>
      <c r="B172" s="55"/>
      <c r="C172" s="24">
        <f t="shared" si="33"/>
        <v>1</v>
      </c>
      <c r="D172" s="643"/>
      <c r="E172" s="24">
        <f t="shared" si="34"/>
        <v>0</v>
      </c>
      <c r="F172" s="643"/>
      <c r="G172" s="24">
        <f t="shared" si="35"/>
        <v>0</v>
      </c>
      <c r="H172" s="643"/>
      <c r="I172" s="24">
        <f t="shared" si="36"/>
        <v>0.1</v>
      </c>
      <c r="J172" s="643"/>
      <c r="K172" s="24">
        <f t="shared" si="37"/>
        <v>1</v>
      </c>
      <c r="L172" s="643"/>
      <c r="M172" s="24">
        <f t="shared" si="38"/>
        <v>1</v>
      </c>
      <c r="N172" s="643"/>
      <c r="O172" s="24">
        <f t="shared" si="39"/>
        <v>1</v>
      </c>
      <c r="P172" s="643"/>
      <c r="Q172" s="24">
        <f t="shared" si="40"/>
        <v>1</v>
      </c>
      <c r="R172" s="24">
        <f t="shared" si="41"/>
        <v>0</v>
      </c>
      <c r="S172" s="314">
        <f t="shared" si="32"/>
        <v>0</v>
      </c>
    </row>
    <row r="173" spans="1:19">
      <c r="A173" s="147"/>
      <c r="B173" s="55"/>
      <c r="C173" s="24">
        <f t="shared" si="33"/>
        <v>1</v>
      </c>
      <c r="D173" s="643"/>
      <c r="E173" s="24">
        <f t="shared" si="34"/>
        <v>0</v>
      </c>
      <c r="F173" s="643"/>
      <c r="G173" s="24">
        <f t="shared" si="35"/>
        <v>0</v>
      </c>
      <c r="H173" s="643"/>
      <c r="I173" s="24">
        <f t="shared" si="36"/>
        <v>0.1</v>
      </c>
      <c r="J173" s="643"/>
      <c r="K173" s="24">
        <f t="shared" si="37"/>
        <v>1</v>
      </c>
      <c r="L173" s="643"/>
      <c r="M173" s="24">
        <f t="shared" si="38"/>
        <v>1</v>
      </c>
      <c r="N173" s="643"/>
      <c r="O173" s="24">
        <f t="shared" si="39"/>
        <v>1</v>
      </c>
      <c r="P173" s="643"/>
      <c r="Q173" s="24">
        <f t="shared" si="40"/>
        <v>1</v>
      </c>
      <c r="R173" s="24">
        <f t="shared" si="41"/>
        <v>0</v>
      </c>
      <c r="S173" s="314">
        <f t="shared" si="32"/>
        <v>0</v>
      </c>
    </row>
    <row r="174" spans="1:19">
      <c r="A174" s="147"/>
      <c r="B174" s="55"/>
      <c r="C174" s="24">
        <f t="shared" si="33"/>
        <v>1</v>
      </c>
      <c r="D174" s="643"/>
      <c r="E174" s="24">
        <f t="shared" si="34"/>
        <v>0</v>
      </c>
      <c r="F174" s="643"/>
      <c r="G174" s="24">
        <f t="shared" si="35"/>
        <v>0</v>
      </c>
      <c r="H174" s="643"/>
      <c r="I174" s="24">
        <f t="shared" si="36"/>
        <v>0.1</v>
      </c>
      <c r="J174" s="643"/>
      <c r="K174" s="24">
        <f t="shared" si="37"/>
        <v>1</v>
      </c>
      <c r="L174" s="643"/>
      <c r="M174" s="24">
        <f t="shared" si="38"/>
        <v>1</v>
      </c>
      <c r="N174" s="643"/>
      <c r="O174" s="24">
        <f t="shared" si="39"/>
        <v>1</v>
      </c>
      <c r="P174" s="643"/>
      <c r="Q174" s="24">
        <f t="shared" si="40"/>
        <v>1</v>
      </c>
      <c r="R174" s="24">
        <f t="shared" si="41"/>
        <v>0</v>
      </c>
      <c r="S174" s="314">
        <f t="shared" si="32"/>
        <v>0</v>
      </c>
    </row>
    <row r="175" spans="1:19">
      <c r="A175" s="147"/>
      <c r="B175" s="55"/>
      <c r="C175" s="24">
        <f t="shared" si="33"/>
        <v>1</v>
      </c>
      <c r="D175" s="643"/>
      <c r="E175" s="24">
        <f t="shared" si="34"/>
        <v>0</v>
      </c>
      <c r="F175" s="643"/>
      <c r="G175" s="24">
        <f t="shared" si="35"/>
        <v>0</v>
      </c>
      <c r="H175" s="643"/>
      <c r="I175" s="24">
        <f t="shared" si="36"/>
        <v>0.1</v>
      </c>
      <c r="J175" s="643"/>
      <c r="K175" s="24">
        <f t="shared" si="37"/>
        <v>1</v>
      </c>
      <c r="L175" s="643"/>
      <c r="M175" s="24">
        <f t="shared" si="38"/>
        <v>1</v>
      </c>
      <c r="N175" s="643"/>
      <c r="O175" s="24">
        <f t="shared" si="39"/>
        <v>1</v>
      </c>
      <c r="P175" s="643"/>
      <c r="Q175" s="24">
        <f t="shared" si="40"/>
        <v>1</v>
      </c>
      <c r="R175" s="24">
        <f t="shared" si="41"/>
        <v>0</v>
      </c>
      <c r="S175" s="314">
        <f t="shared" si="32"/>
        <v>0</v>
      </c>
    </row>
    <row r="176" spans="1:19">
      <c r="A176" s="147"/>
      <c r="B176" s="55"/>
      <c r="C176" s="24">
        <f t="shared" si="33"/>
        <v>1</v>
      </c>
      <c r="D176" s="643"/>
      <c r="E176" s="24">
        <f t="shared" si="34"/>
        <v>0</v>
      </c>
      <c r="F176" s="643"/>
      <c r="G176" s="24">
        <f t="shared" si="35"/>
        <v>0</v>
      </c>
      <c r="H176" s="643"/>
      <c r="I176" s="24">
        <f t="shared" si="36"/>
        <v>0.1</v>
      </c>
      <c r="J176" s="643"/>
      <c r="K176" s="24">
        <f t="shared" si="37"/>
        <v>1</v>
      </c>
      <c r="L176" s="643"/>
      <c r="M176" s="24">
        <f t="shared" si="38"/>
        <v>1</v>
      </c>
      <c r="N176" s="643"/>
      <c r="O176" s="24">
        <f t="shared" si="39"/>
        <v>1</v>
      </c>
      <c r="P176" s="643"/>
      <c r="Q176" s="24">
        <f t="shared" si="40"/>
        <v>1</v>
      </c>
      <c r="R176" s="24">
        <f t="shared" si="41"/>
        <v>0</v>
      </c>
      <c r="S176" s="314">
        <f t="shared" si="32"/>
        <v>0</v>
      </c>
    </row>
    <row r="177" spans="1:19">
      <c r="A177" s="147"/>
      <c r="B177" s="55"/>
      <c r="C177" s="24">
        <f t="shared" si="33"/>
        <v>1</v>
      </c>
      <c r="D177" s="643"/>
      <c r="E177" s="24">
        <f t="shared" si="34"/>
        <v>0</v>
      </c>
      <c r="F177" s="643"/>
      <c r="G177" s="24">
        <f t="shared" si="35"/>
        <v>0</v>
      </c>
      <c r="H177" s="643"/>
      <c r="I177" s="24">
        <f t="shared" si="36"/>
        <v>0.1</v>
      </c>
      <c r="J177" s="643"/>
      <c r="K177" s="24">
        <f t="shared" si="37"/>
        <v>1</v>
      </c>
      <c r="L177" s="643"/>
      <c r="M177" s="24">
        <f t="shared" si="38"/>
        <v>1</v>
      </c>
      <c r="N177" s="643"/>
      <c r="O177" s="24">
        <f t="shared" si="39"/>
        <v>1</v>
      </c>
      <c r="P177" s="643"/>
      <c r="Q177" s="24">
        <f t="shared" si="40"/>
        <v>1</v>
      </c>
      <c r="R177" s="24">
        <f t="shared" si="41"/>
        <v>0</v>
      </c>
      <c r="S177" s="314">
        <f t="shared" si="32"/>
        <v>0</v>
      </c>
    </row>
    <row r="178" spans="1:19">
      <c r="A178" s="147"/>
      <c r="B178" s="55"/>
      <c r="C178" s="24">
        <f t="shared" si="33"/>
        <v>1</v>
      </c>
      <c r="D178" s="643"/>
      <c r="E178" s="24">
        <f t="shared" si="34"/>
        <v>0</v>
      </c>
      <c r="F178" s="643"/>
      <c r="G178" s="24">
        <f t="shared" si="35"/>
        <v>0</v>
      </c>
      <c r="H178" s="643"/>
      <c r="I178" s="24">
        <f t="shared" si="36"/>
        <v>0.1</v>
      </c>
      <c r="J178" s="643"/>
      <c r="K178" s="24">
        <f t="shared" si="37"/>
        <v>1</v>
      </c>
      <c r="L178" s="643"/>
      <c r="M178" s="24">
        <f t="shared" si="38"/>
        <v>1</v>
      </c>
      <c r="N178" s="643"/>
      <c r="O178" s="24">
        <f t="shared" si="39"/>
        <v>1</v>
      </c>
      <c r="P178" s="643"/>
      <c r="Q178" s="24">
        <f t="shared" si="40"/>
        <v>1</v>
      </c>
      <c r="R178" s="24">
        <f t="shared" si="41"/>
        <v>0</v>
      </c>
      <c r="S178" s="314">
        <f t="shared" si="32"/>
        <v>0</v>
      </c>
    </row>
    <row r="179" spans="1:19">
      <c r="A179" s="147"/>
      <c r="B179" s="55"/>
      <c r="C179" s="24">
        <f t="shared" si="33"/>
        <v>1</v>
      </c>
      <c r="D179" s="643"/>
      <c r="E179" s="24">
        <f t="shared" si="34"/>
        <v>0</v>
      </c>
      <c r="F179" s="643"/>
      <c r="G179" s="24">
        <f t="shared" si="35"/>
        <v>0</v>
      </c>
      <c r="H179" s="643"/>
      <c r="I179" s="24">
        <f t="shared" si="36"/>
        <v>0.1</v>
      </c>
      <c r="J179" s="643"/>
      <c r="K179" s="24">
        <f t="shared" si="37"/>
        <v>1</v>
      </c>
      <c r="L179" s="643"/>
      <c r="M179" s="24">
        <f t="shared" si="38"/>
        <v>1</v>
      </c>
      <c r="N179" s="643"/>
      <c r="O179" s="24">
        <f t="shared" si="39"/>
        <v>1</v>
      </c>
      <c r="P179" s="643"/>
      <c r="Q179" s="24">
        <f t="shared" si="40"/>
        <v>1</v>
      </c>
      <c r="R179" s="24">
        <f t="shared" si="41"/>
        <v>0</v>
      </c>
      <c r="S179" s="314">
        <f t="shared" si="32"/>
        <v>0</v>
      </c>
    </row>
    <row r="180" spans="1:19">
      <c r="A180" s="147"/>
      <c r="B180" s="55"/>
      <c r="C180" s="24">
        <f t="shared" si="33"/>
        <v>1</v>
      </c>
      <c r="D180" s="643"/>
      <c r="E180" s="24">
        <f t="shared" si="34"/>
        <v>0</v>
      </c>
      <c r="F180" s="643"/>
      <c r="G180" s="24">
        <f t="shared" si="35"/>
        <v>0</v>
      </c>
      <c r="H180" s="643"/>
      <c r="I180" s="24">
        <f t="shared" si="36"/>
        <v>0.1</v>
      </c>
      <c r="J180" s="643"/>
      <c r="K180" s="24">
        <f t="shared" si="37"/>
        <v>1</v>
      </c>
      <c r="L180" s="643"/>
      <c r="M180" s="24">
        <f t="shared" si="38"/>
        <v>1</v>
      </c>
      <c r="N180" s="643"/>
      <c r="O180" s="24">
        <f t="shared" si="39"/>
        <v>1</v>
      </c>
      <c r="P180" s="643"/>
      <c r="Q180" s="24">
        <f t="shared" si="40"/>
        <v>1</v>
      </c>
      <c r="R180" s="24">
        <f t="shared" si="41"/>
        <v>0</v>
      </c>
      <c r="S180" s="314">
        <f t="shared" si="32"/>
        <v>0</v>
      </c>
    </row>
    <row r="181" spans="1:19">
      <c r="A181" s="147"/>
      <c r="B181" s="55"/>
      <c r="C181" s="24">
        <f t="shared" si="33"/>
        <v>1</v>
      </c>
      <c r="D181" s="643"/>
      <c r="E181" s="24">
        <f t="shared" si="34"/>
        <v>0</v>
      </c>
      <c r="F181" s="643"/>
      <c r="G181" s="24">
        <f t="shared" si="35"/>
        <v>0</v>
      </c>
      <c r="H181" s="643"/>
      <c r="I181" s="24">
        <f t="shared" si="36"/>
        <v>0.1</v>
      </c>
      <c r="J181" s="643"/>
      <c r="K181" s="24">
        <f t="shared" si="37"/>
        <v>1</v>
      </c>
      <c r="L181" s="643"/>
      <c r="M181" s="24">
        <f t="shared" si="38"/>
        <v>1</v>
      </c>
      <c r="N181" s="643"/>
      <c r="O181" s="24">
        <f t="shared" si="39"/>
        <v>1</v>
      </c>
      <c r="P181" s="643"/>
      <c r="Q181" s="24">
        <f t="shared" si="40"/>
        <v>1</v>
      </c>
      <c r="R181" s="24">
        <f t="shared" si="41"/>
        <v>0</v>
      </c>
      <c r="S181" s="314">
        <f t="shared" si="32"/>
        <v>0</v>
      </c>
    </row>
    <row r="182" spans="1:19">
      <c r="A182" s="147"/>
      <c r="B182" s="55"/>
      <c r="C182" s="24">
        <f t="shared" si="33"/>
        <v>1</v>
      </c>
      <c r="D182" s="643"/>
      <c r="E182" s="24">
        <f t="shared" si="34"/>
        <v>0</v>
      </c>
      <c r="F182" s="643"/>
      <c r="G182" s="24">
        <f t="shared" si="35"/>
        <v>0</v>
      </c>
      <c r="H182" s="643"/>
      <c r="I182" s="24">
        <f t="shared" si="36"/>
        <v>0.1</v>
      </c>
      <c r="J182" s="643"/>
      <c r="K182" s="24">
        <f t="shared" si="37"/>
        <v>1</v>
      </c>
      <c r="L182" s="643"/>
      <c r="M182" s="24">
        <f t="shared" si="38"/>
        <v>1</v>
      </c>
      <c r="N182" s="643"/>
      <c r="O182" s="24">
        <f t="shared" si="39"/>
        <v>1</v>
      </c>
      <c r="P182" s="643"/>
      <c r="Q182" s="24">
        <f t="shared" si="40"/>
        <v>1</v>
      </c>
      <c r="R182" s="24">
        <f t="shared" si="41"/>
        <v>0</v>
      </c>
      <c r="S182" s="314">
        <f t="shared" si="32"/>
        <v>0</v>
      </c>
    </row>
    <row r="183" spans="1:19">
      <c r="A183" s="147"/>
      <c r="B183" s="55"/>
      <c r="C183" s="24">
        <f t="shared" si="33"/>
        <v>1</v>
      </c>
      <c r="D183" s="643"/>
      <c r="E183" s="24">
        <f t="shared" si="34"/>
        <v>0</v>
      </c>
      <c r="F183" s="643"/>
      <c r="G183" s="24">
        <f t="shared" si="35"/>
        <v>0</v>
      </c>
      <c r="H183" s="643"/>
      <c r="I183" s="24">
        <f t="shared" si="36"/>
        <v>0.1</v>
      </c>
      <c r="J183" s="643"/>
      <c r="K183" s="24">
        <f t="shared" si="37"/>
        <v>1</v>
      </c>
      <c r="L183" s="643"/>
      <c r="M183" s="24">
        <f t="shared" si="38"/>
        <v>1</v>
      </c>
      <c r="N183" s="643"/>
      <c r="O183" s="24">
        <f t="shared" si="39"/>
        <v>1</v>
      </c>
      <c r="P183" s="643"/>
      <c r="Q183" s="24">
        <f t="shared" si="40"/>
        <v>1</v>
      </c>
      <c r="R183" s="24">
        <f t="shared" si="41"/>
        <v>0</v>
      </c>
      <c r="S183" s="314">
        <f t="shared" si="32"/>
        <v>0</v>
      </c>
    </row>
    <row r="184" spans="1:19">
      <c r="A184" s="147"/>
      <c r="B184" s="55"/>
      <c r="C184" s="24">
        <f t="shared" si="33"/>
        <v>1</v>
      </c>
      <c r="D184" s="643"/>
      <c r="E184" s="24">
        <f t="shared" si="34"/>
        <v>0</v>
      </c>
      <c r="F184" s="643"/>
      <c r="G184" s="24">
        <f t="shared" si="35"/>
        <v>0</v>
      </c>
      <c r="H184" s="643"/>
      <c r="I184" s="24">
        <f t="shared" si="36"/>
        <v>0.1</v>
      </c>
      <c r="J184" s="643"/>
      <c r="K184" s="24">
        <f t="shared" si="37"/>
        <v>1</v>
      </c>
      <c r="L184" s="643"/>
      <c r="M184" s="24">
        <f t="shared" si="38"/>
        <v>1</v>
      </c>
      <c r="N184" s="643"/>
      <c r="O184" s="24">
        <f t="shared" si="39"/>
        <v>1</v>
      </c>
      <c r="P184" s="643"/>
      <c r="Q184" s="24">
        <f t="shared" si="40"/>
        <v>1</v>
      </c>
      <c r="R184" s="24">
        <f t="shared" si="41"/>
        <v>0</v>
      </c>
      <c r="S184" s="314">
        <f t="shared" si="32"/>
        <v>0</v>
      </c>
    </row>
    <row r="185" spans="1:19">
      <c r="A185" s="147"/>
      <c r="B185" s="55"/>
      <c r="C185" s="24">
        <f t="shared" si="33"/>
        <v>1</v>
      </c>
      <c r="D185" s="643"/>
      <c r="E185" s="24">
        <f t="shared" si="34"/>
        <v>0</v>
      </c>
      <c r="F185" s="643"/>
      <c r="G185" s="24">
        <f t="shared" si="35"/>
        <v>0</v>
      </c>
      <c r="H185" s="643"/>
      <c r="I185" s="24">
        <f t="shared" si="36"/>
        <v>0.1</v>
      </c>
      <c r="J185" s="643"/>
      <c r="K185" s="24">
        <f t="shared" si="37"/>
        <v>1</v>
      </c>
      <c r="L185" s="643"/>
      <c r="M185" s="24">
        <f t="shared" si="38"/>
        <v>1</v>
      </c>
      <c r="N185" s="643"/>
      <c r="O185" s="24">
        <f t="shared" si="39"/>
        <v>1</v>
      </c>
      <c r="P185" s="643"/>
      <c r="Q185" s="24">
        <f t="shared" si="40"/>
        <v>1</v>
      </c>
      <c r="R185" s="24">
        <f t="shared" si="41"/>
        <v>0</v>
      </c>
      <c r="S185" s="314">
        <f t="shared" si="32"/>
        <v>0</v>
      </c>
    </row>
    <row r="186" spans="1:19">
      <c r="A186" s="147"/>
      <c r="B186" s="55"/>
      <c r="C186" s="24">
        <f t="shared" si="33"/>
        <v>1</v>
      </c>
      <c r="D186" s="643"/>
      <c r="E186" s="24">
        <f t="shared" si="34"/>
        <v>0</v>
      </c>
      <c r="F186" s="643"/>
      <c r="G186" s="24">
        <f t="shared" si="35"/>
        <v>0</v>
      </c>
      <c r="H186" s="643"/>
      <c r="I186" s="24">
        <f t="shared" si="36"/>
        <v>0.1</v>
      </c>
      <c r="J186" s="643"/>
      <c r="K186" s="24">
        <f t="shared" si="37"/>
        <v>1</v>
      </c>
      <c r="L186" s="643"/>
      <c r="M186" s="24">
        <f t="shared" si="38"/>
        <v>1</v>
      </c>
      <c r="N186" s="643"/>
      <c r="O186" s="24">
        <f t="shared" si="39"/>
        <v>1</v>
      </c>
      <c r="P186" s="643"/>
      <c r="Q186" s="24">
        <f t="shared" si="40"/>
        <v>1</v>
      </c>
      <c r="R186" s="24">
        <f t="shared" si="41"/>
        <v>0</v>
      </c>
      <c r="S186" s="314">
        <f t="shared" si="32"/>
        <v>0</v>
      </c>
    </row>
    <row r="187" spans="1:19">
      <c r="A187" s="147"/>
      <c r="B187" s="55"/>
      <c r="C187" s="24">
        <f t="shared" si="33"/>
        <v>1</v>
      </c>
      <c r="D187" s="643"/>
      <c r="E187" s="24">
        <f t="shared" si="34"/>
        <v>0</v>
      </c>
      <c r="F187" s="643"/>
      <c r="G187" s="24">
        <f t="shared" si="35"/>
        <v>0</v>
      </c>
      <c r="H187" s="643"/>
      <c r="I187" s="24">
        <f t="shared" si="36"/>
        <v>0.1</v>
      </c>
      <c r="J187" s="643"/>
      <c r="K187" s="24">
        <f t="shared" si="37"/>
        <v>1</v>
      </c>
      <c r="L187" s="643"/>
      <c r="M187" s="24">
        <f t="shared" si="38"/>
        <v>1</v>
      </c>
      <c r="N187" s="643"/>
      <c r="O187" s="24">
        <f t="shared" si="39"/>
        <v>1</v>
      </c>
      <c r="P187" s="643"/>
      <c r="Q187" s="24">
        <f t="shared" si="40"/>
        <v>1</v>
      </c>
      <c r="R187" s="24">
        <f t="shared" si="41"/>
        <v>0</v>
      </c>
      <c r="S187" s="314">
        <f t="shared" ref="S187:S222" si="42">ROUND(R187*B187/10000,0)</f>
        <v>0</v>
      </c>
    </row>
    <row r="188" spans="1:19">
      <c r="A188" s="147"/>
      <c r="B188" s="55"/>
      <c r="C188" s="24">
        <f t="shared" si="33"/>
        <v>1</v>
      </c>
      <c r="D188" s="643"/>
      <c r="E188" s="24">
        <f t="shared" si="34"/>
        <v>0</v>
      </c>
      <c r="F188" s="643"/>
      <c r="G188" s="24">
        <f t="shared" si="35"/>
        <v>0</v>
      </c>
      <c r="H188" s="643"/>
      <c r="I188" s="24">
        <f t="shared" si="36"/>
        <v>0.1</v>
      </c>
      <c r="J188" s="643"/>
      <c r="K188" s="24">
        <f t="shared" si="37"/>
        <v>1</v>
      </c>
      <c r="L188" s="643"/>
      <c r="M188" s="24">
        <f t="shared" si="38"/>
        <v>1</v>
      </c>
      <c r="N188" s="643"/>
      <c r="O188" s="24">
        <f t="shared" si="39"/>
        <v>1</v>
      </c>
      <c r="P188" s="643"/>
      <c r="Q188" s="24">
        <f t="shared" si="40"/>
        <v>1</v>
      </c>
      <c r="R188" s="24">
        <f t="shared" si="41"/>
        <v>0</v>
      </c>
      <c r="S188" s="314">
        <f t="shared" si="42"/>
        <v>0</v>
      </c>
    </row>
    <row r="189" spans="1:19">
      <c r="A189" s="147"/>
      <c r="B189" s="55"/>
      <c r="C189" s="24">
        <f t="shared" si="33"/>
        <v>1</v>
      </c>
      <c r="D189" s="643"/>
      <c r="E189" s="24">
        <f t="shared" si="34"/>
        <v>0</v>
      </c>
      <c r="F189" s="643"/>
      <c r="G189" s="24">
        <f t="shared" si="35"/>
        <v>0</v>
      </c>
      <c r="H189" s="643"/>
      <c r="I189" s="24">
        <f t="shared" si="36"/>
        <v>0.1</v>
      </c>
      <c r="J189" s="643"/>
      <c r="K189" s="24">
        <f t="shared" si="37"/>
        <v>1</v>
      </c>
      <c r="L189" s="643"/>
      <c r="M189" s="24">
        <f t="shared" si="38"/>
        <v>1</v>
      </c>
      <c r="N189" s="643"/>
      <c r="O189" s="24">
        <f t="shared" si="39"/>
        <v>1</v>
      </c>
      <c r="P189" s="643"/>
      <c r="Q189" s="24">
        <f t="shared" si="40"/>
        <v>1</v>
      </c>
      <c r="R189" s="24">
        <f t="shared" si="41"/>
        <v>0</v>
      </c>
      <c r="S189" s="314">
        <f t="shared" si="42"/>
        <v>0</v>
      </c>
    </row>
    <row r="190" spans="1:19">
      <c r="A190" s="147"/>
      <c r="B190" s="55"/>
      <c r="C190" s="24">
        <f t="shared" si="33"/>
        <v>1</v>
      </c>
      <c r="D190" s="643"/>
      <c r="E190" s="24">
        <f t="shared" si="34"/>
        <v>0</v>
      </c>
      <c r="F190" s="643"/>
      <c r="G190" s="24">
        <f t="shared" si="35"/>
        <v>0</v>
      </c>
      <c r="H190" s="643"/>
      <c r="I190" s="24">
        <f t="shared" si="36"/>
        <v>0.1</v>
      </c>
      <c r="J190" s="643"/>
      <c r="K190" s="24">
        <f t="shared" si="37"/>
        <v>1</v>
      </c>
      <c r="L190" s="643"/>
      <c r="M190" s="24">
        <f t="shared" si="38"/>
        <v>1</v>
      </c>
      <c r="N190" s="643"/>
      <c r="O190" s="24">
        <f t="shared" si="39"/>
        <v>1</v>
      </c>
      <c r="P190" s="643"/>
      <c r="Q190" s="24">
        <f t="shared" si="40"/>
        <v>1</v>
      </c>
      <c r="R190" s="24">
        <f t="shared" si="41"/>
        <v>0</v>
      </c>
      <c r="S190" s="314">
        <f t="shared" si="42"/>
        <v>0</v>
      </c>
    </row>
    <row r="191" spans="1:19">
      <c r="A191" s="147"/>
      <c r="B191" s="55"/>
      <c r="C191" s="24">
        <f t="shared" si="33"/>
        <v>1</v>
      </c>
      <c r="D191" s="643"/>
      <c r="E191" s="24">
        <f t="shared" si="34"/>
        <v>0</v>
      </c>
      <c r="F191" s="643"/>
      <c r="G191" s="24">
        <f t="shared" si="35"/>
        <v>0</v>
      </c>
      <c r="H191" s="643"/>
      <c r="I191" s="24">
        <f t="shared" si="36"/>
        <v>0.1</v>
      </c>
      <c r="J191" s="643"/>
      <c r="K191" s="24">
        <f t="shared" si="37"/>
        <v>1</v>
      </c>
      <c r="L191" s="643"/>
      <c r="M191" s="24">
        <f t="shared" si="38"/>
        <v>1</v>
      </c>
      <c r="N191" s="643"/>
      <c r="O191" s="24">
        <f t="shared" si="39"/>
        <v>1</v>
      </c>
      <c r="P191" s="643"/>
      <c r="Q191" s="24">
        <f t="shared" si="40"/>
        <v>1</v>
      </c>
      <c r="R191" s="24">
        <f t="shared" si="41"/>
        <v>0</v>
      </c>
      <c r="S191" s="314">
        <f t="shared" si="42"/>
        <v>0</v>
      </c>
    </row>
    <row r="192" spans="1:19">
      <c r="A192" s="147"/>
      <c r="B192" s="55"/>
      <c r="C192" s="24">
        <f t="shared" si="33"/>
        <v>1</v>
      </c>
      <c r="D192" s="643"/>
      <c r="E192" s="24">
        <f t="shared" si="34"/>
        <v>0</v>
      </c>
      <c r="F192" s="643"/>
      <c r="G192" s="24">
        <f t="shared" si="35"/>
        <v>0</v>
      </c>
      <c r="H192" s="643"/>
      <c r="I192" s="24">
        <f t="shared" si="36"/>
        <v>0.1</v>
      </c>
      <c r="J192" s="643"/>
      <c r="K192" s="24">
        <f t="shared" si="37"/>
        <v>1</v>
      </c>
      <c r="L192" s="643"/>
      <c r="M192" s="24">
        <f t="shared" si="38"/>
        <v>1</v>
      </c>
      <c r="N192" s="643"/>
      <c r="O192" s="24">
        <f t="shared" si="39"/>
        <v>1</v>
      </c>
      <c r="P192" s="643"/>
      <c r="Q192" s="24">
        <f t="shared" si="40"/>
        <v>1</v>
      </c>
      <c r="R192" s="24">
        <f t="shared" si="41"/>
        <v>0</v>
      </c>
      <c r="S192" s="314">
        <f t="shared" si="42"/>
        <v>0</v>
      </c>
    </row>
    <row r="193" spans="1:19">
      <c r="A193" s="147"/>
      <c r="B193" s="55"/>
      <c r="C193" s="24">
        <f t="shared" si="33"/>
        <v>1</v>
      </c>
      <c r="D193" s="643"/>
      <c r="E193" s="24">
        <f t="shared" si="34"/>
        <v>0</v>
      </c>
      <c r="F193" s="643"/>
      <c r="G193" s="24">
        <f t="shared" si="35"/>
        <v>0</v>
      </c>
      <c r="H193" s="643"/>
      <c r="I193" s="24">
        <f t="shared" si="36"/>
        <v>0.1</v>
      </c>
      <c r="J193" s="643"/>
      <c r="K193" s="24">
        <f t="shared" si="37"/>
        <v>1</v>
      </c>
      <c r="L193" s="643"/>
      <c r="M193" s="24">
        <f t="shared" si="38"/>
        <v>1</v>
      </c>
      <c r="N193" s="643"/>
      <c r="O193" s="24">
        <f t="shared" si="39"/>
        <v>1</v>
      </c>
      <c r="P193" s="643"/>
      <c r="Q193" s="24">
        <f t="shared" si="40"/>
        <v>1</v>
      </c>
      <c r="R193" s="24">
        <f t="shared" si="41"/>
        <v>0</v>
      </c>
      <c r="S193" s="314">
        <f t="shared" si="42"/>
        <v>0</v>
      </c>
    </row>
    <row r="194" spans="1:19">
      <c r="A194" s="147"/>
      <c r="B194" s="55"/>
      <c r="C194" s="24">
        <f t="shared" si="33"/>
        <v>1</v>
      </c>
      <c r="D194" s="643"/>
      <c r="E194" s="24">
        <f t="shared" si="34"/>
        <v>0</v>
      </c>
      <c r="F194" s="643"/>
      <c r="G194" s="24">
        <f t="shared" si="35"/>
        <v>0</v>
      </c>
      <c r="H194" s="643"/>
      <c r="I194" s="24">
        <f t="shared" si="36"/>
        <v>0.1</v>
      </c>
      <c r="J194" s="643"/>
      <c r="K194" s="24">
        <f t="shared" si="37"/>
        <v>1</v>
      </c>
      <c r="L194" s="643"/>
      <c r="M194" s="24">
        <f t="shared" si="38"/>
        <v>1</v>
      </c>
      <c r="N194" s="643"/>
      <c r="O194" s="24">
        <f t="shared" si="39"/>
        <v>1</v>
      </c>
      <c r="P194" s="643"/>
      <c r="Q194" s="24">
        <f t="shared" si="40"/>
        <v>1</v>
      </c>
      <c r="R194" s="24">
        <f t="shared" si="41"/>
        <v>0</v>
      </c>
      <c r="S194" s="314">
        <f t="shared" si="42"/>
        <v>0</v>
      </c>
    </row>
    <row r="195" spans="1:19">
      <c r="A195" s="147"/>
      <c r="B195" s="55"/>
      <c r="C195" s="24">
        <f t="shared" si="33"/>
        <v>1</v>
      </c>
      <c r="D195" s="643"/>
      <c r="E195" s="24">
        <f t="shared" si="34"/>
        <v>0</v>
      </c>
      <c r="F195" s="643"/>
      <c r="G195" s="24">
        <f t="shared" si="35"/>
        <v>0</v>
      </c>
      <c r="H195" s="643"/>
      <c r="I195" s="24">
        <f t="shared" si="36"/>
        <v>0.1</v>
      </c>
      <c r="J195" s="643"/>
      <c r="K195" s="24">
        <f t="shared" si="37"/>
        <v>1</v>
      </c>
      <c r="L195" s="643"/>
      <c r="M195" s="24">
        <f t="shared" si="38"/>
        <v>1</v>
      </c>
      <c r="N195" s="643"/>
      <c r="O195" s="24">
        <f t="shared" si="39"/>
        <v>1</v>
      </c>
      <c r="P195" s="643"/>
      <c r="Q195" s="24">
        <f t="shared" si="40"/>
        <v>1</v>
      </c>
      <c r="R195" s="24">
        <f t="shared" si="41"/>
        <v>0</v>
      </c>
      <c r="S195" s="314">
        <f t="shared" si="42"/>
        <v>0</v>
      </c>
    </row>
    <row r="196" spans="1:19">
      <c r="A196" s="147"/>
      <c r="B196" s="55"/>
      <c r="C196" s="24">
        <f t="shared" si="33"/>
        <v>1</v>
      </c>
      <c r="D196" s="643"/>
      <c r="E196" s="24">
        <f t="shared" si="34"/>
        <v>0</v>
      </c>
      <c r="F196" s="643"/>
      <c r="G196" s="24">
        <f t="shared" si="35"/>
        <v>0</v>
      </c>
      <c r="H196" s="643"/>
      <c r="I196" s="24">
        <f t="shared" si="36"/>
        <v>0.1</v>
      </c>
      <c r="J196" s="643"/>
      <c r="K196" s="24">
        <f t="shared" si="37"/>
        <v>1</v>
      </c>
      <c r="L196" s="643"/>
      <c r="M196" s="24">
        <f t="shared" si="38"/>
        <v>1</v>
      </c>
      <c r="N196" s="643"/>
      <c r="O196" s="24">
        <f t="shared" si="39"/>
        <v>1</v>
      </c>
      <c r="P196" s="643"/>
      <c r="Q196" s="24">
        <f t="shared" si="40"/>
        <v>1</v>
      </c>
      <c r="R196" s="24">
        <f t="shared" si="41"/>
        <v>0</v>
      </c>
      <c r="S196" s="314">
        <f t="shared" si="42"/>
        <v>0</v>
      </c>
    </row>
    <row r="197" spans="1:19">
      <c r="A197" s="147"/>
      <c r="B197" s="55"/>
      <c r="C197" s="24">
        <f t="shared" si="33"/>
        <v>1</v>
      </c>
      <c r="D197" s="643"/>
      <c r="E197" s="24">
        <f t="shared" si="34"/>
        <v>0</v>
      </c>
      <c r="F197" s="643"/>
      <c r="G197" s="24">
        <f t="shared" si="35"/>
        <v>0</v>
      </c>
      <c r="H197" s="643"/>
      <c r="I197" s="24">
        <f t="shared" si="36"/>
        <v>0.1</v>
      </c>
      <c r="J197" s="643"/>
      <c r="K197" s="24">
        <f t="shared" si="37"/>
        <v>1</v>
      </c>
      <c r="L197" s="643"/>
      <c r="M197" s="24">
        <f t="shared" si="38"/>
        <v>1</v>
      </c>
      <c r="N197" s="643"/>
      <c r="O197" s="24">
        <f t="shared" si="39"/>
        <v>1</v>
      </c>
      <c r="P197" s="643"/>
      <c r="Q197" s="24">
        <f t="shared" si="40"/>
        <v>1</v>
      </c>
      <c r="R197" s="24">
        <f t="shared" si="41"/>
        <v>0</v>
      </c>
      <c r="S197" s="314">
        <f t="shared" si="42"/>
        <v>0</v>
      </c>
    </row>
    <row r="198" spans="1:19">
      <c r="A198" s="147"/>
      <c r="B198" s="55"/>
      <c r="C198" s="24">
        <f t="shared" si="33"/>
        <v>1</v>
      </c>
      <c r="D198" s="643"/>
      <c r="E198" s="24">
        <f t="shared" si="34"/>
        <v>0</v>
      </c>
      <c r="F198" s="643"/>
      <c r="G198" s="24">
        <f t="shared" si="35"/>
        <v>0</v>
      </c>
      <c r="H198" s="643"/>
      <c r="I198" s="24">
        <f t="shared" si="36"/>
        <v>0.1</v>
      </c>
      <c r="J198" s="643"/>
      <c r="K198" s="24">
        <f t="shared" si="37"/>
        <v>1</v>
      </c>
      <c r="L198" s="643"/>
      <c r="M198" s="24">
        <f t="shared" si="38"/>
        <v>1</v>
      </c>
      <c r="N198" s="643"/>
      <c r="O198" s="24">
        <f t="shared" si="39"/>
        <v>1</v>
      </c>
      <c r="P198" s="643"/>
      <c r="Q198" s="24">
        <f t="shared" si="40"/>
        <v>1</v>
      </c>
      <c r="R198" s="24">
        <f t="shared" si="41"/>
        <v>0</v>
      </c>
      <c r="S198" s="314">
        <f t="shared" si="42"/>
        <v>0</v>
      </c>
    </row>
    <row r="199" spans="1:19">
      <c r="A199" s="147"/>
      <c r="B199" s="55"/>
      <c r="C199" s="24">
        <f t="shared" si="33"/>
        <v>1</v>
      </c>
      <c r="D199" s="643"/>
      <c r="E199" s="24">
        <f t="shared" si="34"/>
        <v>0</v>
      </c>
      <c r="F199" s="643"/>
      <c r="G199" s="24">
        <f t="shared" si="35"/>
        <v>0</v>
      </c>
      <c r="H199" s="643"/>
      <c r="I199" s="24">
        <f t="shared" si="36"/>
        <v>0.1</v>
      </c>
      <c r="J199" s="643"/>
      <c r="K199" s="24">
        <f t="shared" si="37"/>
        <v>1</v>
      </c>
      <c r="L199" s="643"/>
      <c r="M199" s="24">
        <f t="shared" si="38"/>
        <v>1</v>
      </c>
      <c r="N199" s="643"/>
      <c r="O199" s="24">
        <f t="shared" si="39"/>
        <v>1</v>
      </c>
      <c r="P199" s="643"/>
      <c r="Q199" s="24">
        <f t="shared" si="40"/>
        <v>1</v>
      </c>
      <c r="R199" s="24">
        <f t="shared" si="41"/>
        <v>0</v>
      </c>
      <c r="S199" s="314">
        <f t="shared" si="42"/>
        <v>0</v>
      </c>
    </row>
    <row r="200" spans="1:19">
      <c r="A200" s="147"/>
      <c r="B200" s="55"/>
      <c r="C200" s="24">
        <f t="shared" si="33"/>
        <v>1</v>
      </c>
      <c r="D200" s="643"/>
      <c r="E200" s="24">
        <f t="shared" si="34"/>
        <v>0</v>
      </c>
      <c r="F200" s="643"/>
      <c r="G200" s="24">
        <f t="shared" si="35"/>
        <v>0</v>
      </c>
      <c r="H200" s="643"/>
      <c r="I200" s="24">
        <f t="shared" si="36"/>
        <v>0.1</v>
      </c>
      <c r="J200" s="643"/>
      <c r="K200" s="24">
        <f t="shared" si="37"/>
        <v>1</v>
      </c>
      <c r="L200" s="643"/>
      <c r="M200" s="24">
        <f t="shared" si="38"/>
        <v>1</v>
      </c>
      <c r="N200" s="643"/>
      <c r="O200" s="24">
        <f t="shared" si="39"/>
        <v>1</v>
      </c>
      <c r="P200" s="643"/>
      <c r="Q200" s="24">
        <f t="shared" si="40"/>
        <v>1</v>
      </c>
      <c r="R200" s="24">
        <f t="shared" si="41"/>
        <v>0</v>
      </c>
      <c r="S200" s="314">
        <f t="shared" si="42"/>
        <v>0</v>
      </c>
    </row>
    <row r="201" spans="1:19">
      <c r="A201" s="147"/>
      <c r="B201" s="55"/>
      <c r="C201" s="24">
        <f t="shared" si="33"/>
        <v>1</v>
      </c>
      <c r="D201" s="643"/>
      <c r="E201" s="24">
        <f t="shared" si="34"/>
        <v>0</v>
      </c>
      <c r="F201" s="643"/>
      <c r="G201" s="24">
        <f t="shared" si="35"/>
        <v>0</v>
      </c>
      <c r="H201" s="643"/>
      <c r="I201" s="24">
        <f t="shared" si="36"/>
        <v>0.1</v>
      </c>
      <c r="J201" s="643"/>
      <c r="K201" s="24">
        <f t="shared" si="37"/>
        <v>1</v>
      </c>
      <c r="L201" s="643"/>
      <c r="M201" s="24">
        <f t="shared" si="38"/>
        <v>1</v>
      </c>
      <c r="N201" s="643"/>
      <c r="O201" s="24">
        <f t="shared" si="39"/>
        <v>1</v>
      </c>
      <c r="P201" s="643"/>
      <c r="Q201" s="24">
        <f t="shared" si="40"/>
        <v>1</v>
      </c>
      <c r="R201" s="24">
        <f t="shared" si="41"/>
        <v>0</v>
      </c>
      <c r="S201" s="314">
        <f t="shared" si="42"/>
        <v>0</v>
      </c>
    </row>
    <row r="202" spans="1:19">
      <c r="A202" s="147"/>
      <c r="B202" s="55"/>
      <c r="C202" s="24">
        <f t="shared" si="33"/>
        <v>1</v>
      </c>
      <c r="D202" s="643"/>
      <c r="E202" s="24">
        <f t="shared" si="34"/>
        <v>0</v>
      </c>
      <c r="F202" s="643"/>
      <c r="G202" s="24">
        <f t="shared" si="35"/>
        <v>0</v>
      </c>
      <c r="H202" s="643"/>
      <c r="I202" s="24">
        <f t="shared" si="36"/>
        <v>0.1</v>
      </c>
      <c r="J202" s="643"/>
      <c r="K202" s="24">
        <f t="shared" si="37"/>
        <v>1</v>
      </c>
      <c r="L202" s="643"/>
      <c r="M202" s="24">
        <f t="shared" si="38"/>
        <v>1</v>
      </c>
      <c r="N202" s="643"/>
      <c r="O202" s="24">
        <f t="shared" si="39"/>
        <v>1</v>
      </c>
      <c r="P202" s="643"/>
      <c r="Q202" s="24">
        <f t="shared" si="40"/>
        <v>1</v>
      </c>
      <c r="R202" s="24">
        <f t="shared" si="41"/>
        <v>0</v>
      </c>
      <c r="S202" s="314">
        <f t="shared" si="42"/>
        <v>0</v>
      </c>
    </row>
    <row r="203" spans="1:19">
      <c r="A203" s="147"/>
      <c r="B203" s="55"/>
      <c r="C203" s="24">
        <f t="shared" si="33"/>
        <v>1</v>
      </c>
      <c r="D203" s="643"/>
      <c r="E203" s="24">
        <f t="shared" si="34"/>
        <v>0</v>
      </c>
      <c r="F203" s="643"/>
      <c r="G203" s="24">
        <f t="shared" si="35"/>
        <v>0</v>
      </c>
      <c r="H203" s="643"/>
      <c r="I203" s="24">
        <f t="shared" si="36"/>
        <v>0.1</v>
      </c>
      <c r="J203" s="643"/>
      <c r="K203" s="24">
        <f t="shared" si="37"/>
        <v>1</v>
      </c>
      <c r="L203" s="643"/>
      <c r="M203" s="24">
        <f t="shared" si="38"/>
        <v>1</v>
      </c>
      <c r="N203" s="643"/>
      <c r="O203" s="24">
        <f t="shared" si="39"/>
        <v>1</v>
      </c>
      <c r="P203" s="643"/>
      <c r="Q203" s="24">
        <f t="shared" si="40"/>
        <v>1</v>
      </c>
      <c r="R203" s="24">
        <f t="shared" si="41"/>
        <v>0</v>
      </c>
      <c r="S203" s="314">
        <f t="shared" si="42"/>
        <v>0</v>
      </c>
    </row>
    <row r="204" spans="1:19">
      <c r="A204" s="147"/>
      <c r="B204" s="55"/>
      <c r="C204" s="24">
        <f t="shared" si="33"/>
        <v>1</v>
      </c>
      <c r="D204" s="643"/>
      <c r="E204" s="24">
        <f t="shared" si="34"/>
        <v>0</v>
      </c>
      <c r="F204" s="643"/>
      <c r="G204" s="24">
        <f t="shared" si="35"/>
        <v>0</v>
      </c>
      <c r="H204" s="643"/>
      <c r="I204" s="24">
        <f t="shared" si="36"/>
        <v>0.1</v>
      </c>
      <c r="J204" s="643"/>
      <c r="K204" s="24">
        <f t="shared" si="37"/>
        <v>1</v>
      </c>
      <c r="L204" s="643"/>
      <c r="M204" s="24">
        <f t="shared" si="38"/>
        <v>1</v>
      </c>
      <c r="N204" s="643"/>
      <c r="O204" s="24">
        <f t="shared" si="39"/>
        <v>1</v>
      </c>
      <c r="P204" s="643"/>
      <c r="Q204" s="24">
        <f t="shared" si="40"/>
        <v>1</v>
      </c>
      <c r="R204" s="24">
        <f t="shared" si="41"/>
        <v>0</v>
      </c>
      <c r="S204" s="314">
        <f t="shared" si="42"/>
        <v>0</v>
      </c>
    </row>
    <row r="205" spans="1:19">
      <c r="A205" s="147"/>
      <c r="B205" s="55"/>
      <c r="C205" s="24">
        <f t="shared" si="33"/>
        <v>1</v>
      </c>
      <c r="D205" s="643"/>
      <c r="E205" s="24">
        <f t="shared" si="34"/>
        <v>0</v>
      </c>
      <c r="F205" s="643"/>
      <c r="G205" s="24">
        <f t="shared" si="35"/>
        <v>0</v>
      </c>
      <c r="H205" s="643"/>
      <c r="I205" s="24">
        <f t="shared" si="36"/>
        <v>0.1</v>
      </c>
      <c r="J205" s="643"/>
      <c r="K205" s="24">
        <f t="shared" si="37"/>
        <v>1</v>
      </c>
      <c r="L205" s="643"/>
      <c r="M205" s="24">
        <f t="shared" si="38"/>
        <v>1</v>
      </c>
      <c r="N205" s="643"/>
      <c r="O205" s="24">
        <f t="shared" si="39"/>
        <v>1</v>
      </c>
      <c r="P205" s="643"/>
      <c r="Q205" s="24">
        <f t="shared" si="40"/>
        <v>1</v>
      </c>
      <c r="R205" s="24">
        <f t="shared" si="41"/>
        <v>0</v>
      </c>
      <c r="S205" s="314">
        <f t="shared" si="42"/>
        <v>0</v>
      </c>
    </row>
    <row r="206" spans="1:19">
      <c r="A206" s="147"/>
      <c r="B206" s="55"/>
      <c r="C206" s="24">
        <f t="shared" si="33"/>
        <v>1</v>
      </c>
      <c r="D206" s="643"/>
      <c r="E206" s="24">
        <f t="shared" si="34"/>
        <v>0</v>
      </c>
      <c r="F206" s="643"/>
      <c r="G206" s="24">
        <f t="shared" si="35"/>
        <v>0</v>
      </c>
      <c r="H206" s="643"/>
      <c r="I206" s="24">
        <f t="shared" si="36"/>
        <v>0.1</v>
      </c>
      <c r="J206" s="643"/>
      <c r="K206" s="24">
        <f t="shared" si="37"/>
        <v>1</v>
      </c>
      <c r="L206" s="643"/>
      <c r="M206" s="24">
        <f t="shared" si="38"/>
        <v>1</v>
      </c>
      <c r="N206" s="643"/>
      <c r="O206" s="24">
        <f t="shared" si="39"/>
        <v>1</v>
      </c>
      <c r="P206" s="643"/>
      <c r="Q206" s="24">
        <f t="shared" si="40"/>
        <v>1</v>
      </c>
      <c r="R206" s="24">
        <f t="shared" si="41"/>
        <v>0</v>
      </c>
      <c r="S206" s="314">
        <f t="shared" si="42"/>
        <v>0</v>
      </c>
    </row>
    <row r="207" spans="1:19">
      <c r="A207" s="147"/>
      <c r="B207" s="55"/>
      <c r="C207" s="24">
        <f t="shared" si="33"/>
        <v>1</v>
      </c>
      <c r="D207" s="643"/>
      <c r="E207" s="24">
        <f t="shared" si="34"/>
        <v>0</v>
      </c>
      <c r="F207" s="643"/>
      <c r="G207" s="24">
        <f t="shared" si="35"/>
        <v>0</v>
      </c>
      <c r="H207" s="643"/>
      <c r="I207" s="24">
        <f t="shared" si="36"/>
        <v>0.1</v>
      </c>
      <c r="J207" s="643"/>
      <c r="K207" s="24">
        <f t="shared" si="37"/>
        <v>1</v>
      </c>
      <c r="L207" s="643"/>
      <c r="M207" s="24">
        <f t="shared" si="38"/>
        <v>1</v>
      </c>
      <c r="N207" s="643"/>
      <c r="O207" s="24">
        <f t="shared" si="39"/>
        <v>1</v>
      </c>
      <c r="P207" s="643"/>
      <c r="Q207" s="24">
        <f t="shared" si="40"/>
        <v>1</v>
      </c>
      <c r="R207" s="24">
        <f t="shared" si="41"/>
        <v>0</v>
      </c>
      <c r="S207" s="314">
        <f t="shared" si="42"/>
        <v>0</v>
      </c>
    </row>
    <row r="208" spans="1:19">
      <c r="A208" s="147"/>
      <c r="B208" s="55"/>
      <c r="C208" s="24">
        <f t="shared" si="33"/>
        <v>1</v>
      </c>
      <c r="D208" s="643"/>
      <c r="E208" s="24">
        <f t="shared" si="34"/>
        <v>0</v>
      </c>
      <c r="F208" s="643"/>
      <c r="G208" s="24">
        <f t="shared" si="35"/>
        <v>0</v>
      </c>
      <c r="H208" s="643"/>
      <c r="I208" s="24">
        <f t="shared" si="36"/>
        <v>0.1</v>
      </c>
      <c r="J208" s="643"/>
      <c r="K208" s="24">
        <f t="shared" si="37"/>
        <v>1</v>
      </c>
      <c r="L208" s="643"/>
      <c r="M208" s="24">
        <f t="shared" si="38"/>
        <v>1</v>
      </c>
      <c r="N208" s="643"/>
      <c r="O208" s="24">
        <f t="shared" si="39"/>
        <v>1</v>
      </c>
      <c r="P208" s="643"/>
      <c r="Q208" s="24">
        <f t="shared" si="40"/>
        <v>1</v>
      </c>
      <c r="R208" s="24">
        <f t="shared" si="41"/>
        <v>0</v>
      </c>
      <c r="S208" s="314">
        <f t="shared" si="42"/>
        <v>0</v>
      </c>
    </row>
    <row r="209" spans="1:19">
      <c r="A209" s="147"/>
      <c r="B209" s="55"/>
      <c r="C209" s="24">
        <f t="shared" si="33"/>
        <v>1</v>
      </c>
      <c r="D209" s="643"/>
      <c r="E209" s="24">
        <f t="shared" si="34"/>
        <v>0</v>
      </c>
      <c r="F209" s="643"/>
      <c r="G209" s="24">
        <f t="shared" si="35"/>
        <v>0</v>
      </c>
      <c r="H209" s="643"/>
      <c r="I209" s="24">
        <f t="shared" si="36"/>
        <v>0.1</v>
      </c>
      <c r="J209" s="643"/>
      <c r="K209" s="24">
        <f t="shared" si="37"/>
        <v>1</v>
      </c>
      <c r="L209" s="643"/>
      <c r="M209" s="24">
        <f t="shared" si="38"/>
        <v>1</v>
      </c>
      <c r="N209" s="643"/>
      <c r="O209" s="24">
        <f t="shared" si="39"/>
        <v>1</v>
      </c>
      <c r="P209" s="643"/>
      <c r="Q209" s="24">
        <f t="shared" si="40"/>
        <v>1</v>
      </c>
      <c r="R209" s="24">
        <f t="shared" si="41"/>
        <v>0</v>
      </c>
      <c r="S209" s="314">
        <f t="shared" si="42"/>
        <v>0</v>
      </c>
    </row>
    <row r="210" spans="1:19">
      <c r="A210" s="147"/>
      <c r="B210" s="55"/>
      <c r="C210" s="24">
        <f t="shared" si="33"/>
        <v>1</v>
      </c>
      <c r="D210" s="643"/>
      <c r="E210" s="24">
        <f t="shared" si="34"/>
        <v>0</v>
      </c>
      <c r="F210" s="643"/>
      <c r="G210" s="24">
        <f t="shared" si="35"/>
        <v>0</v>
      </c>
      <c r="H210" s="643"/>
      <c r="I210" s="24">
        <f t="shared" si="36"/>
        <v>0.1</v>
      </c>
      <c r="J210" s="643"/>
      <c r="K210" s="24">
        <f t="shared" si="37"/>
        <v>1</v>
      </c>
      <c r="L210" s="643"/>
      <c r="M210" s="24">
        <f t="shared" si="38"/>
        <v>1</v>
      </c>
      <c r="N210" s="643"/>
      <c r="O210" s="24">
        <f t="shared" si="39"/>
        <v>1</v>
      </c>
      <c r="P210" s="643"/>
      <c r="Q210" s="24">
        <f t="shared" si="40"/>
        <v>1</v>
      </c>
      <c r="R210" s="24">
        <f t="shared" si="41"/>
        <v>0</v>
      </c>
      <c r="S210" s="314">
        <f t="shared" si="42"/>
        <v>0</v>
      </c>
    </row>
    <row r="211" spans="1:19">
      <c r="A211" s="147"/>
      <c r="B211" s="55"/>
      <c r="C211" s="24">
        <f t="shared" si="33"/>
        <v>1</v>
      </c>
      <c r="D211" s="643"/>
      <c r="E211" s="24">
        <f t="shared" si="34"/>
        <v>0</v>
      </c>
      <c r="F211" s="643"/>
      <c r="G211" s="24">
        <f t="shared" si="35"/>
        <v>0</v>
      </c>
      <c r="H211" s="643"/>
      <c r="I211" s="24">
        <f t="shared" si="36"/>
        <v>0.1</v>
      </c>
      <c r="J211" s="643"/>
      <c r="K211" s="24">
        <f t="shared" si="37"/>
        <v>1</v>
      </c>
      <c r="L211" s="643"/>
      <c r="M211" s="24">
        <f t="shared" si="38"/>
        <v>1</v>
      </c>
      <c r="N211" s="643"/>
      <c r="O211" s="24">
        <f t="shared" si="39"/>
        <v>1</v>
      </c>
      <c r="P211" s="643"/>
      <c r="Q211" s="24">
        <f t="shared" si="40"/>
        <v>1</v>
      </c>
      <c r="R211" s="24">
        <f t="shared" si="41"/>
        <v>0</v>
      </c>
      <c r="S211" s="314">
        <f t="shared" si="42"/>
        <v>0</v>
      </c>
    </row>
    <row r="212" spans="1:19">
      <c r="A212" s="147"/>
      <c r="B212" s="55"/>
      <c r="C212" s="24">
        <f t="shared" si="33"/>
        <v>1</v>
      </c>
      <c r="D212" s="643"/>
      <c r="E212" s="24">
        <f t="shared" si="34"/>
        <v>0</v>
      </c>
      <c r="F212" s="643"/>
      <c r="G212" s="24">
        <f t="shared" si="35"/>
        <v>0</v>
      </c>
      <c r="H212" s="643"/>
      <c r="I212" s="24">
        <f t="shared" si="36"/>
        <v>0.1</v>
      </c>
      <c r="J212" s="643"/>
      <c r="K212" s="24">
        <f t="shared" si="37"/>
        <v>1</v>
      </c>
      <c r="L212" s="643"/>
      <c r="M212" s="24">
        <f t="shared" si="38"/>
        <v>1</v>
      </c>
      <c r="N212" s="643"/>
      <c r="O212" s="24">
        <f t="shared" si="39"/>
        <v>1</v>
      </c>
      <c r="P212" s="643"/>
      <c r="Q212" s="24">
        <f t="shared" si="40"/>
        <v>1</v>
      </c>
      <c r="R212" s="24">
        <f t="shared" si="41"/>
        <v>0</v>
      </c>
      <c r="S212" s="314">
        <f t="shared" si="42"/>
        <v>0</v>
      </c>
    </row>
    <row r="213" spans="1:19">
      <c r="A213" s="147"/>
      <c r="B213" s="55"/>
      <c r="C213" s="24">
        <f t="shared" si="33"/>
        <v>1</v>
      </c>
      <c r="D213" s="643"/>
      <c r="E213" s="24">
        <f t="shared" si="34"/>
        <v>0</v>
      </c>
      <c r="F213" s="643"/>
      <c r="G213" s="24">
        <f t="shared" si="35"/>
        <v>0</v>
      </c>
      <c r="H213" s="643"/>
      <c r="I213" s="24">
        <f t="shared" si="36"/>
        <v>0.1</v>
      </c>
      <c r="J213" s="643"/>
      <c r="K213" s="24">
        <f t="shared" si="37"/>
        <v>1</v>
      </c>
      <c r="L213" s="643"/>
      <c r="M213" s="24">
        <f t="shared" si="38"/>
        <v>1</v>
      </c>
      <c r="N213" s="643"/>
      <c r="O213" s="24">
        <f t="shared" si="39"/>
        <v>1</v>
      </c>
      <c r="P213" s="643"/>
      <c r="Q213" s="24">
        <f t="shared" si="40"/>
        <v>1</v>
      </c>
      <c r="R213" s="24">
        <f t="shared" si="41"/>
        <v>0</v>
      </c>
      <c r="S213" s="314">
        <f t="shared" si="42"/>
        <v>0</v>
      </c>
    </row>
    <row r="214" spans="1:19">
      <c r="A214" s="147"/>
      <c r="B214" s="55"/>
      <c r="C214" s="24">
        <f t="shared" si="33"/>
        <v>1</v>
      </c>
      <c r="D214" s="643"/>
      <c r="E214" s="24">
        <f t="shared" si="34"/>
        <v>0</v>
      </c>
      <c r="F214" s="643"/>
      <c r="G214" s="24">
        <f t="shared" si="35"/>
        <v>0</v>
      </c>
      <c r="H214" s="643"/>
      <c r="I214" s="24">
        <f t="shared" si="36"/>
        <v>0.1</v>
      </c>
      <c r="J214" s="643"/>
      <c r="K214" s="24">
        <f t="shared" si="37"/>
        <v>1</v>
      </c>
      <c r="L214" s="643"/>
      <c r="M214" s="24">
        <f t="shared" si="38"/>
        <v>1</v>
      </c>
      <c r="N214" s="643"/>
      <c r="O214" s="24">
        <f t="shared" si="39"/>
        <v>1</v>
      </c>
      <c r="P214" s="643"/>
      <c r="Q214" s="24">
        <f t="shared" si="40"/>
        <v>1</v>
      </c>
      <c r="R214" s="24">
        <f t="shared" si="41"/>
        <v>0</v>
      </c>
      <c r="S214" s="314">
        <f t="shared" si="42"/>
        <v>0</v>
      </c>
    </row>
    <row r="215" spans="1:19">
      <c r="A215" s="147"/>
      <c r="B215" s="55"/>
      <c r="C215" s="24">
        <f t="shared" si="33"/>
        <v>1</v>
      </c>
      <c r="D215" s="643"/>
      <c r="E215" s="24">
        <f t="shared" si="34"/>
        <v>0</v>
      </c>
      <c r="F215" s="643"/>
      <c r="G215" s="24">
        <f t="shared" si="35"/>
        <v>0</v>
      </c>
      <c r="H215" s="643"/>
      <c r="I215" s="24">
        <f t="shared" si="36"/>
        <v>0.1</v>
      </c>
      <c r="J215" s="643"/>
      <c r="K215" s="24">
        <f t="shared" si="37"/>
        <v>1</v>
      </c>
      <c r="L215" s="643"/>
      <c r="M215" s="24">
        <f t="shared" si="38"/>
        <v>1</v>
      </c>
      <c r="N215" s="643"/>
      <c r="O215" s="24">
        <f t="shared" si="39"/>
        <v>1</v>
      </c>
      <c r="P215" s="643"/>
      <c r="Q215" s="24">
        <f t="shared" si="40"/>
        <v>1</v>
      </c>
      <c r="R215" s="24">
        <f t="shared" si="41"/>
        <v>0</v>
      </c>
      <c r="S215" s="314">
        <f t="shared" si="42"/>
        <v>0</v>
      </c>
    </row>
    <row r="216" spans="1:19">
      <c r="A216" s="147"/>
      <c r="B216" s="55"/>
      <c r="C216" s="24">
        <f t="shared" si="33"/>
        <v>1</v>
      </c>
      <c r="D216" s="643"/>
      <c r="E216" s="24">
        <f t="shared" si="34"/>
        <v>0</v>
      </c>
      <c r="F216" s="643"/>
      <c r="G216" s="24">
        <f t="shared" si="35"/>
        <v>0</v>
      </c>
      <c r="H216" s="643"/>
      <c r="I216" s="24">
        <f t="shared" si="36"/>
        <v>0.1</v>
      </c>
      <c r="J216" s="643"/>
      <c r="K216" s="24">
        <f t="shared" si="37"/>
        <v>1</v>
      </c>
      <c r="L216" s="643"/>
      <c r="M216" s="24">
        <f t="shared" si="38"/>
        <v>1</v>
      </c>
      <c r="N216" s="643"/>
      <c r="O216" s="24">
        <f t="shared" si="39"/>
        <v>1</v>
      </c>
      <c r="P216" s="643"/>
      <c r="Q216" s="24">
        <f t="shared" si="40"/>
        <v>1</v>
      </c>
      <c r="R216" s="24">
        <f t="shared" si="41"/>
        <v>0</v>
      </c>
      <c r="S216" s="314">
        <f t="shared" si="42"/>
        <v>0</v>
      </c>
    </row>
    <row r="217" spans="1:19">
      <c r="A217" s="147"/>
      <c r="B217" s="55"/>
      <c r="C217" s="24">
        <f t="shared" si="33"/>
        <v>1</v>
      </c>
      <c r="D217" s="643"/>
      <c r="E217" s="24">
        <f t="shared" si="34"/>
        <v>0</v>
      </c>
      <c r="F217" s="643"/>
      <c r="G217" s="24">
        <f t="shared" si="35"/>
        <v>0</v>
      </c>
      <c r="H217" s="643"/>
      <c r="I217" s="24">
        <f t="shared" si="36"/>
        <v>0.1</v>
      </c>
      <c r="J217" s="643"/>
      <c r="K217" s="24">
        <f t="shared" si="37"/>
        <v>1</v>
      </c>
      <c r="L217" s="643"/>
      <c r="M217" s="24">
        <f t="shared" si="38"/>
        <v>1</v>
      </c>
      <c r="N217" s="643"/>
      <c r="O217" s="24">
        <f t="shared" si="39"/>
        <v>1</v>
      </c>
      <c r="P217" s="643"/>
      <c r="Q217" s="24">
        <f t="shared" si="40"/>
        <v>1</v>
      </c>
      <c r="R217" s="24">
        <f t="shared" si="41"/>
        <v>0</v>
      </c>
      <c r="S217" s="314">
        <f t="shared" si="42"/>
        <v>0</v>
      </c>
    </row>
    <row r="218" spans="1:19">
      <c r="A218" s="147"/>
      <c r="B218" s="55"/>
      <c r="C218" s="24">
        <f t="shared" ref="C218:C281" si="43">IF(B218="",1,(LOOKUP(B218,$3:$3,$4:$4)-LOOKUP($B$24,$3:$3,$4:$4)+100)/100)</f>
        <v>1</v>
      </c>
      <c r="D218" s="643"/>
      <c r="E218" s="24">
        <f t="shared" ref="E218:E281" si="44">(SUMIF($5:$5,D218,$6:$6)-SUMIF($5:$5,$D$24,$6:$6)+100)/100</f>
        <v>0</v>
      </c>
      <c r="F218" s="643"/>
      <c r="G218" s="24">
        <f t="shared" ref="G218:G281" si="45">(SUMIF($7:$7,F218,$8:$8)-SUMIF($7:$7,$F$24,$8:$8)+100)/100</f>
        <v>0</v>
      </c>
      <c r="H218" s="643"/>
      <c r="I218" s="24">
        <f t="shared" ref="I218:I281" si="46">(SUMIF($9:$9,H218,$10:$10)-SUMIF($9:$9,$H$24,$10:$10)+100)/100</f>
        <v>0.1</v>
      </c>
      <c r="J218" s="643"/>
      <c r="K218" s="24">
        <f t="shared" ref="K218:K281" si="47">(SUMIF($11:$11,J218,$12:$12)-SUMIF($11:$11,$J$24,$12:$12)+100)/100</f>
        <v>1</v>
      </c>
      <c r="L218" s="643"/>
      <c r="M218" s="24">
        <f t="shared" ref="M218:M281" si="48">(SUMIF($13:$13,L218,$14:$14)-SUMIF($13:$13,$L$24,$14:$14)+100)/100</f>
        <v>1</v>
      </c>
      <c r="N218" s="643"/>
      <c r="O218" s="24">
        <f t="shared" ref="O218:O281" si="49">(SUMIF($15:$15,N218,$16:$16)-SUMIF($15:$15,$N$24,$16:$16)+100)/100</f>
        <v>1</v>
      </c>
      <c r="P218" s="643"/>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3"/>
      <c r="E219" s="24">
        <f t="shared" si="44"/>
        <v>0</v>
      </c>
      <c r="F219" s="643"/>
      <c r="G219" s="24">
        <f t="shared" si="45"/>
        <v>0</v>
      </c>
      <c r="H219" s="643"/>
      <c r="I219" s="24">
        <f t="shared" si="46"/>
        <v>0.1</v>
      </c>
      <c r="J219" s="643"/>
      <c r="K219" s="24">
        <f t="shared" si="47"/>
        <v>1</v>
      </c>
      <c r="L219" s="643"/>
      <c r="M219" s="24">
        <f t="shared" si="48"/>
        <v>1</v>
      </c>
      <c r="N219" s="643"/>
      <c r="O219" s="24">
        <f t="shared" si="49"/>
        <v>1</v>
      </c>
      <c r="P219" s="643"/>
      <c r="Q219" s="24">
        <f t="shared" si="50"/>
        <v>1</v>
      </c>
      <c r="R219" s="24">
        <f t="shared" si="51"/>
        <v>0</v>
      </c>
      <c r="S219" s="314">
        <f t="shared" si="42"/>
        <v>0</v>
      </c>
    </row>
    <row r="220" spans="1:19">
      <c r="A220" s="147"/>
      <c r="B220" s="55"/>
      <c r="C220" s="24">
        <f t="shared" si="43"/>
        <v>1</v>
      </c>
      <c r="D220" s="643"/>
      <c r="E220" s="24">
        <f t="shared" si="44"/>
        <v>0</v>
      </c>
      <c r="F220" s="643"/>
      <c r="G220" s="24">
        <f t="shared" si="45"/>
        <v>0</v>
      </c>
      <c r="H220" s="643"/>
      <c r="I220" s="24">
        <f t="shared" si="46"/>
        <v>0.1</v>
      </c>
      <c r="J220" s="643"/>
      <c r="K220" s="24">
        <f t="shared" si="47"/>
        <v>1</v>
      </c>
      <c r="L220" s="643"/>
      <c r="M220" s="24">
        <f t="shared" si="48"/>
        <v>1</v>
      </c>
      <c r="N220" s="643"/>
      <c r="O220" s="24">
        <f t="shared" si="49"/>
        <v>1</v>
      </c>
      <c r="P220" s="643"/>
      <c r="Q220" s="24">
        <f t="shared" si="50"/>
        <v>1</v>
      </c>
      <c r="R220" s="24">
        <f t="shared" si="51"/>
        <v>0</v>
      </c>
      <c r="S220" s="314">
        <f t="shared" si="42"/>
        <v>0</v>
      </c>
    </row>
    <row r="221" spans="1:19">
      <c r="A221" s="147"/>
      <c r="B221" s="55"/>
      <c r="C221" s="24">
        <f t="shared" si="43"/>
        <v>1</v>
      </c>
      <c r="D221" s="643"/>
      <c r="E221" s="24">
        <f t="shared" si="44"/>
        <v>0</v>
      </c>
      <c r="F221" s="643"/>
      <c r="G221" s="24">
        <f t="shared" si="45"/>
        <v>0</v>
      </c>
      <c r="H221" s="643"/>
      <c r="I221" s="24">
        <f t="shared" si="46"/>
        <v>0.1</v>
      </c>
      <c r="J221" s="643"/>
      <c r="K221" s="24">
        <f t="shared" si="47"/>
        <v>1</v>
      </c>
      <c r="L221" s="643"/>
      <c r="M221" s="24">
        <f t="shared" si="48"/>
        <v>1</v>
      </c>
      <c r="N221" s="643"/>
      <c r="O221" s="24">
        <f t="shared" si="49"/>
        <v>1</v>
      </c>
      <c r="P221" s="643"/>
      <c r="Q221" s="24">
        <f t="shared" si="50"/>
        <v>1</v>
      </c>
      <c r="R221" s="24">
        <f t="shared" si="51"/>
        <v>0</v>
      </c>
      <c r="S221" s="314">
        <f t="shared" si="42"/>
        <v>0</v>
      </c>
    </row>
    <row r="222" spans="1:19">
      <c r="A222" s="147"/>
      <c r="B222" s="55"/>
      <c r="C222" s="24">
        <f t="shared" si="43"/>
        <v>1</v>
      </c>
      <c r="D222" s="643"/>
      <c r="E222" s="24">
        <f t="shared" si="44"/>
        <v>0</v>
      </c>
      <c r="F222" s="643"/>
      <c r="G222" s="24">
        <f t="shared" si="45"/>
        <v>0</v>
      </c>
      <c r="H222" s="643"/>
      <c r="I222" s="24">
        <f t="shared" si="46"/>
        <v>0.1</v>
      </c>
      <c r="J222" s="643"/>
      <c r="K222" s="24">
        <f t="shared" si="47"/>
        <v>1</v>
      </c>
      <c r="L222" s="643"/>
      <c r="M222" s="24">
        <f t="shared" si="48"/>
        <v>1</v>
      </c>
      <c r="N222" s="643"/>
      <c r="O222" s="24">
        <f t="shared" si="49"/>
        <v>1</v>
      </c>
      <c r="P222" s="643"/>
      <c r="Q222" s="24">
        <f t="shared" si="50"/>
        <v>1</v>
      </c>
      <c r="R222" s="24">
        <f t="shared" si="51"/>
        <v>0</v>
      </c>
      <c r="S222" s="314">
        <f t="shared" si="42"/>
        <v>0</v>
      </c>
    </row>
    <row r="223" spans="1:19">
      <c r="A223" s="147"/>
      <c r="B223" s="55"/>
      <c r="C223" s="24">
        <f t="shared" si="43"/>
        <v>1</v>
      </c>
      <c r="D223" s="643"/>
      <c r="E223" s="24">
        <f t="shared" si="44"/>
        <v>0</v>
      </c>
      <c r="F223" s="643"/>
      <c r="G223" s="24">
        <f t="shared" si="45"/>
        <v>0</v>
      </c>
      <c r="H223" s="643"/>
      <c r="I223" s="24">
        <f t="shared" si="46"/>
        <v>0.1</v>
      </c>
      <c r="J223" s="643"/>
      <c r="K223" s="24">
        <f t="shared" si="47"/>
        <v>1</v>
      </c>
      <c r="L223" s="643"/>
      <c r="M223" s="24">
        <f t="shared" si="48"/>
        <v>1</v>
      </c>
      <c r="N223" s="643"/>
      <c r="O223" s="24">
        <f t="shared" si="49"/>
        <v>1</v>
      </c>
      <c r="P223" s="643"/>
      <c r="Q223" s="24">
        <f t="shared" si="50"/>
        <v>1</v>
      </c>
      <c r="R223" s="24">
        <f t="shared" si="51"/>
        <v>0</v>
      </c>
      <c r="S223" s="314">
        <f t="shared" ref="S223:S286" si="52">ROUND(R223*B223/10000,0)</f>
        <v>0</v>
      </c>
    </row>
    <row r="224" spans="1:19">
      <c r="A224" s="147"/>
      <c r="B224" s="55"/>
      <c r="C224" s="24">
        <f t="shared" si="43"/>
        <v>1</v>
      </c>
      <c r="D224" s="643"/>
      <c r="E224" s="24">
        <f t="shared" si="44"/>
        <v>0</v>
      </c>
      <c r="F224" s="643"/>
      <c r="G224" s="24">
        <f t="shared" si="45"/>
        <v>0</v>
      </c>
      <c r="H224" s="643"/>
      <c r="I224" s="24">
        <f t="shared" si="46"/>
        <v>0.1</v>
      </c>
      <c r="J224" s="643"/>
      <c r="K224" s="24">
        <f t="shared" si="47"/>
        <v>1</v>
      </c>
      <c r="L224" s="643"/>
      <c r="M224" s="24">
        <f t="shared" si="48"/>
        <v>1</v>
      </c>
      <c r="N224" s="643"/>
      <c r="O224" s="24">
        <f t="shared" si="49"/>
        <v>1</v>
      </c>
      <c r="P224" s="643"/>
      <c r="Q224" s="24">
        <f t="shared" si="50"/>
        <v>1</v>
      </c>
      <c r="R224" s="24">
        <f t="shared" si="51"/>
        <v>0</v>
      </c>
      <c r="S224" s="314">
        <f t="shared" si="52"/>
        <v>0</v>
      </c>
    </row>
    <row r="225" spans="1:19">
      <c r="A225" s="147"/>
      <c r="B225" s="55"/>
      <c r="C225" s="24">
        <f t="shared" si="43"/>
        <v>1</v>
      </c>
      <c r="D225" s="643"/>
      <c r="E225" s="24">
        <f t="shared" si="44"/>
        <v>0</v>
      </c>
      <c r="F225" s="643"/>
      <c r="G225" s="24">
        <f t="shared" si="45"/>
        <v>0</v>
      </c>
      <c r="H225" s="643"/>
      <c r="I225" s="24">
        <f t="shared" si="46"/>
        <v>0.1</v>
      </c>
      <c r="J225" s="643"/>
      <c r="K225" s="24">
        <f t="shared" si="47"/>
        <v>1</v>
      </c>
      <c r="L225" s="643"/>
      <c r="M225" s="24">
        <f t="shared" si="48"/>
        <v>1</v>
      </c>
      <c r="N225" s="643"/>
      <c r="O225" s="24">
        <f t="shared" si="49"/>
        <v>1</v>
      </c>
      <c r="P225" s="643"/>
      <c r="Q225" s="24">
        <f t="shared" si="50"/>
        <v>1</v>
      </c>
      <c r="R225" s="24">
        <f t="shared" si="51"/>
        <v>0</v>
      </c>
      <c r="S225" s="314">
        <f t="shared" si="52"/>
        <v>0</v>
      </c>
    </row>
    <row r="226" spans="1:19">
      <c r="A226" s="147"/>
      <c r="B226" s="55"/>
      <c r="C226" s="24">
        <f t="shared" si="43"/>
        <v>1</v>
      </c>
      <c r="D226" s="643"/>
      <c r="E226" s="24">
        <f t="shared" si="44"/>
        <v>0</v>
      </c>
      <c r="F226" s="643"/>
      <c r="G226" s="24">
        <f t="shared" si="45"/>
        <v>0</v>
      </c>
      <c r="H226" s="643"/>
      <c r="I226" s="24">
        <f t="shared" si="46"/>
        <v>0.1</v>
      </c>
      <c r="J226" s="643"/>
      <c r="K226" s="24">
        <f t="shared" si="47"/>
        <v>1</v>
      </c>
      <c r="L226" s="643"/>
      <c r="M226" s="24">
        <f t="shared" si="48"/>
        <v>1</v>
      </c>
      <c r="N226" s="643"/>
      <c r="O226" s="24">
        <f t="shared" si="49"/>
        <v>1</v>
      </c>
      <c r="P226" s="643"/>
      <c r="Q226" s="24">
        <f t="shared" si="50"/>
        <v>1</v>
      </c>
      <c r="R226" s="24">
        <f t="shared" si="51"/>
        <v>0</v>
      </c>
      <c r="S226" s="314">
        <f t="shared" si="52"/>
        <v>0</v>
      </c>
    </row>
    <row r="227" spans="1:19">
      <c r="A227" s="147"/>
      <c r="B227" s="55"/>
      <c r="C227" s="24">
        <f t="shared" si="43"/>
        <v>1</v>
      </c>
      <c r="D227" s="643"/>
      <c r="E227" s="24">
        <f t="shared" si="44"/>
        <v>0</v>
      </c>
      <c r="F227" s="643"/>
      <c r="G227" s="24">
        <f t="shared" si="45"/>
        <v>0</v>
      </c>
      <c r="H227" s="643"/>
      <c r="I227" s="24">
        <f t="shared" si="46"/>
        <v>0.1</v>
      </c>
      <c r="J227" s="643"/>
      <c r="K227" s="24">
        <f t="shared" si="47"/>
        <v>1</v>
      </c>
      <c r="L227" s="643"/>
      <c r="M227" s="24">
        <f t="shared" si="48"/>
        <v>1</v>
      </c>
      <c r="N227" s="643"/>
      <c r="O227" s="24">
        <f t="shared" si="49"/>
        <v>1</v>
      </c>
      <c r="P227" s="643"/>
      <c r="Q227" s="24">
        <f t="shared" si="50"/>
        <v>1</v>
      </c>
      <c r="R227" s="24">
        <f t="shared" si="51"/>
        <v>0</v>
      </c>
      <c r="S227" s="314">
        <f t="shared" si="52"/>
        <v>0</v>
      </c>
    </row>
    <row r="228" spans="1:19">
      <c r="A228" s="147"/>
      <c r="B228" s="55"/>
      <c r="C228" s="24">
        <f t="shared" si="43"/>
        <v>1</v>
      </c>
      <c r="D228" s="643"/>
      <c r="E228" s="24">
        <f t="shared" si="44"/>
        <v>0</v>
      </c>
      <c r="F228" s="643"/>
      <c r="G228" s="24">
        <f t="shared" si="45"/>
        <v>0</v>
      </c>
      <c r="H228" s="643"/>
      <c r="I228" s="24">
        <f t="shared" si="46"/>
        <v>0.1</v>
      </c>
      <c r="J228" s="643"/>
      <c r="K228" s="24">
        <f t="shared" si="47"/>
        <v>1</v>
      </c>
      <c r="L228" s="643"/>
      <c r="M228" s="24">
        <f t="shared" si="48"/>
        <v>1</v>
      </c>
      <c r="N228" s="643"/>
      <c r="O228" s="24">
        <f t="shared" si="49"/>
        <v>1</v>
      </c>
      <c r="P228" s="643"/>
      <c r="Q228" s="24">
        <f t="shared" si="50"/>
        <v>1</v>
      </c>
      <c r="R228" s="24">
        <f t="shared" si="51"/>
        <v>0</v>
      </c>
      <c r="S228" s="314">
        <f t="shared" si="52"/>
        <v>0</v>
      </c>
    </row>
    <row r="229" spans="1:19">
      <c r="A229" s="147"/>
      <c r="B229" s="55"/>
      <c r="C229" s="24">
        <f t="shared" si="43"/>
        <v>1</v>
      </c>
      <c r="D229" s="643"/>
      <c r="E229" s="24">
        <f t="shared" si="44"/>
        <v>0</v>
      </c>
      <c r="F229" s="643"/>
      <c r="G229" s="24">
        <f t="shared" si="45"/>
        <v>0</v>
      </c>
      <c r="H229" s="643"/>
      <c r="I229" s="24">
        <f t="shared" si="46"/>
        <v>0.1</v>
      </c>
      <c r="J229" s="643"/>
      <c r="K229" s="24">
        <f t="shared" si="47"/>
        <v>1</v>
      </c>
      <c r="L229" s="643"/>
      <c r="M229" s="24">
        <f t="shared" si="48"/>
        <v>1</v>
      </c>
      <c r="N229" s="643"/>
      <c r="O229" s="24">
        <f t="shared" si="49"/>
        <v>1</v>
      </c>
      <c r="P229" s="643"/>
      <c r="Q229" s="24">
        <f t="shared" si="50"/>
        <v>1</v>
      </c>
      <c r="R229" s="24">
        <f t="shared" si="51"/>
        <v>0</v>
      </c>
      <c r="S229" s="314">
        <f t="shared" si="52"/>
        <v>0</v>
      </c>
    </row>
    <row r="230" spans="1:19">
      <c r="A230" s="147"/>
      <c r="B230" s="55"/>
      <c r="C230" s="24">
        <f t="shared" si="43"/>
        <v>1</v>
      </c>
      <c r="D230" s="643"/>
      <c r="E230" s="24">
        <f t="shared" si="44"/>
        <v>0</v>
      </c>
      <c r="F230" s="643"/>
      <c r="G230" s="24">
        <f t="shared" si="45"/>
        <v>0</v>
      </c>
      <c r="H230" s="643"/>
      <c r="I230" s="24">
        <f t="shared" si="46"/>
        <v>0.1</v>
      </c>
      <c r="J230" s="643"/>
      <c r="K230" s="24">
        <f t="shared" si="47"/>
        <v>1</v>
      </c>
      <c r="L230" s="643"/>
      <c r="M230" s="24">
        <f t="shared" si="48"/>
        <v>1</v>
      </c>
      <c r="N230" s="643"/>
      <c r="O230" s="24">
        <f t="shared" si="49"/>
        <v>1</v>
      </c>
      <c r="P230" s="643"/>
      <c r="Q230" s="24">
        <f t="shared" si="50"/>
        <v>1</v>
      </c>
      <c r="R230" s="24">
        <f t="shared" si="51"/>
        <v>0</v>
      </c>
      <c r="S230" s="314">
        <f t="shared" si="52"/>
        <v>0</v>
      </c>
    </row>
    <row r="231" spans="1:19">
      <c r="A231" s="147"/>
      <c r="B231" s="55"/>
      <c r="C231" s="24">
        <f t="shared" si="43"/>
        <v>1</v>
      </c>
      <c r="D231" s="643"/>
      <c r="E231" s="24">
        <f t="shared" si="44"/>
        <v>0</v>
      </c>
      <c r="F231" s="643"/>
      <c r="G231" s="24">
        <f t="shared" si="45"/>
        <v>0</v>
      </c>
      <c r="H231" s="643"/>
      <c r="I231" s="24">
        <f t="shared" si="46"/>
        <v>0.1</v>
      </c>
      <c r="J231" s="643"/>
      <c r="K231" s="24">
        <f t="shared" si="47"/>
        <v>1</v>
      </c>
      <c r="L231" s="643"/>
      <c r="M231" s="24">
        <f t="shared" si="48"/>
        <v>1</v>
      </c>
      <c r="N231" s="643"/>
      <c r="O231" s="24">
        <f t="shared" si="49"/>
        <v>1</v>
      </c>
      <c r="P231" s="643"/>
      <c r="Q231" s="24">
        <f t="shared" si="50"/>
        <v>1</v>
      </c>
      <c r="R231" s="24">
        <f t="shared" si="51"/>
        <v>0</v>
      </c>
      <c r="S231" s="314">
        <f t="shared" si="52"/>
        <v>0</v>
      </c>
    </row>
    <row r="232" spans="1:19">
      <c r="A232" s="147"/>
      <c r="B232" s="55"/>
      <c r="C232" s="24">
        <f t="shared" si="43"/>
        <v>1</v>
      </c>
      <c r="D232" s="643"/>
      <c r="E232" s="24">
        <f t="shared" si="44"/>
        <v>0</v>
      </c>
      <c r="F232" s="643"/>
      <c r="G232" s="24">
        <f t="shared" si="45"/>
        <v>0</v>
      </c>
      <c r="H232" s="643"/>
      <c r="I232" s="24">
        <f t="shared" si="46"/>
        <v>0.1</v>
      </c>
      <c r="J232" s="643"/>
      <c r="K232" s="24">
        <f t="shared" si="47"/>
        <v>1</v>
      </c>
      <c r="L232" s="643"/>
      <c r="M232" s="24">
        <f t="shared" si="48"/>
        <v>1</v>
      </c>
      <c r="N232" s="643"/>
      <c r="O232" s="24">
        <f t="shared" si="49"/>
        <v>1</v>
      </c>
      <c r="P232" s="643"/>
      <c r="Q232" s="24">
        <f t="shared" si="50"/>
        <v>1</v>
      </c>
      <c r="R232" s="24">
        <f t="shared" si="51"/>
        <v>0</v>
      </c>
      <c r="S232" s="314">
        <f t="shared" si="52"/>
        <v>0</v>
      </c>
    </row>
    <row r="233" spans="1:19">
      <c r="A233" s="147"/>
      <c r="B233" s="55"/>
      <c r="C233" s="24">
        <f t="shared" si="43"/>
        <v>1</v>
      </c>
      <c r="D233" s="643"/>
      <c r="E233" s="24">
        <f t="shared" si="44"/>
        <v>0</v>
      </c>
      <c r="F233" s="643"/>
      <c r="G233" s="24">
        <f t="shared" si="45"/>
        <v>0</v>
      </c>
      <c r="H233" s="643"/>
      <c r="I233" s="24">
        <f t="shared" si="46"/>
        <v>0.1</v>
      </c>
      <c r="J233" s="643"/>
      <c r="K233" s="24">
        <f t="shared" si="47"/>
        <v>1</v>
      </c>
      <c r="L233" s="643"/>
      <c r="M233" s="24">
        <f t="shared" si="48"/>
        <v>1</v>
      </c>
      <c r="N233" s="643"/>
      <c r="O233" s="24">
        <f t="shared" si="49"/>
        <v>1</v>
      </c>
      <c r="P233" s="643"/>
      <c r="Q233" s="24">
        <f t="shared" si="50"/>
        <v>1</v>
      </c>
      <c r="R233" s="24">
        <f t="shared" si="51"/>
        <v>0</v>
      </c>
      <c r="S233" s="314">
        <f t="shared" si="52"/>
        <v>0</v>
      </c>
    </row>
    <row r="234" spans="1:19">
      <c r="A234" s="147"/>
      <c r="B234" s="55"/>
      <c r="C234" s="24">
        <f t="shared" si="43"/>
        <v>1</v>
      </c>
      <c r="D234" s="643"/>
      <c r="E234" s="24">
        <f t="shared" si="44"/>
        <v>0</v>
      </c>
      <c r="F234" s="643"/>
      <c r="G234" s="24">
        <f t="shared" si="45"/>
        <v>0</v>
      </c>
      <c r="H234" s="643"/>
      <c r="I234" s="24">
        <f t="shared" si="46"/>
        <v>0.1</v>
      </c>
      <c r="J234" s="643"/>
      <c r="K234" s="24">
        <f t="shared" si="47"/>
        <v>1</v>
      </c>
      <c r="L234" s="643"/>
      <c r="M234" s="24">
        <f t="shared" si="48"/>
        <v>1</v>
      </c>
      <c r="N234" s="643"/>
      <c r="O234" s="24">
        <f t="shared" si="49"/>
        <v>1</v>
      </c>
      <c r="P234" s="643"/>
      <c r="Q234" s="24">
        <f t="shared" si="50"/>
        <v>1</v>
      </c>
      <c r="R234" s="24">
        <f t="shared" si="51"/>
        <v>0</v>
      </c>
      <c r="S234" s="314">
        <f t="shared" si="52"/>
        <v>0</v>
      </c>
    </row>
    <row r="235" spans="1:19">
      <c r="A235" s="147"/>
      <c r="B235" s="55"/>
      <c r="C235" s="24">
        <f t="shared" si="43"/>
        <v>1</v>
      </c>
      <c r="D235" s="643"/>
      <c r="E235" s="24">
        <f t="shared" si="44"/>
        <v>0</v>
      </c>
      <c r="F235" s="643"/>
      <c r="G235" s="24">
        <f t="shared" si="45"/>
        <v>0</v>
      </c>
      <c r="H235" s="643"/>
      <c r="I235" s="24">
        <f t="shared" si="46"/>
        <v>0.1</v>
      </c>
      <c r="J235" s="643"/>
      <c r="K235" s="24">
        <f t="shared" si="47"/>
        <v>1</v>
      </c>
      <c r="L235" s="643"/>
      <c r="M235" s="24">
        <f t="shared" si="48"/>
        <v>1</v>
      </c>
      <c r="N235" s="643"/>
      <c r="O235" s="24">
        <f t="shared" si="49"/>
        <v>1</v>
      </c>
      <c r="P235" s="643"/>
      <c r="Q235" s="24">
        <f t="shared" si="50"/>
        <v>1</v>
      </c>
      <c r="R235" s="24">
        <f t="shared" si="51"/>
        <v>0</v>
      </c>
      <c r="S235" s="314">
        <f t="shared" si="52"/>
        <v>0</v>
      </c>
    </row>
    <row r="236" spans="1:19">
      <c r="A236" s="147"/>
      <c r="B236" s="55"/>
      <c r="C236" s="24">
        <f t="shared" si="43"/>
        <v>1</v>
      </c>
      <c r="D236" s="643"/>
      <c r="E236" s="24">
        <f t="shared" si="44"/>
        <v>0</v>
      </c>
      <c r="F236" s="643"/>
      <c r="G236" s="24">
        <f t="shared" si="45"/>
        <v>0</v>
      </c>
      <c r="H236" s="643"/>
      <c r="I236" s="24">
        <f t="shared" si="46"/>
        <v>0.1</v>
      </c>
      <c r="J236" s="643"/>
      <c r="K236" s="24">
        <f t="shared" si="47"/>
        <v>1</v>
      </c>
      <c r="L236" s="643"/>
      <c r="M236" s="24">
        <f t="shared" si="48"/>
        <v>1</v>
      </c>
      <c r="N236" s="643"/>
      <c r="O236" s="24">
        <f t="shared" si="49"/>
        <v>1</v>
      </c>
      <c r="P236" s="643"/>
      <c r="Q236" s="24">
        <f t="shared" si="50"/>
        <v>1</v>
      </c>
      <c r="R236" s="24">
        <f t="shared" si="51"/>
        <v>0</v>
      </c>
      <c r="S236" s="314">
        <f t="shared" si="52"/>
        <v>0</v>
      </c>
    </row>
    <row r="237" spans="1:19">
      <c r="A237" s="147"/>
      <c r="B237" s="55"/>
      <c r="C237" s="24">
        <f t="shared" si="43"/>
        <v>1</v>
      </c>
      <c r="D237" s="643"/>
      <c r="E237" s="24">
        <f t="shared" si="44"/>
        <v>0</v>
      </c>
      <c r="F237" s="643"/>
      <c r="G237" s="24">
        <f t="shared" si="45"/>
        <v>0</v>
      </c>
      <c r="H237" s="643"/>
      <c r="I237" s="24">
        <f t="shared" si="46"/>
        <v>0.1</v>
      </c>
      <c r="J237" s="643"/>
      <c r="K237" s="24">
        <f t="shared" si="47"/>
        <v>1</v>
      </c>
      <c r="L237" s="643"/>
      <c r="M237" s="24">
        <f t="shared" si="48"/>
        <v>1</v>
      </c>
      <c r="N237" s="643"/>
      <c r="O237" s="24">
        <f t="shared" si="49"/>
        <v>1</v>
      </c>
      <c r="P237" s="643"/>
      <c r="Q237" s="24">
        <f t="shared" si="50"/>
        <v>1</v>
      </c>
      <c r="R237" s="24">
        <f t="shared" si="51"/>
        <v>0</v>
      </c>
      <c r="S237" s="314">
        <f t="shared" si="52"/>
        <v>0</v>
      </c>
    </row>
    <row r="238" spans="1:19">
      <c r="A238" s="147"/>
      <c r="B238" s="55"/>
      <c r="C238" s="24">
        <f t="shared" si="43"/>
        <v>1</v>
      </c>
      <c r="D238" s="643"/>
      <c r="E238" s="24">
        <f t="shared" si="44"/>
        <v>0</v>
      </c>
      <c r="F238" s="643"/>
      <c r="G238" s="24">
        <f t="shared" si="45"/>
        <v>0</v>
      </c>
      <c r="H238" s="643"/>
      <c r="I238" s="24">
        <f t="shared" si="46"/>
        <v>0.1</v>
      </c>
      <c r="J238" s="643"/>
      <c r="K238" s="24">
        <f t="shared" si="47"/>
        <v>1</v>
      </c>
      <c r="L238" s="643"/>
      <c r="M238" s="24">
        <f t="shared" si="48"/>
        <v>1</v>
      </c>
      <c r="N238" s="643"/>
      <c r="O238" s="24">
        <f t="shared" si="49"/>
        <v>1</v>
      </c>
      <c r="P238" s="643"/>
      <c r="Q238" s="24">
        <f t="shared" si="50"/>
        <v>1</v>
      </c>
      <c r="R238" s="24">
        <f t="shared" si="51"/>
        <v>0</v>
      </c>
      <c r="S238" s="314">
        <f t="shared" si="52"/>
        <v>0</v>
      </c>
    </row>
    <row r="239" spans="1:19">
      <c r="A239" s="147"/>
      <c r="B239" s="55"/>
      <c r="C239" s="24">
        <f t="shared" si="43"/>
        <v>1</v>
      </c>
      <c r="D239" s="643"/>
      <c r="E239" s="24">
        <f t="shared" si="44"/>
        <v>0</v>
      </c>
      <c r="F239" s="643"/>
      <c r="G239" s="24">
        <f t="shared" si="45"/>
        <v>0</v>
      </c>
      <c r="H239" s="643"/>
      <c r="I239" s="24">
        <f t="shared" si="46"/>
        <v>0.1</v>
      </c>
      <c r="J239" s="643"/>
      <c r="K239" s="24">
        <f t="shared" si="47"/>
        <v>1</v>
      </c>
      <c r="L239" s="643"/>
      <c r="M239" s="24">
        <f t="shared" si="48"/>
        <v>1</v>
      </c>
      <c r="N239" s="643"/>
      <c r="O239" s="24">
        <f t="shared" si="49"/>
        <v>1</v>
      </c>
      <c r="P239" s="643"/>
      <c r="Q239" s="24">
        <f t="shared" si="50"/>
        <v>1</v>
      </c>
      <c r="R239" s="24">
        <f t="shared" si="51"/>
        <v>0</v>
      </c>
      <c r="S239" s="314">
        <f t="shared" si="52"/>
        <v>0</v>
      </c>
    </row>
    <row r="240" spans="1:19">
      <c r="A240" s="147"/>
      <c r="B240" s="55"/>
      <c r="C240" s="24">
        <f t="shared" si="43"/>
        <v>1</v>
      </c>
      <c r="D240" s="643"/>
      <c r="E240" s="24">
        <f t="shared" si="44"/>
        <v>0</v>
      </c>
      <c r="F240" s="643"/>
      <c r="G240" s="24">
        <f t="shared" si="45"/>
        <v>0</v>
      </c>
      <c r="H240" s="643"/>
      <c r="I240" s="24">
        <f t="shared" si="46"/>
        <v>0.1</v>
      </c>
      <c r="J240" s="643"/>
      <c r="K240" s="24">
        <f t="shared" si="47"/>
        <v>1</v>
      </c>
      <c r="L240" s="643"/>
      <c r="M240" s="24">
        <f t="shared" si="48"/>
        <v>1</v>
      </c>
      <c r="N240" s="643"/>
      <c r="O240" s="24">
        <f t="shared" si="49"/>
        <v>1</v>
      </c>
      <c r="P240" s="643"/>
      <c r="Q240" s="24">
        <f t="shared" si="50"/>
        <v>1</v>
      </c>
      <c r="R240" s="24">
        <f t="shared" si="51"/>
        <v>0</v>
      </c>
      <c r="S240" s="314">
        <f t="shared" si="52"/>
        <v>0</v>
      </c>
    </row>
    <row r="241" spans="1:19">
      <c r="A241" s="147"/>
      <c r="B241" s="55"/>
      <c r="C241" s="24">
        <f t="shared" si="43"/>
        <v>1</v>
      </c>
      <c r="D241" s="643"/>
      <c r="E241" s="24">
        <f t="shared" si="44"/>
        <v>0</v>
      </c>
      <c r="F241" s="643"/>
      <c r="G241" s="24">
        <f t="shared" si="45"/>
        <v>0</v>
      </c>
      <c r="H241" s="643"/>
      <c r="I241" s="24">
        <f t="shared" si="46"/>
        <v>0.1</v>
      </c>
      <c r="J241" s="643"/>
      <c r="K241" s="24">
        <f t="shared" si="47"/>
        <v>1</v>
      </c>
      <c r="L241" s="643"/>
      <c r="M241" s="24">
        <f t="shared" si="48"/>
        <v>1</v>
      </c>
      <c r="N241" s="643"/>
      <c r="O241" s="24">
        <f t="shared" si="49"/>
        <v>1</v>
      </c>
      <c r="P241" s="643"/>
      <c r="Q241" s="24">
        <f t="shared" si="50"/>
        <v>1</v>
      </c>
      <c r="R241" s="24">
        <f t="shared" si="51"/>
        <v>0</v>
      </c>
      <c r="S241" s="314">
        <f t="shared" si="52"/>
        <v>0</v>
      </c>
    </row>
    <row r="242" spans="1:19">
      <c r="A242" s="147"/>
      <c r="B242" s="55"/>
      <c r="C242" s="24">
        <f t="shared" si="43"/>
        <v>1</v>
      </c>
      <c r="D242" s="643"/>
      <c r="E242" s="24">
        <f t="shared" si="44"/>
        <v>0</v>
      </c>
      <c r="F242" s="643"/>
      <c r="G242" s="24">
        <f t="shared" si="45"/>
        <v>0</v>
      </c>
      <c r="H242" s="643"/>
      <c r="I242" s="24">
        <f t="shared" si="46"/>
        <v>0.1</v>
      </c>
      <c r="J242" s="643"/>
      <c r="K242" s="24">
        <f t="shared" si="47"/>
        <v>1</v>
      </c>
      <c r="L242" s="643"/>
      <c r="M242" s="24">
        <f t="shared" si="48"/>
        <v>1</v>
      </c>
      <c r="N242" s="643"/>
      <c r="O242" s="24">
        <f t="shared" si="49"/>
        <v>1</v>
      </c>
      <c r="P242" s="643"/>
      <c r="Q242" s="24">
        <f t="shared" si="50"/>
        <v>1</v>
      </c>
      <c r="R242" s="24">
        <f t="shared" si="51"/>
        <v>0</v>
      </c>
      <c r="S242" s="314">
        <f t="shared" si="52"/>
        <v>0</v>
      </c>
    </row>
    <row r="243" spans="1:19">
      <c r="A243" s="147"/>
      <c r="B243" s="55"/>
      <c r="C243" s="24">
        <f t="shared" si="43"/>
        <v>1</v>
      </c>
      <c r="D243" s="643"/>
      <c r="E243" s="24">
        <f t="shared" si="44"/>
        <v>0</v>
      </c>
      <c r="F243" s="643"/>
      <c r="G243" s="24">
        <f t="shared" si="45"/>
        <v>0</v>
      </c>
      <c r="H243" s="643"/>
      <c r="I243" s="24">
        <f t="shared" si="46"/>
        <v>0.1</v>
      </c>
      <c r="J243" s="643"/>
      <c r="K243" s="24">
        <f t="shared" si="47"/>
        <v>1</v>
      </c>
      <c r="L243" s="643"/>
      <c r="M243" s="24">
        <f t="shared" si="48"/>
        <v>1</v>
      </c>
      <c r="N243" s="643"/>
      <c r="O243" s="24">
        <f t="shared" si="49"/>
        <v>1</v>
      </c>
      <c r="P243" s="643"/>
      <c r="Q243" s="24">
        <f t="shared" si="50"/>
        <v>1</v>
      </c>
      <c r="R243" s="24">
        <f t="shared" si="51"/>
        <v>0</v>
      </c>
      <c r="S243" s="314">
        <f t="shared" si="52"/>
        <v>0</v>
      </c>
    </row>
    <row r="244" spans="1:19">
      <c r="A244" s="147"/>
      <c r="B244" s="55"/>
      <c r="C244" s="24">
        <f t="shared" si="43"/>
        <v>1</v>
      </c>
      <c r="D244" s="643"/>
      <c r="E244" s="24">
        <f t="shared" si="44"/>
        <v>0</v>
      </c>
      <c r="F244" s="643"/>
      <c r="G244" s="24">
        <f t="shared" si="45"/>
        <v>0</v>
      </c>
      <c r="H244" s="643"/>
      <c r="I244" s="24">
        <f t="shared" si="46"/>
        <v>0.1</v>
      </c>
      <c r="J244" s="643"/>
      <c r="K244" s="24">
        <f t="shared" si="47"/>
        <v>1</v>
      </c>
      <c r="L244" s="643"/>
      <c r="M244" s="24">
        <f t="shared" si="48"/>
        <v>1</v>
      </c>
      <c r="N244" s="643"/>
      <c r="O244" s="24">
        <f t="shared" si="49"/>
        <v>1</v>
      </c>
      <c r="P244" s="643"/>
      <c r="Q244" s="24">
        <f t="shared" si="50"/>
        <v>1</v>
      </c>
      <c r="R244" s="24">
        <f t="shared" si="51"/>
        <v>0</v>
      </c>
      <c r="S244" s="314">
        <f t="shared" si="52"/>
        <v>0</v>
      </c>
    </row>
    <row r="245" spans="1:19">
      <c r="A245" s="147"/>
      <c r="B245" s="55"/>
      <c r="C245" s="24">
        <f t="shared" si="43"/>
        <v>1</v>
      </c>
      <c r="D245" s="643"/>
      <c r="E245" s="24">
        <f t="shared" si="44"/>
        <v>0</v>
      </c>
      <c r="F245" s="643"/>
      <c r="G245" s="24">
        <f t="shared" si="45"/>
        <v>0</v>
      </c>
      <c r="H245" s="643"/>
      <c r="I245" s="24">
        <f t="shared" si="46"/>
        <v>0.1</v>
      </c>
      <c r="J245" s="643"/>
      <c r="K245" s="24">
        <f t="shared" si="47"/>
        <v>1</v>
      </c>
      <c r="L245" s="643"/>
      <c r="M245" s="24">
        <f t="shared" si="48"/>
        <v>1</v>
      </c>
      <c r="N245" s="643"/>
      <c r="O245" s="24">
        <f t="shared" si="49"/>
        <v>1</v>
      </c>
      <c r="P245" s="643"/>
      <c r="Q245" s="24">
        <f t="shared" si="50"/>
        <v>1</v>
      </c>
      <c r="R245" s="24">
        <f t="shared" si="51"/>
        <v>0</v>
      </c>
      <c r="S245" s="314">
        <f t="shared" si="52"/>
        <v>0</v>
      </c>
    </row>
    <row r="246" spans="1:19">
      <c r="A246" s="147"/>
      <c r="B246" s="55"/>
      <c r="C246" s="24">
        <f t="shared" si="43"/>
        <v>1</v>
      </c>
      <c r="D246" s="643"/>
      <c r="E246" s="24">
        <f t="shared" si="44"/>
        <v>0</v>
      </c>
      <c r="F246" s="643"/>
      <c r="G246" s="24">
        <f t="shared" si="45"/>
        <v>0</v>
      </c>
      <c r="H246" s="643"/>
      <c r="I246" s="24">
        <f t="shared" si="46"/>
        <v>0.1</v>
      </c>
      <c r="J246" s="643"/>
      <c r="K246" s="24">
        <f t="shared" si="47"/>
        <v>1</v>
      </c>
      <c r="L246" s="643"/>
      <c r="M246" s="24">
        <f t="shared" si="48"/>
        <v>1</v>
      </c>
      <c r="N246" s="643"/>
      <c r="O246" s="24">
        <f t="shared" si="49"/>
        <v>1</v>
      </c>
      <c r="P246" s="643"/>
      <c r="Q246" s="24">
        <f t="shared" si="50"/>
        <v>1</v>
      </c>
      <c r="R246" s="24">
        <f t="shared" si="51"/>
        <v>0</v>
      </c>
      <c r="S246" s="314">
        <f t="shared" si="52"/>
        <v>0</v>
      </c>
    </row>
    <row r="247" spans="1:19">
      <c r="A247" s="147"/>
      <c r="B247" s="55"/>
      <c r="C247" s="24">
        <f t="shared" si="43"/>
        <v>1</v>
      </c>
      <c r="D247" s="643"/>
      <c r="E247" s="24">
        <f t="shared" si="44"/>
        <v>0</v>
      </c>
      <c r="F247" s="643"/>
      <c r="G247" s="24">
        <f t="shared" si="45"/>
        <v>0</v>
      </c>
      <c r="H247" s="643"/>
      <c r="I247" s="24">
        <f t="shared" si="46"/>
        <v>0.1</v>
      </c>
      <c r="J247" s="643"/>
      <c r="K247" s="24">
        <f t="shared" si="47"/>
        <v>1</v>
      </c>
      <c r="L247" s="643"/>
      <c r="M247" s="24">
        <f t="shared" si="48"/>
        <v>1</v>
      </c>
      <c r="N247" s="643"/>
      <c r="O247" s="24">
        <f t="shared" si="49"/>
        <v>1</v>
      </c>
      <c r="P247" s="643"/>
      <c r="Q247" s="24">
        <f t="shared" si="50"/>
        <v>1</v>
      </c>
      <c r="R247" s="24">
        <f t="shared" si="51"/>
        <v>0</v>
      </c>
      <c r="S247" s="314">
        <f t="shared" si="52"/>
        <v>0</v>
      </c>
    </row>
    <row r="248" spans="1:19">
      <c r="A248" s="147"/>
      <c r="B248" s="55"/>
      <c r="C248" s="24">
        <f t="shared" si="43"/>
        <v>1</v>
      </c>
      <c r="D248" s="643"/>
      <c r="E248" s="24">
        <f t="shared" si="44"/>
        <v>0</v>
      </c>
      <c r="F248" s="643"/>
      <c r="G248" s="24">
        <f t="shared" si="45"/>
        <v>0</v>
      </c>
      <c r="H248" s="643"/>
      <c r="I248" s="24">
        <f t="shared" si="46"/>
        <v>0.1</v>
      </c>
      <c r="J248" s="643"/>
      <c r="K248" s="24">
        <f t="shared" si="47"/>
        <v>1</v>
      </c>
      <c r="L248" s="643"/>
      <c r="M248" s="24">
        <f t="shared" si="48"/>
        <v>1</v>
      </c>
      <c r="N248" s="643"/>
      <c r="O248" s="24">
        <f t="shared" si="49"/>
        <v>1</v>
      </c>
      <c r="P248" s="643"/>
      <c r="Q248" s="24">
        <f t="shared" si="50"/>
        <v>1</v>
      </c>
      <c r="R248" s="24">
        <f t="shared" si="51"/>
        <v>0</v>
      </c>
      <c r="S248" s="314">
        <f t="shared" si="52"/>
        <v>0</v>
      </c>
    </row>
    <row r="249" spans="1:19">
      <c r="A249" s="147"/>
      <c r="B249" s="55"/>
      <c r="C249" s="24">
        <f t="shared" si="43"/>
        <v>1</v>
      </c>
      <c r="D249" s="643"/>
      <c r="E249" s="24">
        <f t="shared" si="44"/>
        <v>0</v>
      </c>
      <c r="F249" s="643"/>
      <c r="G249" s="24">
        <f t="shared" si="45"/>
        <v>0</v>
      </c>
      <c r="H249" s="643"/>
      <c r="I249" s="24">
        <f t="shared" si="46"/>
        <v>0.1</v>
      </c>
      <c r="J249" s="643"/>
      <c r="K249" s="24">
        <f t="shared" si="47"/>
        <v>1</v>
      </c>
      <c r="L249" s="643"/>
      <c r="M249" s="24">
        <f t="shared" si="48"/>
        <v>1</v>
      </c>
      <c r="N249" s="643"/>
      <c r="O249" s="24">
        <f t="shared" si="49"/>
        <v>1</v>
      </c>
      <c r="P249" s="643"/>
      <c r="Q249" s="24">
        <f t="shared" si="50"/>
        <v>1</v>
      </c>
      <c r="R249" s="24">
        <f t="shared" si="51"/>
        <v>0</v>
      </c>
      <c r="S249" s="314">
        <f t="shared" si="52"/>
        <v>0</v>
      </c>
    </row>
    <row r="250" spans="1:19">
      <c r="A250" s="147"/>
      <c r="B250" s="55"/>
      <c r="C250" s="24">
        <f t="shared" si="43"/>
        <v>1</v>
      </c>
      <c r="D250" s="643"/>
      <c r="E250" s="24">
        <f t="shared" si="44"/>
        <v>0</v>
      </c>
      <c r="F250" s="643"/>
      <c r="G250" s="24">
        <f t="shared" si="45"/>
        <v>0</v>
      </c>
      <c r="H250" s="643"/>
      <c r="I250" s="24">
        <f t="shared" si="46"/>
        <v>0.1</v>
      </c>
      <c r="J250" s="643"/>
      <c r="K250" s="24">
        <f t="shared" si="47"/>
        <v>1</v>
      </c>
      <c r="L250" s="643"/>
      <c r="M250" s="24">
        <f t="shared" si="48"/>
        <v>1</v>
      </c>
      <c r="N250" s="643"/>
      <c r="O250" s="24">
        <f t="shared" si="49"/>
        <v>1</v>
      </c>
      <c r="P250" s="643"/>
      <c r="Q250" s="24">
        <f t="shared" si="50"/>
        <v>1</v>
      </c>
      <c r="R250" s="24">
        <f t="shared" si="51"/>
        <v>0</v>
      </c>
      <c r="S250" s="314">
        <f t="shared" si="52"/>
        <v>0</v>
      </c>
    </row>
    <row r="251" spans="1:19">
      <c r="A251" s="147"/>
      <c r="B251" s="55"/>
      <c r="C251" s="24">
        <f t="shared" si="43"/>
        <v>1</v>
      </c>
      <c r="D251" s="643"/>
      <c r="E251" s="24">
        <f t="shared" si="44"/>
        <v>0</v>
      </c>
      <c r="F251" s="643"/>
      <c r="G251" s="24">
        <f t="shared" si="45"/>
        <v>0</v>
      </c>
      <c r="H251" s="643"/>
      <c r="I251" s="24">
        <f t="shared" si="46"/>
        <v>0.1</v>
      </c>
      <c r="J251" s="643"/>
      <c r="K251" s="24">
        <f t="shared" si="47"/>
        <v>1</v>
      </c>
      <c r="L251" s="643"/>
      <c r="M251" s="24">
        <f t="shared" si="48"/>
        <v>1</v>
      </c>
      <c r="N251" s="643"/>
      <c r="O251" s="24">
        <f t="shared" si="49"/>
        <v>1</v>
      </c>
      <c r="P251" s="643"/>
      <c r="Q251" s="24">
        <f t="shared" si="50"/>
        <v>1</v>
      </c>
      <c r="R251" s="24">
        <f t="shared" si="51"/>
        <v>0</v>
      </c>
      <c r="S251" s="314">
        <f t="shared" si="52"/>
        <v>0</v>
      </c>
    </row>
    <row r="252" spans="1:19">
      <c r="A252" s="147"/>
      <c r="B252" s="55"/>
      <c r="C252" s="24">
        <f t="shared" si="43"/>
        <v>1</v>
      </c>
      <c r="D252" s="643"/>
      <c r="E252" s="24">
        <f t="shared" si="44"/>
        <v>0</v>
      </c>
      <c r="F252" s="643"/>
      <c r="G252" s="24">
        <f t="shared" si="45"/>
        <v>0</v>
      </c>
      <c r="H252" s="643"/>
      <c r="I252" s="24">
        <f t="shared" si="46"/>
        <v>0.1</v>
      </c>
      <c r="J252" s="643"/>
      <c r="K252" s="24">
        <f t="shared" si="47"/>
        <v>1</v>
      </c>
      <c r="L252" s="643"/>
      <c r="M252" s="24">
        <f t="shared" si="48"/>
        <v>1</v>
      </c>
      <c r="N252" s="643"/>
      <c r="O252" s="24">
        <f t="shared" si="49"/>
        <v>1</v>
      </c>
      <c r="P252" s="643"/>
      <c r="Q252" s="24">
        <f t="shared" si="50"/>
        <v>1</v>
      </c>
      <c r="R252" s="24">
        <f t="shared" si="51"/>
        <v>0</v>
      </c>
      <c r="S252" s="314">
        <f t="shared" si="52"/>
        <v>0</v>
      </c>
    </row>
    <row r="253" spans="1:19">
      <c r="A253" s="147"/>
      <c r="B253" s="55"/>
      <c r="C253" s="24">
        <f t="shared" si="43"/>
        <v>1</v>
      </c>
      <c r="D253" s="643"/>
      <c r="E253" s="24">
        <f t="shared" si="44"/>
        <v>0</v>
      </c>
      <c r="F253" s="643"/>
      <c r="G253" s="24">
        <f t="shared" si="45"/>
        <v>0</v>
      </c>
      <c r="H253" s="643"/>
      <c r="I253" s="24">
        <f t="shared" si="46"/>
        <v>0.1</v>
      </c>
      <c r="J253" s="643"/>
      <c r="K253" s="24">
        <f t="shared" si="47"/>
        <v>1</v>
      </c>
      <c r="L253" s="643"/>
      <c r="M253" s="24">
        <f t="shared" si="48"/>
        <v>1</v>
      </c>
      <c r="N253" s="643"/>
      <c r="O253" s="24">
        <f t="shared" si="49"/>
        <v>1</v>
      </c>
      <c r="P253" s="643"/>
      <c r="Q253" s="24">
        <f t="shared" si="50"/>
        <v>1</v>
      </c>
      <c r="R253" s="24">
        <f t="shared" si="51"/>
        <v>0</v>
      </c>
      <c r="S253" s="314">
        <f t="shared" si="52"/>
        <v>0</v>
      </c>
    </row>
    <row r="254" spans="1:19">
      <c r="A254" s="147"/>
      <c r="B254" s="55"/>
      <c r="C254" s="24">
        <f t="shared" si="43"/>
        <v>1</v>
      </c>
      <c r="D254" s="643"/>
      <c r="E254" s="24">
        <f t="shared" si="44"/>
        <v>0</v>
      </c>
      <c r="F254" s="643"/>
      <c r="G254" s="24">
        <f t="shared" si="45"/>
        <v>0</v>
      </c>
      <c r="H254" s="643"/>
      <c r="I254" s="24">
        <f t="shared" si="46"/>
        <v>0.1</v>
      </c>
      <c r="J254" s="643"/>
      <c r="K254" s="24">
        <f t="shared" si="47"/>
        <v>1</v>
      </c>
      <c r="L254" s="643"/>
      <c r="M254" s="24">
        <f t="shared" si="48"/>
        <v>1</v>
      </c>
      <c r="N254" s="643"/>
      <c r="O254" s="24">
        <f t="shared" si="49"/>
        <v>1</v>
      </c>
      <c r="P254" s="643"/>
      <c r="Q254" s="24">
        <f t="shared" si="50"/>
        <v>1</v>
      </c>
      <c r="R254" s="24">
        <f t="shared" si="51"/>
        <v>0</v>
      </c>
      <c r="S254" s="314">
        <f t="shared" si="52"/>
        <v>0</v>
      </c>
    </row>
    <row r="255" spans="1:19">
      <c r="A255" s="147"/>
      <c r="B255" s="55"/>
      <c r="C255" s="24">
        <f t="shared" si="43"/>
        <v>1</v>
      </c>
      <c r="D255" s="643"/>
      <c r="E255" s="24">
        <f t="shared" si="44"/>
        <v>0</v>
      </c>
      <c r="F255" s="643"/>
      <c r="G255" s="24">
        <f t="shared" si="45"/>
        <v>0</v>
      </c>
      <c r="H255" s="643"/>
      <c r="I255" s="24">
        <f t="shared" si="46"/>
        <v>0.1</v>
      </c>
      <c r="J255" s="643"/>
      <c r="K255" s="24">
        <f t="shared" si="47"/>
        <v>1</v>
      </c>
      <c r="L255" s="643"/>
      <c r="M255" s="24">
        <f t="shared" si="48"/>
        <v>1</v>
      </c>
      <c r="N255" s="643"/>
      <c r="O255" s="24">
        <f t="shared" si="49"/>
        <v>1</v>
      </c>
      <c r="P255" s="643"/>
      <c r="Q255" s="24">
        <f t="shared" si="50"/>
        <v>1</v>
      </c>
      <c r="R255" s="24">
        <f t="shared" si="51"/>
        <v>0</v>
      </c>
      <c r="S255" s="314">
        <f t="shared" si="52"/>
        <v>0</v>
      </c>
    </row>
    <row r="256" spans="1:19">
      <c r="A256" s="147"/>
      <c r="B256" s="55"/>
      <c r="C256" s="24">
        <f t="shared" si="43"/>
        <v>1</v>
      </c>
      <c r="D256" s="643"/>
      <c r="E256" s="24">
        <f t="shared" si="44"/>
        <v>0</v>
      </c>
      <c r="F256" s="643"/>
      <c r="G256" s="24">
        <f t="shared" si="45"/>
        <v>0</v>
      </c>
      <c r="H256" s="643"/>
      <c r="I256" s="24">
        <f t="shared" si="46"/>
        <v>0.1</v>
      </c>
      <c r="J256" s="643"/>
      <c r="K256" s="24">
        <f t="shared" si="47"/>
        <v>1</v>
      </c>
      <c r="L256" s="643"/>
      <c r="M256" s="24">
        <f t="shared" si="48"/>
        <v>1</v>
      </c>
      <c r="N256" s="643"/>
      <c r="O256" s="24">
        <f t="shared" si="49"/>
        <v>1</v>
      </c>
      <c r="P256" s="643"/>
      <c r="Q256" s="24">
        <f t="shared" si="50"/>
        <v>1</v>
      </c>
      <c r="R256" s="24">
        <f t="shared" si="51"/>
        <v>0</v>
      </c>
      <c r="S256" s="314">
        <f t="shared" si="52"/>
        <v>0</v>
      </c>
    </row>
    <row r="257" spans="1:19">
      <c r="A257" s="147"/>
      <c r="B257" s="55"/>
      <c r="C257" s="24">
        <f t="shared" si="43"/>
        <v>1</v>
      </c>
      <c r="D257" s="643"/>
      <c r="E257" s="24">
        <f t="shared" si="44"/>
        <v>0</v>
      </c>
      <c r="F257" s="643"/>
      <c r="G257" s="24">
        <f t="shared" si="45"/>
        <v>0</v>
      </c>
      <c r="H257" s="643"/>
      <c r="I257" s="24">
        <f t="shared" si="46"/>
        <v>0.1</v>
      </c>
      <c r="J257" s="643"/>
      <c r="K257" s="24">
        <f t="shared" si="47"/>
        <v>1</v>
      </c>
      <c r="L257" s="643"/>
      <c r="M257" s="24">
        <f t="shared" si="48"/>
        <v>1</v>
      </c>
      <c r="N257" s="643"/>
      <c r="O257" s="24">
        <f t="shared" si="49"/>
        <v>1</v>
      </c>
      <c r="P257" s="643"/>
      <c r="Q257" s="24">
        <f t="shared" si="50"/>
        <v>1</v>
      </c>
      <c r="R257" s="24">
        <f t="shared" si="51"/>
        <v>0</v>
      </c>
      <c r="S257" s="314">
        <f t="shared" si="52"/>
        <v>0</v>
      </c>
    </row>
    <row r="258" spans="1:19">
      <c r="A258" s="147"/>
      <c r="B258" s="55"/>
      <c r="C258" s="24">
        <f t="shared" si="43"/>
        <v>1</v>
      </c>
      <c r="D258" s="643"/>
      <c r="E258" s="24">
        <f t="shared" si="44"/>
        <v>0</v>
      </c>
      <c r="F258" s="643"/>
      <c r="G258" s="24">
        <f t="shared" si="45"/>
        <v>0</v>
      </c>
      <c r="H258" s="643"/>
      <c r="I258" s="24">
        <f t="shared" si="46"/>
        <v>0.1</v>
      </c>
      <c r="J258" s="643"/>
      <c r="K258" s="24">
        <f t="shared" si="47"/>
        <v>1</v>
      </c>
      <c r="L258" s="643"/>
      <c r="M258" s="24">
        <f t="shared" si="48"/>
        <v>1</v>
      </c>
      <c r="N258" s="643"/>
      <c r="O258" s="24">
        <f t="shared" si="49"/>
        <v>1</v>
      </c>
      <c r="P258" s="643"/>
      <c r="Q258" s="24">
        <f t="shared" si="50"/>
        <v>1</v>
      </c>
      <c r="R258" s="24">
        <f t="shared" si="51"/>
        <v>0</v>
      </c>
      <c r="S258" s="314">
        <f t="shared" si="52"/>
        <v>0</v>
      </c>
    </row>
    <row r="259" spans="1:19">
      <c r="A259" s="147"/>
      <c r="B259" s="55"/>
      <c r="C259" s="24">
        <f t="shared" si="43"/>
        <v>1</v>
      </c>
      <c r="D259" s="643"/>
      <c r="E259" s="24">
        <f t="shared" si="44"/>
        <v>0</v>
      </c>
      <c r="F259" s="643"/>
      <c r="G259" s="24">
        <f t="shared" si="45"/>
        <v>0</v>
      </c>
      <c r="H259" s="643"/>
      <c r="I259" s="24">
        <f t="shared" si="46"/>
        <v>0.1</v>
      </c>
      <c r="J259" s="643"/>
      <c r="K259" s="24">
        <f t="shared" si="47"/>
        <v>1</v>
      </c>
      <c r="L259" s="643"/>
      <c r="M259" s="24">
        <f t="shared" si="48"/>
        <v>1</v>
      </c>
      <c r="N259" s="643"/>
      <c r="O259" s="24">
        <f t="shared" si="49"/>
        <v>1</v>
      </c>
      <c r="P259" s="643"/>
      <c r="Q259" s="24">
        <f t="shared" si="50"/>
        <v>1</v>
      </c>
      <c r="R259" s="24">
        <f t="shared" si="51"/>
        <v>0</v>
      </c>
      <c r="S259" s="314">
        <f t="shared" si="52"/>
        <v>0</v>
      </c>
    </row>
    <row r="260" spans="1:19">
      <c r="A260" s="147"/>
      <c r="B260" s="55"/>
      <c r="C260" s="24">
        <f t="shared" si="43"/>
        <v>1</v>
      </c>
      <c r="D260" s="643"/>
      <c r="E260" s="24">
        <f t="shared" si="44"/>
        <v>0</v>
      </c>
      <c r="F260" s="643"/>
      <c r="G260" s="24">
        <f t="shared" si="45"/>
        <v>0</v>
      </c>
      <c r="H260" s="643"/>
      <c r="I260" s="24">
        <f t="shared" si="46"/>
        <v>0.1</v>
      </c>
      <c r="J260" s="643"/>
      <c r="K260" s="24">
        <f t="shared" si="47"/>
        <v>1</v>
      </c>
      <c r="L260" s="643"/>
      <c r="M260" s="24">
        <f t="shared" si="48"/>
        <v>1</v>
      </c>
      <c r="N260" s="643"/>
      <c r="O260" s="24">
        <f t="shared" si="49"/>
        <v>1</v>
      </c>
      <c r="P260" s="643"/>
      <c r="Q260" s="24">
        <f t="shared" si="50"/>
        <v>1</v>
      </c>
      <c r="R260" s="24">
        <f t="shared" si="51"/>
        <v>0</v>
      </c>
      <c r="S260" s="314">
        <f t="shared" si="52"/>
        <v>0</v>
      </c>
    </row>
    <row r="261" spans="1:19">
      <c r="A261" s="147"/>
      <c r="B261" s="55"/>
      <c r="C261" s="24">
        <f t="shared" si="43"/>
        <v>1</v>
      </c>
      <c r="D261" s="643"/>
      <c r="E261" s="24">
        <f t="shared" si="44"/>
        <v>0</v>
      </c>
      <c r="F261" s="643"/>
      <c r="G261" s="24">
        <f t="shared" si="45"/>
        <v>0</v>
      </c>
      <c r="H261" s="643"/>
      <c r="I261" s="24">
        <f t="shared" si="46"/>
        <v>0.1</v>
      </c>
      <c r="J261" s="643"/>
      <c r="K261" s="24">
        <f t="shared" si="47"/>
        <v>1</v>
      </c>
      <c r="L261" s="643"/>
      <c r="M261" s="24">
        <f t="shared" si="48"/>
        <v>1</v>
      </c>
      <c r="N261" s="643"/>
      <c r="O261" s="24">
        <f t="shared" si="49"/>
        <v>1</v>
      </c>
      <c r="P261" s="643"/>
      <c r="Q261" s="24">
        <f t="shared" si="50"/>
        <v>1</v>
      </c>
      <c r="R261" s="24">
        <f t="shared" si="51"/>
        <v>0</v>
      </c>
      <c r="S261" s="314">
        <f t="shared" si="52"/>
        <v>0</v>
      </c>
    </row>
    <row r="262" spans="1:19">
      <c r="A262" s="147"/>
      <c r="B262" s="55"/>
      <c r="C262" s="24">
        <f t="shared" si="43"/>
        <v>1</v>
      </c>
      <c r="D262" s="643"/>
      <c r="E262" s="24">
        <f t="shared" si="44"/>
        <v>0</v>
      </c>
      <c r="F262" s="643"/>
      <c r="G262" s="24">
        <f t="shared" si="45"/>
        <v>0</v>
      </c>
      <c r="H262" s="643"/>
      <c r="I262" s="24">
        <f t="shared" si="46"/>
        <v>0.1</v>
      </c>
      <c r="J262" s="643"/>
      <c r="K262" s="24">
        <f t="shared" si="47"/>
        <v>1</v>
      </c>
      <c r="L262" s="643"/>
      <c r="M262" s="24">
        <f t="shared" si="48"/>
        <v>1</v>
      </c>
      <c r="N262" s="643"/>
      <c r="O262" s="24">
        <f t="shared" si="49"/>
        <v>1</v>
      </c>
      <c r="P262" s="643"/>
      <c r="Q262" s="24">
        <f t="shared" si="50"/>
        <v>1</v>
      </c>
      <c r="R262" s="24">
        <f t="shared" si="51"/>
        <v>0</v>
      </c>
      <c r="S262" s="314">
        <f t="shared" si="52"/>
        <v>0</v>
      </c>
    </row>
    <row r="263" spans="1:19">
      <c r="A263" s="147"/>
      <c r="B263" s="55"/>
      <c r="C263" s="24">
        <f t="shared" si="43"/>
        <v>1</v>
      </c>
      <c r="D263" s="643"/>
      <c r="E263" s="24">
        <f t="shared" si="44"/>
        <v>0</v>
      </c>
      <c r="F263" s="643"/>
      <c r="G263" s="24">
        <f t="shared" si="45"/>
        <v>0</v>
      </c>
      <c r="H263" s="643"/>
      <c r="I263" s="24">
        <f t="shared" si="46"/>
        <v>0.1</v>
      </c>
      <c r="J263" s="643"/>
      <c r="K263" s="24">
        <f t="shared" si="47"/>
        <v>1</v>
      </c>
      <c r="L263" s="643"/>
      <c r="M263" s="24">
        <f t="shared" si="48"/>
        <v>1</v>
      </c>
      <c r="N263" s="643"/>
      <c r="O263" s="24">
        <f t="shared" si="49"/>
        <v>1</v>
      </c>
      <c r="P263" s="643"/>
      <c r="Q263" s="24">
        <f t="shared" si="50"/>
        <v>1</v>
      </c>
      <c r="R263" s="24">
        <f t="shared" si="51"/>
        <v>0</v>
      </c>
      <c r="S263" s="314">
        <f t="shared" si="52"/>
        <v>0</v>
      </c>
    </row>
    <row r="264" spans="1:19">
      <c r="A264" s="147"/>
      <c r="B264" s="55"/>
      <c r="C264" s="24">
        <f t="shared" si="43"/>
        <v>1</v>
      </c>
      <c r="D264" s="643"/>
      <c r="E264" s="24">
        <f t="shared" si="44"/>
        <v>0</v>
      </c>
      <c r="F264" s="643"/>
      <c r="G264" s="24">
        <f t="shared" si="45"/>
        <v>0</v>
      </c>
      <c r="H264" s="643"/>
      <c r="I264" s="24">
        <f t="shared" si="46"/>
        <v>0.1</v>
      </c>
      <c r="J264" s="643"/>
      <c r="K264" s="24">
        <f t="shared" si="47"/>
        <v>1</v>
      </c>
      <c r="L264" s="643"/>
      <c r="M264" s="24">
        <f t="shared" si="48"/>
        <v>1</v>
      </c>
      <c r="N264" s="643"/>
      <c r="O264" s="24">
        <f t="shared" si="49"/>
        <v>1</v>
      </c>
      <c r="P264" s="643"/>
      <c r="Q264" s="24">
        <f t="shared" si="50"/>
        <v>1</v>
      </c>
      <c r="R264" s="24">
        <f t="shared" si="51"/>
        <v>0</v>
      </c>
      <c r="S264" s="314">
        <f t="shared" si="52"/>
        <v>0</v>
      </c>
    </row>
    <row r="265" spans="1:19">
      <c r="A265" s="147"/>
      <c r="B265" s="55"/>
      <c r="C265" s="24">
        <f t="shared" si="43"/>
        <v>1</v>
      </c>
      <c r="D265" s="643"/>
      <c r="E265" s="24">
        <f t="shared" si="44"/>
        <v>0</v>
      </c>
      <c r="F265" s="643"/>
      <c r="G265" s="24">
        <f t="shared" si="45"/>
        <v>0</v>
      </c>
      <c r="H265" s="643"/>
      <c r="I265" s="24">
        <f t="shared" si="46"/>
        <v>0.1</v>
      </c>
      <c r="J265" s="643"/>
      <c r="K265" s="24">
        <f t="shared" si="47"/>
        <v>1</v>
      </c>
      <c r="L265" s="643"/>
      <c r="M265" s="24">
        <f t="shared" si="48"/>
        <v>1</v>
      </c>
      <c r="N265" s="643"/>
      <c r="O265" s="24">
        <f t="shared" si="49"/>
        <v>1</v>
      </c>
      <c r="P265" s="643"/>
      <c r="Q265" s="24">
        <f t="shared" si="50"/>
        <v>1</v>
      </c>
      <c r="R265" s="24">
        <f t="shared" si="51"/>
        <v>0</v>
      </c>
      <c r="S265" s="314">
        <f t="shared" si="52"/>
        <v>0</v>
      </c>
    </row>
    <row r="266" spans="1:19">
      <c r="A266" s="147"/>
      <c r="B266" s="55"/>
      <c r="C266" s="24">
        <f t="shared" si="43"/>
        <v>1</v>
      </c>
      <c r="D266" s="643"/>
      <c r="E266" s="24">
        <f t="shared" si="44"/>
        <v>0</v>
      </c>
      <c r="F266" s="643"/>
      <c r="G266" s="24">
        <f t="shared" si="45"/>
        <v>0</v>
      </c>
      <c r="H266" s="643"/>
      <c r="I266" s="24">
        <f t="shared" si="46"/>
        <v>0.1</v>
      </c>
      <c r="J266" s="643"/>
      <c r="K266" s="24">
        <f t="shared" si="47"/>
        <v>1</v>
      </c>
      <c r="L266" s="643"/>
      <c r="M266" s="24">
        <f t="shared" si="48"/>
        <v>1</v>
      </c>
      <c r="N266" s="643"/>
      <c r="O266" s="24">
        <f t="shared" si="49"/>
        <v>1</v>
      </c>
      <c r="P266" s="643"/>
      <c r="Q266" s="24">
        <f t="shared" si="50"/>
        <v>1</v>
      </c>
      <c r="R266" s="24">
        <f t="shared" si="51"/>
        <v>0</v>
      </c>
      <c r="S266" s="314">
        <f t="shared" si="52"/>
        <v>0</v>
      </c>
    </row>
    <row r="267" spans="1:19">
      <c r="A267" s="147"/>
      <c r="B267" s="55"/>
      <c r="C267" s="24">
        <f t="shared" si="43"/>
        <v>1</v>
      </c>
      <c r="D267" s="643"/>
      <c r="E267" s="24">
        <f t="shared" si="44"/>
        <v>0</v>
      </c>
      <c r="F267" s="643"/>
      <c r="G267" s="24">
        <f t="shared" si="45"/>
        <v>0</v>
      </c>
      <c r="H267" s="643"/>
      <c r="I267" s="24">
        <f t="shared" si="46"/>
        <v>0.1</v>
      </c>
      <c r="J267" s="643"/>
      <c r="K267" s="24">
        <f t="shared" si="47"/>
        <v>1</v>
      </c>
      <c r="L267" s="643"/>
      <c r="M267" s="24">
        <f t="shared" si="48"/>
        <v>1</v>
      </c>
      <c r="N267" s="643"/>
      <c r="O267" s="24">
        <f t="shared" si="49"/>
        <v>1</v>
      </c>
      <c r="P267" s="643"/>
      <c r="Q267" s="24">
        <f t="shared" si="50"/>
        <v>1</v>
      </c>
      <c r="R267" s="24">
        <f t="shared" si="51"/>
        <v>0</v>
      </c>
      <c r="S267" s="314">
        <f t="shared" si="52"/>
        <v>0</v>
      </c>
    </row>
    <row r="268" spans="1:19">
      <c r="A268" s="147"/>
      <c r="B268" s="55"/>
      <c r="C268" s="24">
        <f t="shared" si="43"/>
        <v>1</v>
      </c>
      <c r="D268" s="643"/>
      <c r="E268" s="24">
        <f t="shared" si="44"/>
        <v>0</v>
      </c>
      <c r="F268" s="643"/>
      <c r="G268" s="24">
        <f t="shared" si="45"/>
        <v>0</v>
      </c>
      <c r="H268" s="643"/>
      <c r="I268" s="24">
        <f t="shared" si="46"/>
        <v>0.1</v>
      </c>
      <c r="J268" s="643"/>
      <c r="K268" s="24">
        <f t="shared" si="47"/>
        <v>1</v>
      </c>
      <c r="L268" s="643"/>
      <c r="M268" s="24">
        <f t="shared" si="48"/>
        <v>1</v>
      </c>
      <c r="N268" s="643"/>
      <c r="O268" s="24">
        <f t="shared" si="49"/>
        <v>1</v>
      </c>
      <c r="P268" s="643"/>
      <c r="Q268" s="24">
        <f t="shared" si="50"/>
        <v>1</v>
      </c>
      <c r="R268" s="24">
        <f t="shared" si="51"/>
        <v>0</v>
      </c>
      <c r="S268" s="314">
        <f t="shared" si="52"/>
        <v>0</v>
      </c>
    </row>
    <row r="269" spans="1:19">
      <c r="A269" s="147"/>
      <c r="B269" s="55"/>
      <c r="C269" s="24">
        <f t="shared" si="43"/>
        <v>1</v>
      </c>
      <c r="D269" s="643"/>
      <c r="E269" s="24">
        <f t="shared" si="44"/>
        <v>0</v>
      </c>
      <c r="F269" s="643"/>
      <c r="G269" s="24">
        <f t="shared" si="45"/>
        <v>0</v>
      </c>
      <c r="H269" s="643"/>
      <c r="I269" s="24">
        <f t="shared" si="46"/>
        <v>0.1</v>
      </c>
      <c r="J269" s="643"/>
      <c r="K269" s="24">
        <f t="shared" si="47"/>
        <v>1</v>
      </c>
      <c r="L269" s="643"/>
      <c r="M269" s="24">
        <f t="shared" si="48"/>
        <v>1</v>
      </c>
      <c r="N269" s="643"/>
      <c r="O269" s="24">
        <f t="shared" si="49"/>
        <v>1</v>
      </c>
      <c r="P269" s="643"/>
      <c r="Q269" s="24">
        <f t="shared" si="50"/>
        <v>1</v>
      </c>
      <c r="R269" s="24">
        <f t="shared" si="51"/>
        <v>0</v>
      </c>
      <c r="S269" s="314">
        <f t="shared" si="52"/>
        <v>0</v>
      </c>
    </row>
    <row r="270" spans="1:19">
      <c r="A270" s="147"/>
      <c r="B270" s="55"/>
      <c r="C270" s="24">
        <f t="shared" si="43"/>
        <v>1</v>
      </c>
      <c r="D270" s="643"/>
      <c r="E270" s="24">
        <f t="shared" si="44"/>
        <v>0</v>
      </c>
      <c r="F270" s="643"/>
      <c r="G270" s="24">
        <f t="shared" si="45"/>
        <v>0</v>
      </c>
      <c r="H270" s="643"/>
      <c r="I270" s="24">
        <f t="shared" si="46"/>
        <v>0.1</v>
      </c>
      <c r="J270" s="643"/>
      <c r="K270" s="24">
        <f t="shared" si="47"/>
        <v>1</v>
      </c>
      <c r="L270" s="643"/>
      <c r="M270" s="24">
        <f t="shared" si="48"/>
        <v>1</v>
      </c>
      <c r="N270" s="643"/>
      <c r="O270" s="24">
        <f t="shared" si="49"/>
        <v>1</v>
      </c>
      <c r="P270" s="643"/>
      <c r="Q270" s="24">
        <f t="shared" si="50"/>
        <v>1</v>
      </c>
      <c r="R270" s="24">
        <f t="shared" si="51"/>
        <v>0</v>
      </c>
      <c r="S270" s="314">
        <f t="shared" si="52"/>
        <v>0</v>
      </c>
    </row>
    <row r="271" spans="1:19">
      <c r="A271" s="147"/>
      <c r="B271" s="55"/>
      <c r="C271" s="24">
        <f t="shared" si="43"/>
        <v>1</v>
      </c>
      <c r="D271" s="643"/>
      <c r="E271" s="24">
        <f t="shared" si="44"/>
        <v>0</v>
      </c>
      <c r="F271" s="643"/>
      <c r="G271" s="24">
        <f t="shared" si="45"/>
        <v>0</v>
      </c>
      <c r="H271" s="643"/>
      <c r="I271" s="24">
        <f t="shared" si="46"/>
        <v>0.1</v>
      </c>
      <c r="J271" s="643"/>
      <c r="K271" s="24">
        <f t="shared" si="47"/>
        <v>1</v>
      </c>
      <c r="L271" s="643"/>
      <c r="M271" s="24">
        <f t="shared" si="48"/>
        <v>1</v>
      </c>
      <c r="N271" s="643"/>
      <c r="O271" s="24">
        <f t="shared" si="49"/>
        <v>1</v>
      </c>
      <c r="P271" s="643"/>
      <c r="Q271" s="24">
        <f t="shared" si="50"/>
        <v>1</v>
      </c>
      <c r="R271" s="24">
        <f t="shared" si="51"/>
        <v>0</v>
      </c>
      <c r="S271" s="314">
        <f t="shared" si="52"/>
        <v>0</v>
      </c>
    </row>
    <row r="272" spans="1:19">
      <c r="A272" s="147"/>
      <c r="B272" s="55"/>
      <c r="C272" s="24">
        <f t="shared" si="43"/>
        <v>1</v>
      </c>
      <c r="D272" s="643"/>
      <c r="E272" s="24">
        <f t="shared" si="44"/>
        <v>0</v>
      </c>
      <c r="F272" s="643"/>
      <c r="G272" s="24">
        <f t="shared" si="45"/>
        <v>0</v>
      </c>
      <c r="H272" s="643"/>
      <c r="I272" s="24">
        <f t="shared" si="46"/>
        <v>0.1</v>
      </c>
      <c r="J272" s="643"/>
      <c r="K272" s="24">
        <f t="shared" si="47"/>
        <v>1</v>
      </c>
      <c r="L272" s="643"/>
      <c r="M272" s="24">
        <f t="shared" si="48"/>
        <v>1</v>
      </c>
      <c r="N272" s="643"/>
      <c r="O272" s="24">
        <f t="shared" si="49"/>
        <v>1</v>
      </c>
      <c r="P272" s="643"/>
      <c r="Q272" s="24">
        <f t="shared" si="50"/>
        <v>1</v>
      </c>
      <c r="R272" s="24">
        <f t="shared" si="51"/>
        <v>0</v>
      </c>
      <c r="S272" s="314">
        <f t="shared" si="52"/>
        <v>0</v>
      </c>
    </row>
    <row r="273" spans="1:19">
      <c r="A273" s="147"/>
      <c r="B273" s="55"/>
      <c r="C273" s="24">
        <f t="shared" si="43"/>
        <v>1</v>
      </c>
      <c r="D273" s="643"/>
      <c r="E273" s="24">
        <f t="shared" si="44"/>
        <v>0</v>
      </c>
      <c r="F273" s="643"/>
      <c r="G273" s="24">
        <f t="shared" si="45"/>
        <v>0</v>
      </c>
      <c r="H273" s="643"/>
      <c r="I273" s="24">
        <f t="shared" si="46"/>
        <v>0.1</v>
      </c>
      <c r="J273" s="643"/>
      <c r="K273" s="24">
        <f t="shared" si="47"/>
        <v>1</v>
      </c>
      <c r="L273" s="643"/>
      <c r="M273" s="24">
        <f t="shared" si="48"/>
        <v>1</v>
      </c>
      <c r="N273" s="643"/>
      <c r="O273" s="24">
        <f t="shared" si="49"/>
        <v>1</v>
      </c>
      <c r="P273" s="643"/>
      <c r="Q273" s="24">
        <f t="shared" si="50"/>
        <v>1</v>
      </c>
      <c r="R273" s="24">
        <f t="shared" si="51"/>
        <v>0</v>
      </c>
      <c r="S273" s="314">
        <f t="shared" si="52"/>
        <v>0</v>
      </c>
    </row>
    <row r="274" spans="1:19">
      <c r="A274" s="147"/>
      <c r="B274" s="55"/>
      <c r="C274" s="24">
        <f t="shared" si="43"/>
        <v>1</v>
      </c>
      <c r="D274" s="643"/>
      <c r="E274" s="24">
        <f t="shared" si="44"/>
        <v>0</v>
      </c>
      <c r="F274" s="643"/>
      <c r="G274" s="24">
        <f t="shared" si="45"/>
        <v>0</v>
      </c>
      <c r="H274" s="643"/>
      <c r="I274" s="24">
        <f t="shared" si="46"/>
        <v>0.1</v>
      </c>
      <c r="J274" s="643"/>
      <c r="K274" s="24">
        <f t="shared" si="47"/>
        <v>1</v>
      </c>
      <c r="L274" s="643"/>
      <c r="M274" s="24">
        <f t="shared" si="48"/>
        <v>1</v>
      </c>
      <c r="N274" s="643"/>
      <c r="O274" s="24">
        <f t="shared" si="49"/>
        <v>1</v>
      </c>
      <c r="P274" s="643"/>
      <c r="Q274" s="24">
        <f t="shared" si="50"/>
        <v>1</v>
      </c>
      <c r="R274" s="24">
        <f t="shared" si="51"/>
        <v>0</v>
      </c>
      <c r="S274" s="314">
        <f t="shared" si="52"/>
        <v>0</v>
      </c>
    </row>
    <row r="275" spans="1:19">
      <c r="A275" s="147"/>
      <c r="B275" s="55"/>
      <c r="C275" s="24">
        <f t="shared" si="43"/>
        <v>1</v>
      </c>
      <c r="D275" s="643"/>
      <c r="E275" s="24">
        <f t="shared" si="44"/>
        <v>0</v>
      </c>
      <c r="F275" s="643"/>
      <c r="G275" s="24">
        <f t="shared" si="45"/>
        <v>0</v>
      </c>
      <c r="H275" s="643"/>
      <c r="I275" s="24">
        <f t="shared" si="46"/>
        <v>0.1</v>
      </c>
      <c r="J275" s="643"/>
      <c r="K275" s="24">
        <f t="shared" si="47"/>
        <v>1</v>
      </c>
      <c r="L275" s="643"/>
      <c r="M275" s="24">
        <f t="shared" si="48"/>
        <v>1</v>
      </c>
      <c r="N275" s="643"/>
      <c r="O275" s="24">
        <f t="shared" si="49"/>
        <v>1</v>
      </c>
      <c r="P275" s="643"/>
      <c r="Q275" s="24">
        <f t="shared" si="50"/>
        <v>1</v>
      </c>
      <c r="R275" s="24">
        <f t="shared" si="51"/>
        <v>0</v>
      </c>
      <c r="S275" s="314">
        <f t="shared" si="52"/>
        <v>0</v>
      </c>
    </row>
    <row r="276" spans="1:19">
      <c r="A276" s="147"/>
      <c r="B276" s="55"/>
      <c r="C276" s="24">
        <f t="shared" si="43"/>
        <v>1</v>
      </c>
      <c r="D276" s="643"/>
      <c r="E276" s="24">
        <f t="shared" si="44"/>
        <v>0</v>
      </c>
      <c r="F276" s="643"/>
      <c r="G276" s="24">
        <f t="shared" si="45"/>
        <v>0</v>
      </c>
      <c r="H276" s="643"/>
      <c r="I276" s="24">
        <f t="shared" si="46"/>
        <v>0.1</v>
      </c>
      <c r="J276" s="643"/>
      <c r="K276" s="24">
        <f t="shared" si="47"/>
        <v>1</v>
      </c>
      <c r="L276" s="643"/>
      <c r="M276" s="24">
        <f t="shared" si="48"/>
        <v>1</v>
      </c>
      <c r="N276" s="643"/>
      <c r="O276" s="24">
        <f t="shared" si="49"/>
        <v>1</v>
      </c>
      <c r="P276" s="643"/>
      <c r="Q276" s="24">
        <f t="shared" si="50"/>
        <v>1</v>
      </c>
      <c r="R276" s="24">
        <f t="shared" si="51"/>
        <v>0</v>
      </c>
      <c r="S276" s="314">
        <f t="shared" si="52"/>
        <v>0</v>
      </c>
    </row>
    <row r="277" spans="1:19">
      <c r="A277" s="147"/>
      <c r="B277" s="55"/>
      <c r="C277" s="24">
        <f t="shared" si="43"/>
        <v>1</v>
      </c>
      <c r="D277" s="643"/>
      <c r="E277" s="24">
        <f t="shared" si="44"/>
        <v>0</v>
      </c>
      <c r="F277" s="643"/>
      <c r="G277" s="24">
        <f t="shared" si="45"/>
        <v>0</v>
      </c>
      <c r="H277" s="643"/>
      <c r="I277" s="24">
        <f t="shared" si="46"/>
        <v>0.1</v>
      </c>
      <c r="J277" s="643"/>
      <c r="K277" s="24">
        <f t="shared" si="47"/>
        <v>1</v>
      </c>
      <c r="L277" s="643"/>
      <c r="M277" s="24">
        <f t="shared" si="48"/>
        <v>1</v>
      </c>
      <c r="N277" s="643"/>
      <c r="O277" s="24">
        <f t="shared" si="49"/>
        <v>1</v>
      </c>
      <c r="P277" s="643"/>
      <c r="Q277" s="24">
        <f t="shared" si="50"/>
        <v>1</v>
      </c>
      <c r="R277" s="24">
        <f t="shared" si="51"/>
        <v>0</v>
      </c>
      <c r="S277" s="314">
        <f t="shared" si="52"/>
        <v>0</v>
      </c>
    </row>
    <row r="278" spans="1:19">
      <c r="A278" s="147"/>
      <c r="B278" s="55"/>
      <c r="C278" s="24">
        <f t="shared" si="43"/>
        <v>1</v>
      </c>
      <c r="D278" s="643"/>
      <c r="E278" s="24">
        <f t="shared" si="44"/>
        <v>0</v>
      </c>
      <c r="F278" s="643"/>
      <c r="G278" s="24">
        <f t="shared" si="45"/>
        <v>0</v>
      </c>
      <c r="H278" s="643"/>
      <c r="I278" s="24">
        <f t="shared" si="46"/>
        <v>0.1</v>
      </c>
      <c r="J278" s="643"/>
      <c r="K278" s="24">
        <f t="shared" si="47"/>
        <v>1</v>
      </c>
      <c r="L278" s="643"/>
      <c r="M278" s="24">
        <f t="shared" si="48"/>
        <v>1</v>
      </c>
      <c r="N278" s="643"/>
      <c r="O278" s="24">
        <f t="shared" si="49"/>
        <v>1</v>
      </c>
      <c r="P278" s="643"/>
      <c r="Q278" s="24">
        <f t="shared" si="50"/>
        <v>1</v>
      </c>
      <c r="R278" s="24">
        <f t="shared" si="51"/>
        <v>0</v>
      </c>
      <c r="S278" s="314">
        <f t="shared" si="52"/>
        <v>0</v>
      </c>
    </row>
    <row r="279" spans="1:19">
      <c r="A279" s="147"/>
      <c r="B279" s="55"/>
      <c r="C279" s="24">
        <f t="shared" si="43"/>
        <v>1</v>
      </c>
      <c r="D279" s="643"/>
      <c r="E279" s="24">
        <f t="shared" si="44"/>
        <v>0</v>
      </c>
      <c r="F279" s="643"/>
      <c r="G279" s="24">
        <f t="shared" si="45"/>
        <v>0</v>
      </c>
      <c r="H279" s="643"/>
      <c r="I279" s="24">
        <f t="shared" si="46"/>
        <v>0.1</v>
      </c>
      <c r="J279" s="643"/>
      <c r="K279" s="24">
        <f t="shared" si="47"/>
        <v>1</v>
      </c>
      <c r="L279" s="643"/>
      <c r="M279" s="24">
        <f t="shared" si="48"/>
        <v>1</v>
      </c>
      <c r="N279" s="643"/>
      <c r="O279" s="24">
        <f t="shared" si="49"/>
        <v>1</v>
      </c>
      <c r="P279" s="643"/>
      <c r="Q279" s="24">
        <f t="shared" si="50"/>
        <v>1</v>
      </c>
      <c r="R279" s="24">
        <f t="shared" si="51"/>
        <v>0</v>
      </c>
      <c r="S279" s="314">
        <f t="shared" si="52"/>
        <v>0</v>
      </c>
    </row>
    <row r="280" spans="1:19">
      <c r="A280" s="147"/>
      <c r="B280" s="55"/>
      <c r="C280" s="24">
        <f t="shared" si="43"/>
        <v>1</v>
      </c>
      <c r="D280" s="643"/>
      <c r="E280" s="24">
        <f t="shared" si="44"/>
        <v>0</v>
      </c>
      <c r="F280" s="643"/>
      <c r="G280" s="24">
        <f t="shared" si="45"/>
        <v>0</v>
      </c>
      <c r="H280" s="643"/>
      <c r="I280" s="24">
        <f t="shared" si="46"/>
        <v>0.1</v>
      </c>
      <c r="J280" s="643"/>
      <c r="K280" s="24">
        <f t="shared" si="47"/>
        <v>1</v>
      </c>
      <c r="L280" s="643"/>
      <c r="M280" s="24">
        <f t="shared" si="48"/>
        <v>1</v>
      </c>
      <c r="N280" s="643"/>
      <c r="O280" s="24">
        <f t="shared" si="49"/>
        <v>1</v>
      </c>
      <c r="P280" s="643"/>
      <c r="Q280" s="24">
        <f t="shared" si="50"/>
        <v>1</v>
      </c>
      <c r="R280" s="24">
        <f t="shared" si="51"/>
        <v>0</v>
      </c>
      <c r="S280" s="314">
        <f t="shared" si="52"/>
        <v>0</v>
      </c>
    </row>
    <row r="281" spans="1:19">
      <c r="A281" s="147"/>
      <c r="B281" s="55"/>
      <c r="C281" s="24">
        <f t="shared" si="43"/>
        <v>1</v>
      </c>
      <c r="D281" s="643"/>
      <c r="E281" s="24">
        <f t="shared" si="44"/>
        <v>0</v>
      </c>
      <c r="F281" s="643"/>
      <c r="G281" s="24">
        <f t="shared" si="45"/>
        <v>0</v>
      </c>
      <c r="H281" s="643"/>
      <c r="I281" s="24">
        <f t="shared" si="46"/>
        <v>0.1</v>
      </c>
      <c r="J281" s="643"/>
      <c r="K281" s="24">
        <f t="shared" si="47"/>
        <v>1</v>
      </c>
      <c r="L281" s="643"/>
      <c r="M281" s="24">
        <f t="shared" si="48"/>
        <v>1</v>
      </c>
      <c r="N281" s="643"/>
      <c r="O281" s="24">
        <f t="shared" si="49"/>
        <v>1</v>
      </c>
      <c r="P281" s="643"/>
      <c r="Q281" s="24">
        <f t="shared" si="50"/>
        <v>1</v>
      </c>
      <c r="R281" s="24">
        <f t="shared" si="51"/>
        <v>0</v>
      </c>
      <c r="S281" s="314">
        <f t="shared" si="52"/>
        <v>0</v>
      </c>
    </row>
    <row r="282" spans="1:19">
      <c r="A282" s="147"/>
      <c r="B282" s="55"/>
      <c r="C282" s="24">
        <f t="shared" ref="C282:C345" si="53">IF(B282="",1,(LOOKUP(B282,$3:$3,$4:$4)-LOOKUP($B$24,$3:$3,$4:$4)+100)/100)</f>
        <v>1</v>
      </c>
      <c r="D282" s="643"/>
      <c r="E282" s="24">
        <f t="shared" ref="E282:E345" si="54">(SUMIF($5:$5,D282,$6:$6)-SUMIF($5:$5,$D$24,$6:$6)+100)/100</f>
        <v>0</v>
      </c>
      <c r="F282" s="643"/>
      <c r="G282" s="24">
        <f t="shared" ref="G282:G345" si="55">(SUMIF($7:$7,F282,$8:$8)-SUMIF($7:$7,$F$24,$8:$8)+100)/100</f>
        <v>0</v>
      </c>
      <c r="H282" s="643"/>
      <c r="I282" s="24">
        <f t="shared" ref="I282:I345" si="56">(SUMIF($9:$9,H282,$10:$10)-SUMIF($9:$9,$H$24,$10:$10)+100)/100</f>
        <v>0.1</v>
      </c>
      <c r="J282" s="643"/>
      <c r="K282" s="24">
        <f t="shared" ref="K282:K345" si="57">(SUMIF($11:$11,J282,$12:$12)-SUMIF($11:$11,$J$24,$12:$12)+100)/100</f>
        <v>1</v>
      </c>
      <c r="L282" s="643"/>
      <c r="M282" s="24">
        <f t="shared" ref="M282:M345" si="58">(SUMIF($13:$13,L282,$14:$14)-SUMIF($13:$13,$L$24,$14:$14)+100)/100</f>
        <v>1</v>
      </c>
      <c r="N282" s="643"/>
      <c r="O282" s="24">
        <f t="shared" ref="O282:O345" si="59">(SUMIF($15:$15,N282,$16:$16)-SUMIF($15:$15,$N$24,$16:$16)+100)/100</f>
        <v>1</v>
      </c>
      <c r="P282" s="643"/>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3"/>
      <c r="E283" s="24">
        <f t="shared" si="54"/>
        <v>0</v>
      </c>
      <c r="F283" s="643"/>
      <c r="G283" s="24">
        <f t="shared" si="55"/>
        <v>0</v>
      </c>
      <c r="H283" s="643"/>
      <c r="I283" s="24">
        <f t="shared" si="56"/>
        <v>0.1</v>
      </c>
      <c r="J283" s="643"/>
      <c r="K283" s="24">
        <f t="shared" si="57"/>
        <v>1</v>
      </c>
      <c r="L283" s="643"/>
      <c r="M283" s="24">
        <f t="shared" si="58"/>
        <v>1</v>
      </c>
      <c r="N283" s="643"/>
      <c r="O283" s="24">
        <f t="shared" si="59"/>
        <v>1</v>
      </c>
      <c r="P283" s="643"/>
      <c r="Q283" s="24">
        <f t="shared" si="60"/>
        <v>1</v>
      </c>
      <c r="R283" s="24">
        <f t="shared" si="61"/>
        <v>0</v>
      </c>
      <c r="S283" s="314">
        <f t="shared" si="52"/>
        <v>0</v>
      </c>
    </row>
    <row r="284" spans="1:19">
      <c r="A284" s="147"/>
      <c r="B284" s="55"/>
      <c r="C284" s="24">
        <f t="shared" si="53"/>
        <v>1</v>
      </c>
      <c r="D284" s="643"/>
      <c r="E284" s="24">
        <f t="shared" si="54"/>
        <v>0</v>
      </c>
      <c r="F284" s="643"/>
      <c r="G284" s="24">
        <f t="shared" si="55"/>
        <v>0</v>
      </c>
      <c r="H284" s="643"/>
      <c r="I284" s="24">
        <f t="shared" si="56"/>
        <v>0.1</v>
      </c>
      <c r="J284" s="643"/>
      <c r="K284" s="24">
        <f t="shared" si="57"/>
        <v>1</v>
      </c>
      <c r="L284" s="643"/>
      <c r="M284" s="24">
        <f t="shared" si="58"/>
        <v>1</v>
      </c>
      <c r="N284" s="643"/>
      <c r="O284" s="24">
        <f t="shared" si="59"/>
        <v>1</v>
      </c>
      <c r="P284" s="643"/>
      <c r="Q284" s="24">
        <f t="shared" si="60"/>
        <v>1</v>
      </c>
      <c r="R284" s="24">
        <f t="shared" si="61"/>
        <v>0</v>
      </c>
      <c r="S284" s="314">
        <f t="shared" si="52"/>
        <v>0</v>
      </c>
    </row>
    <row r="285" spans="1:19">
      <c r="A285" s="147"/>
      <c r="B285" s="55"/>
      <c r="C285" s="24">
        <f t="shared" si="53"/>
        <v>1</v>
      </c>
      <c r="D285" s="643"/>
      <c r="E285" s="24">
        <f t="shared" si="54"/>
        <v>0</v>
      </c>
      <c r="F285" s="643"/>
      <c r="G285" s="24">
        <f t="shared" si="55"/>
        <v>0</v>
      </c>
      <c r="H285" s="643"/>
      <c r="I285" s="24">
        <f t="shared" si="56"/>
        <v>0.1</v>
      </c>
      <c r="J285" s="643"/>
      <c r="K285" s="24">
        <f t="shared" si="57"/>
        <v>1</v>
      </c>
      <c r="L285" s="643"/>
      <c r="M285" s="24">
        <f t="shared" si="58"/>
        <v>1</v>
      </c>
      <c r="N285" s="643"/>
      <c r="O285" s="24">
        <f t="shared" si="59"/>
        <v>1</v>
      </c>
      <c r="P285" s="643"/>
      <c r="Q285" s="24">
        <f t="shared" si="60"/>
        <v>1</v>
      </c>
      <c r="R285" s="24">
        <f t="shared" si="61"/>
        <v>0</v>
      </c>
      <c r="S285" s="314">
        <f t="shared" si="52"/>
        <v>0</v>
      </c>
    </row>
    <row r="286" spans="1:19">
      <c r="A286" s="147"/>
      <c r="B286" s="55"/>
      <c r="C286" s="24">
        <f t="shared" si="53"/>
        <v>1</v>
      </c>
      <c r="D286" s="643"/>
      <c r="E286" s="24">
        <f t="shared" si="54"/>
        <v>0</v>
      </c>
      <c r="F286" s="643"/>
      <c r="G286" s="24">
        <f t="shared" si="55"/>
        <v>0</v>
      </c>
      <c r="H286" s="643"/>
      <c r="I286" s="24">
        <f t="shared" si="56"/>
        <v>0.1</v>
      </c>
      <c r="J286" s="643"/>
      <c r="K286" s="24">
        <f t="shared" si="57"/>
        <v>1</v>
      </c>
      <c r="L286" s="643"/>
      <c r="M286" s="24">
        <f t="shared" si="58"/>
        <v>1</v>
      </c>
      <c r="N286" s="643"/>
      <c r="O286" s="24">
        <f t="shared" si="59"/>
        <v>1</v>
      </c>
      <c r="P286" s="643"/>
      <c r="Q286" s="24">
        <f t="shared" si="60"/>
        <v>1</v>
      </c>
      <c r="R286" s="24">
        <f t="shared" si="61"/>
        <v>0</v>
      </c>
      <c r="S286" s="314">
        <f t="shared" si="52"/>
        <v>0</v>
      </c>
    </row>
    <row r="287" spans="1:19">
      <c r="A287" s="147"/>
      <c r="B287" s="55"/>
      <c r="C287" s="24">
        <f t="shared" si="53"/>
        <v>1</v>
      </c>
      <c r="D287" s="643"/>
      <c r="E287" s="24">
        <f t="shared" si="54"/>
        <v>0</v>
      </c>
      <c r="F287" s="643"/>
      <c r="G287" s="24">
        <f t="shared" si="55"/>
        <v>0</v>
      </c>
      <c r="H287" s="643"/>
      <c r="I287" s="24">
        <f t="shared" si="56"/>
        <v>0.1</v>
      </c>
      <c r="J287" s="643"/>
      <c r="K287" s="24">
        <f t="shared" si="57"/>
        <v>1</v>
      </c>
      <c r="L287" s="643"/>
      <c r="M287" s="24">
        <f t="shared" si="58"/>
        <v>1</v>
      </c>
      <c r="N287" s="643"/>
      <c r="O287" s="24">
        <f t="shared" si="59"/>
        <v>1</v>
      </c>
      <c r="P287" s="643"/>
      <c r="Q287" s="24">
        <f t="shared" si="60"/>
        <v>1</v>
      </c>
      <c r="R287" s="24">
        <f t="shared" si="61"/>
        <v>0</v>
      </c>
      <c r="S287" s="314">
        <f t="shared" ref="S287:S320" si="62">ROUND(R287*B287/10000,0)</f>
        <v>0</v>
      </c>
    </row>
    <row r="288" spans="1:19">
      <c r="A288" s="147"/>
      <c r="B288" s="55"/>
      <c r="C288" s="24">
        <f t="shared" si="53"/>
        <v>1</v>
      </c>
      <c r="D288" s="643"/>
      <c r="E288" s="24">
        <f t="shared" si="54"/>
        <v>0</v>
      </c>
      <c r="F288" s="643"/>
      <c r="G288" s="24">
        <f t="shared" si="55"/>
        <v>0</v>
      </c>
      <c r="H288" s="643"/>
      <c r="I288" s="24">
        <f t="shared" si="56"/>
        <v>0.1</v>
      </c>
      <c r="J288" s="643"/>
      <c r="K288" s="24">
        <f t="shared" si="57"/>
        <v>1</v>
      </c>
      <c r="L288" s="643"/>
      <c r="M288" s="24">
        <f t="shared" si="58"/>
        <v>1</v>
      </c>
      <c r="N288" s="643"/>
      <c r="O288" s="24">
        <f t="shared" si="59"/>
        <v>1</v>
      </c>
      <c r="P288" s="643"/>
      <c r="Q288" s="24">
        <f t="shared" si="60"/>
        <v>1</v>
      </c>
      <c r="R288" s="24">
        <f t="shared" si="61"/>
        <v>0</v>
      </c>
      <c r="S288" s="314">
        <f t="shared" si="62"/>
        <v>0</v>
      </c>
    </row>
    <row r="289" spans="1:19">
      <c r="A289" s="147"/>
      <c r="B289" s="55"/>
      <c r="C289" s="24">
        <f t="shared" si="53"/>
        <v>1</v>
      </c>
      <c r="D289" s="643"/>
      <c r="E289" s="24">
        <f t="shared" si="54"/>
        <v>0</v>
      </c>
      <c r="F289" s="643"/>
      <c r="G289" s="24">
        <f t="shared" si="55"/>
        <v>0</v>
      </c>
      <c r="H289" s="643"/>
      <c r="I289" s="24">
        <f t="shared" si="56"/>
        <v>0.1</v>
      </c>
      <c r="J289" s="643"/>
      <c r="K289" s="24">
        <f t="shared" si="57"/>
        <v>1</v>
      </c>
      <c r="L289" s="643"/>
      <c r="M289" s="24">
        <f t="shared" si="58"/>
        <v>1</v>
      </c>
      <c r="N289" s="643"/>
      <c r="O289" s="24">
        <f t="shared" si="59"/>
        <v>1</v>
      </c>
      <c r="P289" s="643"/>
      <c r="Q289" s="24">
        <f t="shared" si="60"/>
        <v>1</v>
      </c>
      <c r="R289" s="24">
        <f t="shared" si="61"/>
        <v>0</v>
      </c>
      <c r="S289" s="314">
        <f t="shared" si="62"/>
        <v>0</v>
      </c>
    </row>
    <row r="290" spans="1:19">
      <c r="A290" s="147"/>
      <c r="B290" s="55"/>
      <c r="C290" s="24">
        <f t="shared" si="53"/>
        <v>1</v>
      </c>
      <c r="D290" s="643"/>
      <c r="E290" s="24">
        <f t="shared" si="54"/>
        <v>0</v>
      </c>
      <c r="F290" s="643"/>
      <c r="G290" s="24">
        <f t="shared" si="55"/>
        <v>0</v>
      </c>
      <c r="H290" s="643"/>
      <c r="I290" s="24">
        <f t="shared" si="56"/>
        <v>0.1</v>
      </c>
      <c r="J290" s="643"/>
      <c r="K290" s="24">
        <f t="shared" si="57"/>
        <v>1</v>
      </c>
      <c r="L290" s="643"/>
      <c r="M290" s="24">
        <f t="shared" si="58"/>
        <v>1</v>
      </c>
      <c r="N290" s="643"/>
      <c r="O290" s="24">
        <f t="shared" si="59"/>
        <v>1</v>
      </c>
      <c r="P290" s="643"/>
      <c r="Q290" s="24">
        <f t="shared" si="60"/>
        <v>1</v>
      </c>
      <c r="R290" s="24">
        <f t="shared" si="61"/>
        <v>0</v>
      </c>
      <c r="S290" s="314">
        <f t="shared" si="62"/>
        <v>0</v>
      </c>
    </row>
    <row r="291" spans="1:19">
      <c r="A291" s="147"/>
      <c r="B291" s="55"/>
      <c r="C291" s="24">
        <f t="shared" si="53"/>
        <v>1</v>
      </c>
      <c r="D291" s="643"/>
      <c r="E291" s="24">
        <f t="shared" si="54"/>
        <v>0</v>
      </c>
      <c r="F291" s="643"/>
      <c r="G291" s="24">
        <f t="shared" si="55"/>
        <v>0</v>
      </c>
      <c r="H291" s="643"/>
      <c r="I291" s="24">
        <f t="shared" si="56"/>
        <v>0.1</v>
      </c>
      <c r="J291" s="643"/>
      <c r="K291" s="24">
        <f t="shared" si="57"/>
        <v>1</v>
      </c>
      <c r="L291" s="643"/>
      <c r="M291" s="24">
        <f t="shared" si="58"/>
        <v>1</v>
      </c>
      <c r="N291" s="643"/>
      <c r="O291" s="24">
        <f t="shared" si="59"/>
        <v>1</v>
      </c>
      <c r="P291" s="643"/>
      <c r="Q291" s="24">
        <f t="shared" si="60"/>
        <v>1</v>
      </c>
      <c r="R291" s="24">
        <f t="shared" si="61"/>
        <v>0</v>
      </c>
      <c r="S291" s="314">
        <f t="shared" si="62"/>
        <v>0</v>
      </c>
    </row>
    <row r="292" spans="1:19">
      <c r="A292" s="147"/>
      <c r="B292" s="55"/>
      <c r="C292" s="24">
        <f t="shared" si="53"/>
        <v>1</v>
      </c>
      <c r="D292" s="643"/>
      <c r="E292" s="24">
        <f t="shared" si="54"/>
        <v>0</v>
      </c>
      <c r="F292" s="643"/>
      <c r="G292" s="24">
        <f t="shared" si="55"/>
        <v>0</v>
      </c>
      <c r="H292" s="643"/>
      <c r="I292" s="24">
        <f t="shared" si="56"/>
        <v>0.1</v>
      </c>
      <c r="J292" s="643"/>
      <c r="K292" s="24">
        <f t="shared" si="57"/>
        <v>1</v>
      </c>
      <c r="L292" s="643"/>
      <c r="M292" s="24">
        <f t="shared" si="58"/>
        <v>1</v>
      </c>
      <c r="N292" s="643"/>
      <c r="O292" s="24">
        <f t="shared" si="59"/>
        <v>1</v>
      </c>
      <c r="P292" s="643"/>
      <c r="Q292" s="24">
        <f t="shared" si="60"/>
        <v>1</v>
      </c>
      <c r="R292" s="24">
        <f t="shared" si="61"/>
        <v>0</v>
      </c>
      <c r="S292" s="314">
        <f t="shared" si="62"/>
        <v>0</v>
      </c>
    </row>
    <row r="293" spans="1:19">
      <c r="A293" s="147"/>
      <c r="B293" s="55"/>
      <c r="C293" s="24">
        <f t="shared" si="53"/>
        <v>1</v>
      </c>
      <c r="D293" s="643"/>
      <c r="E293" s="24">
        <f t="shared" si="54"/>
        <v>0</v>
      </c>
      <c r="F293" s="643"/>
      <c r="G293" s="24">
        <f t="shared" si="55"/>
        <v>0</v>
      </c>
      <c r="H293" s="643"/>
      <c r="I293" s="24">
        <f t="shared" si="56"/>
        <v>0.1</v>
      </c>
      <c r="J293" s="643"/>
      <c r="K293" s="24">
        <f t="shared" si="57"/>
        <v>1</v>
      </c>
      <c r="L293" s="643"/>
      <c r="M293" s="24">
        <f t="shared" si="58"/>
        <v>1</v>
      </c>
      <c r="N293" s="643"/>
      <c r="O293" s="24">
        <f t="shared" si="59"/>
        <v>1</v>
      </c>
      <c r="P293" s="643"/>
      <c r="Q293" s="24">
        <f t="shared" si="60"/>
        <v>1</v>
      </c>
      <c r="R293" s="24">
        <f t="shared" si="61"/>
        <v>0</v>
      </c>
      <c r="S293" s="314">
        <f t="shared" si="62"/>
        <v>0</v>
      </c>
    </row>
    <row r="294" spans="1:19">
      <c r="A294" s="147"/>
      <c r="B294" s="55"/>
      <c r="C294" s="24">
        <f t="shared" si="53"/>
        <v>1</v>
      </c>
      <c r="D294" s="643"/>
      <c r="E294" s="24">
        <f t="shared" si="54"/>
        <v>0</v>
      </c>
      <c r="F294" s="643"/>
      <c r="G294" s="24">
        <f t="shared" si="55"/>
        <v>0</v>
      </c>
      <c r="H294" s="643"/>
      <c r="I294" s="24">
        <f t="shared" si="56"/>
        <v>0.1</v>
      </c>
      <c r="J294" s="643"/>
      <c r="K294" s="24">
        <f t="shared" si="57"/>
        <v>1</v>
      </c>
      <c r="L294" s="643"/>
      <c r="M294" s="24">
        <f t="shared" si="58"/>
        <v>1</v>
      </c>
      <c r="N294" s="643"/>
      <c r="O294" s="24">
        <f t="shared" si="59"/>
        <v>1</v>
      </c>
      <c r="P294" s="643"/>
      <c r="Q294" s="24">
        <f t="shared" si="60"/>
        <v>1</v>
      </c>
      <c r="R294" s="24">
        <f t="shared" si="61"/>
        <v>0</v>
      </c>
      <c r="S294" s="314">
        <f t="shared" si="62"/>
        <v>0</v>
      </c>
    </row>
    <row r="295" spans="1:19">
      <c r="A295" s="147"/>
      <c r="B295" s="55"/>
      <c r="C295" s="24">
        <f t="shared" si="53"/>
        <v>1</v>
      </c>
      <c r="D295" s="643"/>
      <c r="E295" s="24">
        <f t="shared" si="54"/>
        <v>0</v>
      </c>
      <c r="F295" s="643"/>
      <c r="G295" s="24">
        <f t="shared" si="55"/>
        <v>0</v>
      </c>
      <c r="H295" s="643"/>
      <c r="I295" s="24">
        <f t="shared" si="56"/>
        <v>0.1</v>
      </c>
      <c r="J295" s="643"/>
      <c r="K295" s="24">
        <f t="shared" si="57"/>
        <v>1</v>
      </c>
      <c r="L295" s="643"/>
      <c r="M295" s="24">
        <f t="shared" si="58"/>
        <v>1</v>
      </c>
      <c r="N295" s="643"/>
      <c r="O295" s="24">
        <f t="shared" si="59"/>
        <v>1</v>
      </c>
      <c r="P295" s="643"/>
      <c r="Q295" s="24">
        <f t="shared" si="60"/>
        <v>1</v>
      </c>
      <c r="R295" s="24">
        <f t="shared" si="61"/>
        <v>0</v>
      </c>
      <c r="S295" s="314">
        <f t="shared" si="62"/>
        <v>0</v>
      </c>
    </row>
    <row r="296" spans="1:19">
      <c r="A296" s="147"/>
      <c r="B296" s="55"/>
      <c r="C296" s="24">
        <f t="shared" si="53"/>
        <v>1</v>
      </c>
      <c r="D296" s="643"/>
      <c r="E296" s="24">
        <f t="shared" si="54"/>
        <v>0</v>
      </c>
      <c r="F296" s="643"/>
      <c r="G296" s="24">
        <f t="shared" si="55"/>
        <v>0</v>
      </c>
      <c r="H296" s="643"/>
      <c r="I296" s="24">
        <f t="shared" si="56"/>
        <v>0.1</v>
      </c>
      <c r="J296" s="643"/>
      <c r="K296" s="24">
        <f t="shared" si="57"/>
        <v>1</v>
      </c>
      <c r="L296" s="643"/>
      <c r="M296" s="24">
        <f t="shared" si="58"/>
        <v>1</v>
      </c>
      <c r="N296" s="643"/>
      <c r="O296" s="24">
        <f t="shared" si="59"/>
        <v>1</v>
      </c>
      <c r="P296" s="643"/>
      <c r="Q296" s="24">
        <f t="shared" si="60"/>
        <v>1</v>
      </c>
      <c r="R296" s="24">
        <f t="shared" si="61"/>
        <v>0</v>
      </c>
      <c r="S296" s="314">
        <f t="shared" si="62"/>
        <v>0</v>
      </c>
    </row>
    <row r="297" spans="1:19">
      <c r="A297" s="147"/>
      <c r="B297" s="55"/>
      <c r="C297" s="24">
        <f t="shared" si="53"/>
        <v>1</v>
      </c>
      <c r="D297" s="643"/>
      <c r="E297" s="24">
        <f t="shared" si="54"/>
        <v>0</v>
      </c>
      <c r="F297" s="643"/>
      <c r="G297" s="24">
        <f t="shared" si="55"/>
        <v>0</v>
      </c>
      <c r="H297" s="643"/>
      <c r="I297" s="24">
        <f t="shared" si="56"/>
        <v>0.1</v>
      </c>
      <c r="J297" s="643"/>
      <c r="K297" s="24">
        <f t="shared" si="57"/>
        <v>1</v>
      </c>
      <c r="L297" s="643"/>
      <c r="M297" s="24">
        <f t="shared" si="58"/>
        <v>1</v>
      </c>
      <c r="N297" s="643"/>
      <c r="O297" s="24">
        <f t="shared" si="59"/>
        <v>1</v>
      </c>
      <c r="P297" s="643"/>
      <c r="Q297" s="24">
        <f t="shared" si="60"/>
        <v>1</v>
      </c>
      <c r="R297" s="24">
        <f t="shared" si="61"/>
        <v>0</v>
      </c>
      <c r="S297" s="314">
        <f t="shared" si="62"/>
        <v>0</v>
      </c>
    </row>
    <row r="298" spans="1:19">
      <c r="A298" s="147"/>
      <c r="B298" s="55"/>
      <c r="C298" s="24">
        <f t="shared" si="53"/>
        <v>1</v>
      </c>
      <c r="D298" s="643"/>
      <c r="E298" s="24">
        <f t="shared" si="54"/>
        <v>0</v>
      </c>
      <c r="F298" s="643"/>
      <c r="G298" s="24">
        <f t="shared" si="55"/>
        <v>0</v>
      </c>
      <c r="H298" s="643"/>
      <c r="I298" s="24">
        <f t="shared" si="56"/>
        <v>0.1</v>
      </c>
      <c r="J298" s="643"/>
      <c r="K298" s="24">
        <f t="shared" si="57"/>
        <v>1</v>
      </c>
      <c r="L298" s="643"/>
      <c r="M298" s="24">
        <f t="shared" si="58"/>
        <v>1</v>
      </c>
      <c r="N298" s="643"/>
      <c r="O298" s="24">
        <f t="shared" si="59"/>
        <v>1</v>
      </c>
      <c r="P298" s="643"/>
      <c r="Q298" s="24">
        <f t="shared" si="60"/>
        <v>1</v>
      </c>
      <c r="R298" s="24">
        <f t="shared" si="61"/>
        <v>0</v>
      </c>
      <c r="S298" s="314">
        <f t="shared" si="62"/>
        <v>0</v>
      </c>
    </row>
    <row r="299" spans="1:19">
      <c r="A299" s="147"/>
      <c r="B299" s="55"/>
      <c r="C299" s="24">
        <f t="shared" si="53"/>
        <v>1</v>
      </c>
      <c r="D299" s="643"/>
      <c r="E299" s="24">
        <f t="shared" si="54"/>
        <v>0</v>
      </c>
      <c r="F299" s="643"/>
      <c r="G299" s="24">
        <f t="shared" si="55"/>
        <v>0</v>
      </c>
      <c r="H299" s="643"/>
      <c r="I299" s="24">
        <f t="shared" si="56"/>
        <v>0.1</v>
      </c>
      <c r="J299" s="643"/>
      <c r="K299" s="24">
        <f t="shared" si="57"/>
        <v>1</v>
      </c>
      <c r="L299" s="643"/>
      <c r="M299" s="24">
        <f t="shared" si="58"/>
        <v>1</v>
      </c>
      <c r="N299" s="643"/>
      <c r="O299" s="24">
        <f t="shared" si="59"/>
        <v>1</v>
      </c>
      <c r="P299" s="643"/>
      <c r="Q299" s="24">
        <f t="shared" si="60"/>
        <v>1</v>
      </c>
      <c r="R299" s="24">
        <f t="shared" si="61"/>
        <v>0</v>
      </c>
      <c r="S299" s="314">
        <f t="shared" si="62"/>
        <v>0</v>
      </c>
    </row>
    <row r="300" spans="1:19">
      <c r="A300" s="147"/>
      <c r="B300" s="55"/>
      <c r="C300" s="24">
        <f t="shared" si="53"/>
        <v>1</v>
      </c>
      <c r="D300" s="643"/>
      <c r="E300" s="24">
        <f t="shared" si="54"/>
        <v>0</v>
      </c>
      <c r="F300" s="643"/>
      <c r="G300" s="24">
        <f t="shared" si="55"/>
        <v>0</v>
      </c>
      <c r="H300" s="643"/>
      <c r="I300" s="24">
        <f t="shared" si="56"/>
        <v>0.1</v>
      </c>
      <c r="J300" s="643"/>
      <c r="K300" s="24">
        <f t="shared" si="57"/>
        <v>1</v>
      </c>
      <c r="L300" s="643"/>
      <c r="M300" s="24">
        <f t="shared" si="58"/>
        <v>1</v>
      </c>
      <c r="N300" s="643"/>
      <c r="O300" s="24">
        <f t="shared" si="59"/>
        <v>1</v>
      </c>
      <c r="P300" s="643"/>
      <c r="Q300" s="24">
        <f t="shared" si="60"/>
        <v>1</v>
      </c>
      <c r="R300" s="24">
        <f t="shared" si="61"/>
        <v>0</v>
      </c>
      <c r="S300" s="314">
        <f t="shared" si="62"/>
        <v>0</v>
      </c>
    </row>
    <row r="301" spans="1:19">
      <c r="A301" s="147"/>
      <c r="B301" s="55"/>
      <c r="C301" s="24">
        <f t="shared" si="53"/>
        <v>1</v>
      </c>
      <c r="D301" s="643"/>
      <c r="E301" s="24">
        <f t="shared" si="54"/>
        <v>0</v>
      </c>
      <c r="F301" s="643"/>
      <c r="G301" s="24">
        <f t="shared" si="55"/>
        <v>0</v>
      </c>
      <c r="H301" s="643"/>
      <c r="I301" s="24">
        <f t="shared" si="56"/>
        <v>0.1</v>
      </c>
      <c r="J301" s="643"/>
      <c r="K301" s="24">
        <f t="shared" si="57"/>
        <v>1</v>
      </c>
      <c r="L301" s="643"/>
      <c r="M301" s="24">
        <f t="shared" si="58"/>
        <v>1</v>
      </c>
      <c r="N301" s="643"/>
      <c r="O301" s="24">
        <f t="shared" si="59"/>
        <v>1</v>
      </c>
      <c r="P301" s="643"/>
      <c r="Q301" s="24">
        <f t="shared" si="60"/>
        <v>1</v>
      </c>
      <c r="R301" s="24">
        <f t="shared" si="61"/>
        <v>0</v>
      </c>
      <c r="S301" s="314">
        <f t="shared" si="62"/>
        <v>0</v>
      </c>
    </row>
    <row r="302" spans="1:19">
      <c r="A302" s="147"/>
      <c r="B302" s="55"/>
      <c r="C302" s="24">
        <f t="shared" si="53"/>
        <v>1</v>
      </c>
      <c r="D302" s="643"/>
      <c r="E302" s="24">
        <f t="shared" si="54"/>
        <v>0</v>
      </c>
      <c r="F302" s="643"/>
      <c r="G302" s="24">
        <f t="shared" si="55"/>
        <v>0</v>
      </c>
      <c r="H302" s="643"/>
      <c r="I302" s="24">
        <f t="shared" si="56"/>
        <v>0.1</v>
      </c>
      <c r="J302" s="643"/>
      <c r="K302" s="24">
        <f t="shared" si="57"/>
        <v>1</v>
      </c>
      <c r="L302" s="643"/>
      <c r="M302" s="24">
        <f t="shared" si="58"/>
        <v>1</v>
      </c>
      <c r="N302" s="643"/>
      <c r="O302" s="24">
        <f t="shared" si="59"/>
        <v>1</v>
      </c>
      <c r="P302" s="643"/>
      <c r="Q302" s="24">
        <f t="shared" si="60"/>
        <v>1</v>
      </c>
      <c r="R302" s="24">
        <f t="shared" si="61"/>
        <v>0</v>
      </c>
      <c r="S302" s="314">
        <f t="shared" si="62"/>
        <v>0</v>
      </c>
    </row>
    <row r="303" spans="1:19">
      <c r="A303" s="147"/>
      <c r="B303" s="55"/>
      <c r="C303" s="24">
        <f t="shared" si="53"/>
        <v>1</v>
      </c>
      <c r="D303" s="643"/>
      <c r="E303" s="24">
        <f t="shared" si="54"/>
        <v>0</v>
      </c>
      <c r="F303" s="643"/>
      <c r="G303" s="24">
        <f t="shared" si="55"/>
        <v>0</v>
      </c>
      <c r="H303" s="643"/>
      <c r="I303" s="24">
        <f t="shared" si="56"/>
        <v>0.1</v>
      </c>
      <c r="J303" s="643"/>
      <c r="K303" s="24">
        <f t="shared" si="57"/>
        <v>1</v>
      </c>
      <c r="L303" s="643"/>
      <c r="M303" s="24">
        <f t="shared" si="58"/>
        <v>1</v>
      </c>
      <c r="N303" s="643"/>
      <c r="O303" s="24">
        <f t="shared" si="59"/>
        <v>1</v>
      </c>
      <c r="P303" s="643"/>
      <c r="Q303" s="24">
        <f t="shared" si="60"/>
        <v>1</v>
      </c>
      <c r="R303" s="24">
        <f t="shared" si="61"/>
        <v>0</v>
      </c>
      <c r="S303" s="314">
        <f t="shared" si="62"/>
        <v>0</v>
      </c>
    </row>
    <row r="304" spans="1:19">
      <c r="A304" s="147"/>
      <c r="B304" s="55"/>
      <c r="C304" s="24">
        <f t="shared" si="53"/>
        <v>1</v>
      </c>
      <c r="D304" s="643"/>
      <c r="E304" s="24">
        <f t="shared" si="54"/>
        <v>0</v>
      </c>
      <c r="F304" s="643"/>
      <c r="G304" s="24">
        <f t="shared" si="55"/>
        <v>0</v>
      </c>
      <c r="H304" s="643"/>
      <c r="I304" s="24">
        <f t="shared" si="56"/>
        <v>0.1</v>
      </c>
      <c r="J304" s="643"/>
      <c r="K304" s="24">
        <f t="shared" si="57"/>
        <v>1</v>
      </c>
      <c r="L304" s="643"/>
      <c r="M304" s="24">
        <f t="shared" si="58"/>
        <v>1</v>
      </c>
      <c r="N304" s="643"/>
      <c r="O304" s="24">
        <f t="shared" si="59"/>
        <v>1</v>
      </c>
      <c r="P304" s="643"/>
      <c r="Q304" s="24">
        <f t="shared" si="60"/>
        <v>1</v>
      </c>
      <c r="R304" s="24">
        <f t="shared" si="61"/>
        <v>0</v>
      </c>
      <c r="S304" s="314">
        <f t="shared" si="62"/>
        <v>0</v>
      </c>
    </row>
    <row r="305" spans="1:19">
      <c r="A305" s="147"/>
      <c r="B305" s="55"/>
      <c r="C305" s="24">
        <f t="shared" si="53"/>
        <v>1</v>
      </c>
      <c r="D305" s="643"/>
      <c r="E305" s="24">
        <f t="shared" si="54"/>
        <v>0</v>
      </c>
      <c r="F305" s="643"/>
      <c r="G305" s="24">
        <f t="shared" si="55"/>
        <v>0</v>
      </c>
      <c r="H305" s="643"/>
      <c r="I305" s="24">
        <f t="shared" si="56"/>
        <v>0.1</v>
      </c>
      <c r="J305" s="643"/>
      <c r="K305" s="24">
        <f t="shared" si="57"/>
        <v>1</v>
      </c>
      <c r="L305" s="643"/>
      <c r="M305" s="24">
        <f t="shared" si="58"/>
        <v>1</v>
      </c>
      <c r="N305" s="643"/>
      <c r="O305" s="24">
        <f t="shared" si="59"/>
        <v>1</v>
      </c>
      <c r="P305" s="643"/>
      <c r="Q305" s="24">
        <f t="shared" si="60"/>
        <v>1</v>
      </c>
      <c r="R305" s="24">
        <f t="shared" si="61"/>
        <v>0</v>
      </c>
      <c r="S305" s="314">
        <f t="shared" si="62"/>
        <v>0</v>
      </c>
    </row>
    <row r="306" spans="1:19">
      <c r="A306" s="147"/>
      <c r="B306" s="55"/>
      <c r="C306" s="24">
        <f t="shared" si="53"/>
        <v>1</v>
      </c>
      <c r="D306" s="643"/>
      <c r="E306" s="24">
        <f t="shared" si="54"/>
        <v>0</v>
      </c>
      <c r="F306" s="643"/>
      <c r="G306" s="24">
        <f t="shared" si="55"/>
        <v>0</v>
      </c>
      <c r="H306" s="643"/>
      <c r="I306" s="24">
        <f t="shared" si="56"/>
        <v>0.1</v>
      </c>
      <c r="J306" s="643"/>
      <c r="K306" s="24">
        <f t="shared" si="57"/>
        <v>1</v>
      </c>
      <c r="L306" s="643"/>
      <c r="M306" s="24">
        <f t="shared" si="58"/>
        <v>1</v>
      </c>
      <c r="N306" s="643"/>
      <c r="O306" s="24">
        <f t="shared" si="59"/>
        <v>1</v>
      </c>
      <c r="P306" s="643"/>
      <c r="Q306" s="24">
        <f t="shared" si="60"/>
        <v>1</v>
      </c>
      <c r="R306" s="24">
        <f t="shared" si="61"/>
        <v>0</v>
      </c>
      <c r="S306" s="314">
        <f t="shared" si="62"/>
        <v>0</v>
      </c>
    </row>
    <row r="307" spans="1:19">
      <c r="A307" s="147"/>
      <c r="B307" s="55"/>
      <c r="C307" s="24">
        <f t="shared" si="53"/>
        <v>1</v>
      </c>
      <c r="D307" s="643"/>
      <c r="E307" s="24">
        <f t="shared" si="54"/>
        <v>0</v>
      </c>
      <c r="F307" s="643"/>
      <c r="G307" s="24">
        <f t="shared" si="55"/>
        <v>0</v>
      </c>
      <c r="H307" s="643"/>
      <c r="I307" s="24">
        <f t="shared" si="56"/>
        <v>0.1</v>
      </c>
      <c r="J307" s="643"/>
      <c r="K307" s="24">
        <f t="shared" si="57"/>
        <v>1</v>
      </c>
      <c r="L307" s="643"/>
      <c r="M307" s="24">
        <f t="shared" si="58"/>
        <v>1</v>
      </c>
      <c r="N307" s="643"/>
      <c r="O307" s="24">
        <f t="shared" si="59"/>
        <v>1</v>
      </c>
      <c r="P307" s="643"/>
      <c r="Q307" s="24">
        <f t="shared" si="60"/>
        <v>1</v>
      </c>
      <c r="R307" s="24">
        <f t="shared" si="61"/>
        <v>0</v>
      </c>
      <c r="S307" s="314">
        <f t="shared" si="62"/>
        <v>0</v>
      </c>
    </row>
    <row r="308" spans="1:19">
      <c r="A308" s="147"/>
      <c r="B308" s="55"/>
      <c r="C308" s="24">
        <f t="shared" si="53"/>
        <v>1</v>
      </c>
      <c r="D308" s="643"/>
      <c r="E308" s="24">
        <f t="shared" si="54"/>
        <v>0</v>
      </c>
      <c r="F308" s="643"/>
      <c r="G308" s="24">
        <f t="shared" si="55"/>
        <v>0</v>
      </c>
      <c r="H308" s="643"/>
      <c r="I308" s="24">
        <f t="shared" si="56"/>
        <v>0.1</v>
      </c>
      <c r="J308" s="643"/>
      <c r="K308" s="24">
        <f t="shared" si="57"/>
        <v>1</v>
      </c>
      <c r="L308" s="643"/>
      <c r="M308" s="24">
        <f t="shared" si="58"/>
        <v>1</v>
      </c>
      <c r="N308" s="643"/>
      <c r="O308" s="24">
        <f t="shared" si="59"/>
        <v>1</v>
      </c>
      <c r="P308" s="643"/>
      <c r="Q308" s="24">
        <f t="shared" si="60"/>
        <v>1</v>
      </c>
      <c r="R308" s="24">
        <f t="shared" si="61"/>
        <v>0</v>
      </c>
      <c r="S308" s="314">
        <f t="shared" si="62"/>
        <v>0</v>
      </c>
    </row>
    <row r="309" spans="1:19">
      <c r="A309" s="147"/>
      <c r="B309" s="55"/>
      <c r="C309" s="24">
        <f t="shared" si="53"/>
        <v>1</v>
      </c>
      <c r="D309" s="643"/>
      <c r="E309" s="24">
        <f t="shared" si="54"/>
        <v>0</v>
      </c>
      <c r="F309" s="643"/>
      <c r="G309" s="24">
        <f t="shared" si="55"/>
        <v>0</v>
      </c>
      <c r="H309" s="643"/>
      <c r="I309" s="24">
        <f t="shared" si="56"/>
        <v>0.1</v>
      </c>
      <c r="J309" s="643"/>
      <c r="K309" s="24">
        <f t="shared" si="57"/>
        <v>1</v>
      </c>
      <c r="L309" s="643"/>
      <c r="M309" s="24">
        <f t="shared" si="58"/>
        <v>1</v>
      </c>
      <c r="N309" s="643"/>
      <c r="O309" s="24">
        <f t="shared" si="59"/>
        <v>1</v>
      </c>
      <c r="P309" s="643"/>
      <c r="Q309" s="24">
        <f t="shared" si="60"/>
        <v>1</v>
      </c>
      <c r="R309" s="24">
        <f t="shared" si="61"/>
        <v>0</v>
      </c>
      <c r="S309" s="314">
        <f t="shared" si="62"/>
        <v>0</v>
      </c>
    </row>
    <row r="310" spans="1:19">
      <c r="A310" s="147"/>
      <c r="B310" s="55"/>
      <c r="C310" s="24">
        <f t="shared" si="53"/>
        <v>1</v>
      </c>
      <c r="D310" s="643"/>
      <c r="E310" s="24">
        <f t="shared" si="54"/>
        <v>0</v>
      </c>
      <c r="F310" s="643"/>
      <c r="G310" s="24">
        <f t="shared" si="55"/>
        <v>0</v>
      </c>
      <c r="H310" s="643"/>
      <c r="I310" s="24">
        <f t="shared" si="56"/>
        <v>0.1</v>
      </c>
      <c r="J310" s="643"/>
      <c r="K310" s="24">
        <f t="shared" si="57"/>
        <v>1</v>
      </c>
      <c r="L310" s="643"/>
      <c r="M310" s="24">
        <f t="shared" si="58"/>
        <v>1</v>
      </c>
      <c r="N310" s="643"/>
      <c r="O310" s="24">
        <f t="shared" si="59"/>
        <v>1</v>
      </c>
      <c r="P310" s="643"/>
      <c r="Q310" s="24">
        <f t="shared" si="60"/>
        <v>1</v>
      </c>
      <c r="R310" s="24">
        <f t="shared" si="61"/>
        <v>0</v>
      </c>
      <c r="S310" s="314">
        <f t="shared" si="62"/>
        <v>0</v>
      </c>
    </row>
    <row r="311" spans="1:19">
      <c r="A311" s="147"/>
      <c r="B311" s="55"/>
      <c r="C311" s="24">
        <f t="shared" si="53"/>
        <v>1</v>
      </c>
      <c r="D311" s="643"/>
      <c r="E311" s="24">
        <f t="shared" si="54"/>
        <v>0</v>
      </c>
      <c r="F311" s="643"/>
      <c r="G311" s="24">
        <f t="shared" si="55"/>
        <v>0</v>
      </c>
      <c r="H311" s="643"/>
      <c r="I311" s="24">
        <f t="shared" si="56"/>
        <v>0.1</v>
      </c>
      <c r="J311" s="643"/>
      <c r="K311" s="24">
        <f t="shared" si="57"/>
        <v>1</v>
      </c>
      <c r="L311" s="643"/>
      <c r="M311" s="24">
        <f t="shared" si="58"/>
        <v>1</v>
      </c>
      <c r="N311" s="643"/>
      <c r="O311" s="24">
        <f t="shared" si="59"/>
        <v>1</v>
      </c>
      <c r="P311" s="643"/>
      <c r="Q311" s="24">
        <f t="shared" si="60"/>
        <v>1</v>
      </c>
      <c r="R311" s="24">
        <f t="shared" si="61"/>
        <v>0</v>
      </c>
      <c r="S311" s="314">
        <f t="shared" si="62"/>
        <v>0</v>
      </c>
    </row>
    <row r="312" spans="1:19">
      <c r="A312" s="147"/>
      <c r="B312" s="55"/>
      <c r="C312" s="24">
        <f t="shared" si="53"/>
        <v>1</v>
      </c>
      <c r="D312" s="643"/>
      <c r="E312" s="24">
        <f t="shared" si="54"/>
        <v>0</v>
      </c>
      <c r="F312" s="643"/>
      <c r="G312" s="24">
        <f t="shared" si="55"/>
        <v>0</v>
      </c>
      <c r="H312" s="643"/>
      <c r="I312" s="24">
        <f t="shared" si="56"/>
        <v>0.1</v>
      </c>
      <c r="J312" s="643"/>
      <c r="K312" s="24">
        <f t="shared" si="57"/>
        <v>1</v>
      </c>
      <c r="L312" s="643"/>
      <c r="M312" s="24">
        <f t="shared" si="58"/>
        <v>1</v>
      </c>
      <c r="N312" s="643"/>
      <c r="O312" s="24">
        <f t="shared" si="59"/>
        <v>1</v>
      </c>
      <c r="P312" s="643"/>
      <c r="Q312" s="24">
        <f t="shared" si="60"/>
        <v>1</v>
      </c>
      <c r="R312" s="24">
        <f t="shared" si="61"/>
        <v>0</v>
      </c>
      <c r="S312" s="314">
        <f t="shared" si="62"/>
        <v>0</v>
      </c>
    </row>
    <row r="313" spans="1:19">
      <c r="A313" s="147"/>
      <c r="B313" s="55"/>
      <c r="C313" s="24">
        <f t="shared" si="53"/>
        <v>1</v>
      </c>
      <c r="D313" s="643"/>
      <c r="E313" s="24">
        <f t="shared" si="54"/>
        <v>0</v>
      </c>
      <c r="F313" s="643"/>
      <c r="G313" s="24">
        <f t="shared" si="55"/>
        <v>0</v>
      </c>
      <c r="H313" s="643"/>
      <c r="I313" s="24">
        <f t="shared" si="56"/>
        <v>0.1</v>
      </c>
      <c r="J313" s="643"/>
      <c r="K313" s="24">
        <f t="shared" si="57"/>
        <v>1</v>
      </c>
      <c r="L313" s="643"/>
      <c r="M313" s="24">
        <f t="shared" si="58"/>
        <v>1</v>
      </c>
      <c r="N313" s="643"/>
      <c r="O313" s="24">
        <f t="shared" si="59"/>
        <v>1</v>
      </c>
      <c r="P313" s="643"/>
      <c r="Q313" s="24">
        <f t="shared" si="60"/>
        <v>1</v>
      </c>
      <c r="R313" s="24">
        <f t="shared" si="61"/>
        <v>0</v>
      </c>
      <c r="S313" s="314">
        <f t="shared" si="62"/>
        <v>0</v>
      </c>
    </row>
    <row r="314" spans="1:19">
      <c r="A314" s="147"/>
      <c r="B314" s="55"/>
      <c r="C314" s="24">
        <f t="shared" si="53"/>
        <v>1</v>
      </c>
      <c r="D314" s="643"/>
      <c r="E314" s="24">
        <f t="shared" si="54"/>
        <v>0</v>
      </c>
      <c r="F314" s="643"/>
      <c r="G314" s="24">
        <f t="shared" si="55"/>
        <v>0</v>
      </c>
      <c r="H314" s="643"/>
      <c r="I314" s="24">
        <f t="shared" si="56"/>
        <v>0.1</v>
      </c>
      <c r="J314" s="643"/>
      <c r="K314" s="24">
        <f t="shared" si="57"/>
        <v>1</v>
      </c>
      <c r="L314" s="643"/>
      <c r="M314" s="24">
        <f t="shared" si="58"/>
        <v>1</v>
      </c>
      <c r="N314" s="643"/>
      <c r="O314" s="24">
        <f t="shared" si="59"/>
        <v>1</v>
      </c>
      <c r="P314" s="643"/>
      <c r="Q314" s="24">
        <f t="shared" si="60"/>
        <v>1</v>
      </c>
      <c r="R314" s="24">
        <f t="shared" si="61"/>
        <v>0</v>
      </c>
      <c r="S314" s="314">
        <f t="shared" si="62"/>
        <v>0</v>
      </c>
    </row>
    <row r="315" spans="1:19">
      <c r="A315" s="147"/>
      <c r="B315" s="55"/>
      <c r="C315" s="24">
        <f t="shared" si="53"/>
        <v>1</v>
      </c>
      <c r="D315" s="643"/>
      <c r="E315" s="24">
        <f t="shared" si="54"/>
        <v>0</v>
      </c>
      <c r="F315" s="643"/>
      <c r="G315" s="24">
        <f t="shared" si="55"/>
        <v>0</v>
      </c>
      <c r="H315" s="643"/>
      <c r="I315" s="24">
        <f t="shared" si="56"/>
        <v>0.1</v>
      </c>
      <c r="J315" s="643"/>
      <c r="K315" s="24">
        <f t="shared" si="57"/>
        <v>1</v>
      </c>
      <c r="L315" s="643"/>
      <c r="M315" s="24">
        <f t="shared" si="58"/>
        <v>1</v>
      </c>
      <c r="N315" s="643"/>
      <c r="O315" s="24">
        <f t="shared" si="59"/>
        <v>1</v>
      </c>
      <c r="P315" s="643"/>
      <c r="Q315" s="24">
        <f t="shared" si="60"/>
        <v>1</v>
      </c>
      <c r="R315" s="24">
        <f t="shared" si="61"/>
        <v>0</v>
      </c>
      <c r="S315" s="314">
        <f t="shared" si="62"/>
        <v>0</v>
      </c>
    </row>
    <row r="316" spans="1:19">
      <c r="A316" s="147"/>
      <c r="B316" s="55"/>
      <c r="C316" s="24">
        <f t="shared" si="53"/>
        <v>1</v>
      </c>
      <c r="D316" s="643"/>
      <c r="E316" s="24">
        <f t="shared" si="54"/>
        <v>0</v>
      </c>
      <c r="F316" s="643"/>
      <c r="G316" s="24">
        <f t="shared" si="55"/>
        <v>0</v>
      </c>
      <c r="H316" s="643"/>
      <c r="I316" s="24">
        <f t="shared" si="56"/>
        <v>0.1</v>
      </c>
      <c r="J316" s="643"/>
      <c r="K316" s="24">
        <f t="shared" si="57"/>
        <v>1</v>
      </c>
      <c r="L316" s="643"/>
      <c r="M316" s="24">
        <f t="shared" si="58"/>
        <v>1</v>
      </c>
      <c r="N316" s="643"/>
      <c r="O316" s="24">
        <f t="shared" si="59"/>
        <v>1</v>
      </c>
      <c r="P316" s="643"/>
      <c r="Q316" s="24">
        <f t="shared" si="60"/>
        <v>1</v>
      </c>
      <c r="R316" s="24">
        <f t="shared" si="61"/>
        <v>0</v>
      </c>
      <c r="S316" s="314">
        <f t="shared" si="62"/>
        <v>0</v>
      </c>
    </row>
    <row r="317" spans="1:19">
      <c r="A317" s="147"/>
      <c r="B317" s="55"/>
      <c r="C317" s="24">
        <f t="shared" si="53"/>
        <v>1</v>
      </c>
      <c r="D317" s="643"/>
      <c r="E317" s="24">
        <f t="shared" si="54"/>
        <v>0</v>
      </c>
      <c r="F317" s="643"/>
      <c r="G317" s="24">
        <f t="shared" si="55"/>
        <v>0</v>
      </c>
      <c r="H317" s="643"/>
      <c r="I317" s="24">
        <f t="shared" si="56"/>
        <v>0.1</v>
      </c>
      <c r="J317" s="643"/>
      <c r="K317" s="24">
        <f t="shared" si="57"/>
        <v>1</v>
      </c>
      <c r="L317" s="643"/>
      <c r="M317" s="24">
        <f t="shared" si="58"/>
        <v>1</v>
      </c>
      <c r="N317" s="643"/>
      <c r="O317" s="24">
        <f t="shared" si="59"/>
        <v>1</v>
      </c>
      <c r="P317" s="643"/>
      <c r="Q317" s="24">
        <f t="shared" si="60"/>
        <v>1</v>
      </c>
      <c r="R317" s="24">
        <f t="shared" si="61"/>
        <v>0</v>
      </c>
      <c r="S317" s="314">
        <f t="shared" si="62"/>
        <v>0</v>
      </c>
    </row>
    <row r="318" spans="1:19">
      <c r="A318" s="147"/>
      <c r="B318" s="55"/>
      <c r="C318" s="24">
        <f t="shared" si="53"/>
        <v>1</v>
      </c>
      <c r="D318" s="643"/>
      <c r="E318" s="24">
        <f t="shared" si="54"/>
        <v>0</v>
      </c>
      <c r="F318" s="643"/>
      <c r="G318" s="24">
        <f t="shared" si="55"/>
        <v>0</v>
      </c>
      <c r="H318" s="643"/>
      <c r="I318" s="24">
        <f t="shared" si="56"/>
        <v>0.1</v>
      </c>
      <c r="J318" s="643"/>
      <c r="K318" s="24">
        <f t="shared" si="57"/>
        <v>1</v>
      </c>
      <c r="L318" s="643"/>
      <c r="M318" s="24">
        <f t="shared" si="58"/>
        <v>1</v>
      </c>
      <c r="N318" s="643"/>
      <c r="O318" s="24">
        <f t="shared" si="59"/>
        <v>1</v>
      </c>
      <c r="P318" s="643"/>
      <c r="Q318" s="24">
        <f t="shared" si="60"/>
        <v>1</v>
      </c>
      <c r="R318" s="24">
        <f t="shared" si="61"/>
        <v>0</v>
      </c>
      <c r="S318" s="314">
        <f t="shared" si="62"/>
        <v>0</v>
      </c>
    </row>
    <row r="319" spans="1:19">
      <c r="A319" s="147"/>
      <c r="B319" s="55"/>
      <c r="C319" s="24">
        <f t="shared" si="53"/>
        <v>1</v>
      </c>
      <c r="D319" s="643"/>
      <c r="E319" s="24">
        <f t="shared" si="54"/>
        <v>0</v>
      </c>
      <c r="F319" s="643"/>
      <c r="G319" s="24">
        <f t="shared" si="55"/>
        <v>0</v>
      </c>
      <c r="H319" s="643"/>
      <c r="I319" s="24">
        <f t="shared" si="56"/>
        <v>0.1</v>
      </c>
      <c r="J319" s="643"/>
      <c r="K319" s="24">
        <f t="shared" si="57"/>
        <v>1</v>
      </c>
      <c r="L319" s="643"/>
      <c r="M319" s="24">
        <f t="shared" si="58"/>
        <v>1</v>
      </c>
      <c r="N319" s="643"/>
      <c r="O319" s="24">
        <f t="shared" si="59"/>
        <v>1</v>
      </c>
      <c r="P319" s="643"/>
      <c r="Q319" s="24">
        <f t="shared" si="60"/>
        <v>1</v>
      </c>
      <c r="R319" s="24">
        <f t="shared" si="61"/>
        <v>0</v>
      </c>
      <c r="S319" s="314">
        <f t="shared" si="62"/>
        <v>0</v>
      </c>
    </row>
    <row r="320" spans="1:19">
      <c r="A320" s="147"/>
      <c r="B320" s="55"/>
      <c r="C320" s="24">
        <f t="shared" si="53"/>
        <v>1</v>
      </c>
      <c r="D320" s="643"/>
      <c r="E320" s="24">
        <f t="shared" si="54"/>
        <v>0</v>
      </c>
      <c r="F320" s="643"/>
      <c r="G320" s="24">
        <f t="shared" si="55"/>
        <v>0</v>
      </c>
      <c r="H320" s="643"/>
      <c r="I320" s="24">
        <f t="shared" si="56"/>
        <v>0.1</v>
      </c>
      <c r="J320" s="643"/>
      <c r="K320" s="24">
        <f t="shared" si="57"/>
        <v>1</v>
      </c>
      <c r="L320" s="643"/>
      <c r="M320" s="24">
        <f t="shared" si="58"/>
        <v>1</v>
      </c>
      <c r="N320" s="643"/>
      <c r="O320" s="24">
        <f t="shared" si="59"/>
        <v>1</v>
      </c>
      <c r="P320" s="643"/>
      <c r="Q320" s="24">
        <f t="shared" si="60"/>
        <v>1</v>
      </c>
      <c r="R320" s="24">
        <f t="shared" si="61"/>
        <v>0</v>
      </c>
      <c r="S320" s="314">
        <f t="shared" si="62"/>
        <v>0</v>
      </c>
    </row>
    <row r="321" spans="1:19">
      <c r="A321" s="147"/>
      <c r="B321" s="55"/>
      <c r="C321" s="24">
        <f t="shared" si="53"/>
        <v>1</v>
      </c>
      <c r="D321" s="643"/>
      <c r="E321" s="24">
        <f t="shared" si="54"/>
        <v>0</v>
      </c>
      <c r="F321" s="643"/>
      <c r="G321" s="24">
        <f t="shared" si="55"/>
        <v>0</v>
      </c>
      <c r="H321" s="643"/>
      <c r="I321" s="24">
        <f t="shared" si="56"/>
        <v>0.1</v>
      </c>
      <c r="J321" s="643"/>
      <c r="K321" s="24">
        <f t="shared" si="57"/>
        <v>1</v>
      </c>
      <c r="L321" s="643"/>
      <c r="M321" s="24">
        <f t="shared" si="58"/>
        <v>1</v>
      </c>
      <c r="N321" s="643"/>
      <c r="O321" s="24">
        <f t="shared" si="59"/>
        <v>1</v>
      </c>
      <c r="P321" s="643"/>
      <c r="Q321" s="24">
        <f t="shared" si="60"/>
        <v>1</v>
      </c>
      <c r="R321" s="24">
        <f t="shared" si="61"/>
        <v>0</v>
      </c>
      <c r="S321" s="314">
        <f t="shared" ref="S321:S384" si="63">ROUND(R321*B321/10000,0)</f>
        <v>0</v>
      </c>
    </row>
    <row r="322" spans="1:19">
      <c r="A322" s="147"/>
      <c r="B322" s="55"/>
      <c r="C322" s="24">
        <f t="shared" si="53"/>
        <v>1</v>
      </c>
      <c r="D322" s="643"/>
      <c r="E322" s="24">
        <f t="shared" si="54"/>
        <v>0</v>
      </c>
      <c r="F322" s="643"/>
      <c r="G322" s="24">
        <f t="shared" si="55"/>
        <v>0</v>
      </c>
      <c r="H322" s="643"/>
      <c r="I322" s="24">
        <f t="shared" si="56"/>
        <v>0.1</v>
      </c>
      <c r="J322" s="643"/>
      <c r="K322" s="24">
        <f t="shared" si="57"/>
        <v>1</v>
      </c>
      <c r="L322" s="643"/>
      <c r="M322" s="24">
        <f t="shared" si="58"/>
        <v>1</v>
      </c>
      <c r="N322" s="643"/>
      <c r="O322" s="24">
        <f t="shared" si="59"/>
        <v>1</v>
      </c>
      <c r="P322" s="643"/>
      <c r="Q322" s="24">
        <f t="shared" si="60"/>
        <v>1</v>
      </c>
      <c r="R322" s="24">
        <f t="shared" si="61"/>
        <v>0</v>
      </c>
      <c r="S322" s="314">
        <f t="shared" si="63"/>
        <v>0</v>
      </c>
    </row>
    <row r="323" spans="1:19">
      <c r="A323" s="147"/>
      <c r="B323" s="55"/>
      <c r="C323" s="24">
        <f t="shared" si="53"/>
        <v>1</v>
      </c>
      <c r="D323" s="643"/>
      <c r="E323" s="24">
        <f t="shared" si="54"/>
        <v>0</v>
      </c>
      <c r="F323" s="643"/>
      <c r="G323" s="24">
        <f t="shared" si="55"/>
        <v>0</v>
      </c>
      <c r="H323" s="643"/>
      <c r="I323" s="24">
        <f t="shared" si="56"/>
        <v>0.1</v>
      </c>
      <c r="J323" s="643"/>
      <c r="K323" s="24">
        <f t="shared" si="57"/>
        <v>1</v>
      </c>
      <c r="L323" s="643"/>
      <c r="M323" s="24">
        <f t="shared" si="58"/>
        <v>1</v>
      </c>
      <c r="N323" s="643"/>
      <c r="O323" s="24">
        <f t="shared" si="59"/>
        <v>1</v>
      </c>
      <c r="P323" s="643"/>
      <c r="Q323" s="24">
        <f t="shared" si="60"/>
        <v>1</v>
      </c>
      <c r="R323" s="24">
        <f t="shared" si="61"/>
        <v>0</v>
      </c>
      <c r="S323" s="314">
        <f t="shared" si="63"/>
        <v>0</v>
      </c>
    </row>
    <row r="324" spans="1:19">
      <c r="A324" s="147"/>
      <c r="B324" s="55"/>
      <c r="C324" s="24">
        <f t="shared" si="53"/>
        <v>1</v>
      </c>
      <c r="D324" s="643"/>
      <c r="E324" s="24">
        <f t="shared" si="54"/>
        <v>0</v>
      </c>
      <c r="F324" s="643"/>
      <c r="G324" s="24">
        <f t="shared" si="55"/>
        <v>0</v>
      </c>
      <c r="H324" s="643"/>
      <c r="I324" s="24">
        <f t="shared" si="56"/>
        <v>0.1</v>
      </c>
      <c r="J324" s="643"/>
      <c r="K324" s="24">
        <f t="shared" si="57"/>
        <v>1</v>
      </c>
      <c r="L324" s="643"/>
      <c r="M324" s="24">
        <f t="shared" si="58"/>
        <v>1</v>
      </c>
      <c r="N324" s="643"/>
      <c r="O324" s="24">
        <f t="shared" si="59"/>
        <v>1</v>
      </c>
      <c r="P324" s="643"/>
      <c r="Q324" s="24">
        <f t="shared" si="60"/>
        <v>1</v>
      </c>
      <c r="R324" s="24">
        <f t="shared" si="61"/>
        <v>0</v>
      </c>
      <c r="S324" s="314">
        <f t="shared" si="63"/>
        <v>0</v>
      </c>
    </row>
    <row r="325" spans="1:19">
      <c r="A325" s="147"/>
      <c r="B325" s="55"/>
      <c r="C325" s="24">
        <f t="shared" si="53"/>
        <v>1</v>
      </c>
      <c r="D325" s="643"/>
      <c r="E325" s="24">
        <f t="shared" si="54"/>
        <v>0</v>
      </c>
      <c r="F325" s="643"/>
      <c r="G325" s="24">
        <f t="shared" si="55"/>
        <v>0</v>
      </c>
      <c r="H325" s="643"/>
      <c r="I325" s="24">
        <f t="shared" si="56"/>
        <v>0.1</v>
      </c>
      <c r="J325" s="643"/>
      <c r="K325" s="24">
        <f t="shared" si="57"/>
        <v>1</v>
      </c>
      <c r="L325" s="643"/>
      <c r="M325" s="24">
        <f t="shared" si="58"/>
        <v>1</v>
      </c>
      <c r="N325" s="643"/>
      <c r="O325" s="24">
        <f t="shared" si="59"/>
        <v>1</v>
      </c>
      <c r="P325" s="643"/>
      <c r="Q325" s="24">
        <f t="shared" si="60"/>
        <v>1</v>
      </c>
      <c r="R325" s="24">
        <f t="shared" si="61"/>
        <v>0</v>
      </c>
      <c r="S325" s="314">
        <f t="shared" si="63"/>
        <v>0</v>
      </c>
    </row>
    <row r="326" spans="1:19">
      <c r="A326" s="147"/>
      <c r="B326" s="55"/>
      <c r="C326" s="24">
        <f t="shared" si="53"/>
        <v>1</v>
      </c>
      <c r="D326" s="643"/>
      <c r="E326" s="24">
        <f t="shared" si="54"/>
        <v>0</v>
      </c>
      <c r="F326" s="643"/>
      <c r="G326" s="24">
        <f t="shared" si="55"/>
        <v>0</v>
      </c>
      <c r="H326" s="643"/>
      <c r="I326" s="24">
        <f t="shared" si="56"/>
        <v>0.1</v>
      </c>
      <c r="J326" s="643"/>
      <c r="K326" s="24">
        <f t="shared" si="57"/>
        <v>1</v>
      </c>
      <c r="L326" s="643"/>
      <c r="M326" s="24">
        <f t="shared" si="58"/>
        <v>1</v>
      </c>
      <c r="N326" s="643"/>
      <c r="O326" s="24">
        <f t="shared" si="59"/>
        <v>1</v>
      </c>
      <c r="P326" s="643"/>
      <c r="Q326" s="24">
        <f t="shared" si="60"/>
        <v>1</v>
      </c>
      <c r="R326" s="24">
        <f t="shared" si="61"/>
        <v>0</v>
      </c>
      <c r="S326" s="314">
        <f t="shared" si="63"/>
        <v>0</v>
      </c>
    </row>
    <row r="327" spans="1:19">
      <c r="A327" s="147"/>
      <c r="B327" s="55"/>
      <c r="C327" s="24">
        <f t="shared" si="53"/>
        <v>1</v>
      </c>
      <c r="D327" s="643"/>
      <c r="E327" s="24">
        <f t="shared" si="54"/>
        <v>0</v>
      </c>
      <c r="F327" s="643"/>
      <c r="G327" s="24">
        <f t="shared" si="55"/>
        <v>0</v>
      </c>
      <c r="H327" s="643"/>
      <c r="I327" s="24">
        <f t="shared" si="56"/>
        <v>0.1</v>
      </c>
      <c r="J327" s="643"/>
      <c r="K327" s="24">
        <f t="shared" si="57"/>
        <v>1</v>
      </c>
      <c r="L327" s="643"/>
      <c r="M327" s="24">
        <f t="shared" si="58"/>
        <v>1</v>
      </c>
      <c r="N327" s="643"/>
      <c r="O327" s="24">
        <f t="shared" si="59"/>
        <v>1</v>
      </c>
      <c r="P327" s="643"/>
      <c r="Q327" s="24">
        <f t="shared" si="60"/>
        <v>1</v>
      </c>
      <c r="R327" s="24">
        <f t="shared" si="61"/>
        <v>0</v>
      </c>
      <c r="S327" s="314">
        <f t="shared" si="63"/>
        <v>0</v>
      </c>
    </row>
    <row r="328" spans="1:19">
      <c r="A328" s="147"/>
      <c r="B328" s="55"/>
      <c r="C328" s="24">
        <f t="shared" si="53"/>
        <v>1</v>
      </c>
      <c r="D328" s="643"/>
      <c r="E328" s="24">
        <f t="shared" si="54"/>
        <v>0</v>
      </c>
      <c r="F328" s="643"/>
      <c r="G328" s="24">
        <f t="shared" si="55"/>
        <v>0</v>
      </c>
      <c r="H328" s="643"/>
      <c r="I328" s="24">
        <f t="shared" si="56"/>
        <v>0.1</v>
      </c>
      <c r="J328" s="643"/>
      <c r="K328" s="24">
        <f t="shared" si="57"/>
        <v>1</v>
      </c>
      <c r="L328" s="643"/>
      <c r="M328" s="24">
        <f t="shared" si="58"/>
        <v>1</v>
      </c>
      <c r="N328" s="643"/>
      <c r="O328" s="24">
        <f t="shared" si="59"/>
        <v>1</v>
      </c>
      <c r="P328" s="643"/>
      <c r="Q328" s="24">
        <f t="shared" si="60"/>
        <v>1</v>
      </c>
      <c r="R328" s="24">
        <f t="shared" si="61"/>
        <v>0</v>
      </c>
      <c r="S328" s="314">
        <f t="shared" si="63"/>
        <v>0</v>
      </c>
    </row>
    <row r="329" spans="1:19">
      <c r="A329" s="147"/>
      <c r="B329" s="55"/>
      <c r="C329" s="24">
        <f t="shared" si="53"/>
        <v>1</v>
      </c>
      <c r="D329" s="643"/>
      <c r="E329" s="24">
        <f t="shared" si="54"/>
        <v>0</v>
      </c>
      <c r="F329" s="643"/>
      <c r="G329" s="24">
        <f t="shared" si="55"/>
        <v>0</v>
      </c>
      <c r="H329" s="643"/>
      <c r="I329" s="24">
        <f t="shared" si="56"/>
        <v>0.1</v>
      </c>
      <c r="J329" s="643"/>
      <c r="K329" s="24">
        <f t="shared" si="57"/>
        <v>1</v>
      </c>
      <c r="L329" s="643"/>
      <c r="M329" s="24">
        <f t="shared" si="58"/>
        <v>1</v>
      </c>
      <c r="N329" s="643"/>
      <c r="O329" s="24">
        <f t="shared" si="59"/>
        <v>1</v>
      </c>
      <c r="P329" s="643"/>
      <c r="Q329" s="24">
        <f t="shared" si="60"/>
        <v>1</v>
      </c>
      <c r="R329" s="24">
        <f t="shared" si="61"/>
        <v>0</v>
      </c>
      <c r="S329" s="314">
        <f t="shared" si="63"/>
        <v>0</v>
      </c>
    </row>
    <row r="330" spans="1:19">
      <c r="A330" s="147"/>
      <c r="B330" s="55"/>
      <c r="C330" s="24">
        <f t="shared" si="53"/>
        <v>1</v>
      </c>
      <c r="D330" s="643"/>
      <c r="E330" s="24">
        <f t="shared" si="54"/>
        <v>0</v>
      </c>
      <c r="F330" s="643"/>
      <c r="G330" s="24">
        <f t="shared" si="55"/>
        <v>0</v>
      </c>
      <c r="H330" s="643"/>
      <c r="I330" s="24">
        <f t="shared" si="56"/>
        <v>0.1</v>
      </c>
      <c r="J330" s="643"/>
      <c r="K330" s="24">
        <f t="shared" si="57"/>
        <v>1</v>
      </c>
      <c r="L330" s="643"/>
      <c r="M330" s="24">
        <f t="shared" si="58"/>
        <v>1</v>
      </c>
      <c r="N330" s="643"/>
      <c r="O330" s="24">
        <f t="shared" si="59"/>
        <v>1</v>
      </c>
      <c r="P330" s="643"/>
      <c r="Q330" s="24">
        <f t="shared" si="60"/>
        <v>1</v>
      </c>
      <c r="R330" s="24">
        <f t="shared" si="61"/>
        <v>0</v>
      </c>
      <c r="S330" s="314">
        <f t="shared" si="63"/>
        <v>0</v>
      </c>
    </row>
    <row r="331" spans="1:19">
      <c r="A331" s="147"/>
      <c r="B331" s="55"/>
      <c r="C331" s="24">
        <f t="shared" si="53"/>
        <v>1</v>
      </c>
      <c r="D331" s="643"/>
      <c r="E331" s="24">
        <f t="shared" si="54"/>
        <v>0</v>
      </c>
      <c r="F331" s="643"/>
      <c r="G331" s="24">
        <f t="shared" si="55"/>
        <v>0</v>
      </c>
      <c r="H331" s="643"/>
      <c r="I331" s="24">
        <f t="shared" si="56"/>
        <v>0.1</v>
      </c>
      <c r="J331" s="643"/>
      <c r="K331" s="24">
        <f t="shared" si="57"/>
        <v>1</v>
      </c>
      <c r="L331" s="643"/>
      <c r="M331" s="24">
        <f t="shared" si="58"/>
        <v>1</v>
      </c>
      <c r="N331" s="643"/>
      <c r="O331" s="24">
        <f t="shared" si="59"/>
        <v>1</v>
      </c>
      <c r="P331" s="643"/>
      <c r="Q331" s="24">
        <f t="shared" si="60"/>
        <v>1</v>
      </c>
      <c r="R331" s="24">
        <f t="shared" si="61"/>
        <v>0</v>
      </c>
      <c r="S331" s="314">
        <f t="shared" si="63"/>
        <v>0</v>
      </c>
    </row>
    <row r="332" spans="1:19">
      <c r="A332" s="147"/>
      <c r="B332" s="55"/>
      <c r="C332" s="24">
        <f t="shared" si="53"/>
        <v>1</v>
      </c>
      <c r="D332" s="643"/>
      <c r="E332" s="24">
        <f t="shared" si="54"/>
        <v>0</v>
      </c>
      <c r="F332" s="643"/>
      <c r="G332" s="24">
        <f t="shared" si="55"/>
        <v>0</v>
      </c>
      <c r="H332" s="643"/>
      <c r="I332" s="24">
        <f t="shared" si="56"/>
        <v>0.1</v>
      </c>
      <c r="J332" s="643"/>
      <c r="K332" s="24">
        <f t="shared" si="57"/>
        <v>1</v>
      </c>
      <c r="L332" s="643"/>
      <c r="M332" s="24">
        <f t="shared" si="58"/>
        <v>1</v>
      </c>
      <c r="N332" s="643"/>
      <c r="O332" s="24">
        <f t="shared" si="59"/>
        <v>1</v>
      </c>
      <c r="P332" s="643"/>
      <c r="Q332" s="24">
        <f t="shared" si="60"/>
        <v>1</v>
      </c>
      <c r="R332" s="24">
        <f t="shared" si="61"/>
        <v>0</v>
      </c>
      <c r="S332" s="314">
        <f t="shared" si="63"/>
        <v>0</v>
      </c>
    </row>
    <row r="333" spans="1:19">
      <c r="A333" s="147"/>
      <c r="B333" s="55"/>
      <c r="C333" s="24">
        <f t="shared" si="53"/>
        <v>1</v>
      </c>
      <c r="D333" s="643"/>
      <c r="E333" s="24">
        <f t="shared" si="54"/>
        <v>0</v>
      </c>
      <c r="F333" s="643"/>
      <c r="G333" s="24">
        <f t="shared" si="55"/>
        <v>0</v>
      </c>
      <c r="H333" s="643"/>
      <c r="I333" s="24">
        <f t="shared" si="56"/>
        <v>0.1</v>
      </c>
      <c r="J333" s="643"/>
      <c r="K333" s="24">
        <f t="shared" si="57"/>
        <v>1</v>
      </c>
      <c r="L333" s="643"/>
      <c r="M333" s="24">
        <f t="shared" si="58"/>
        <v>1</v>
      </c>
      <c r="N333" s="643"/>
      <c r="O333" s="24">
        <f t="shared" si="59"/>
        <v>1</v>
      </c>
      <c r="P333" s="643"/>
      <c r="Q333" s="24">
        <f t="shared" si="60"/>
        <v>1</v>
      </c>
      <c r="R333" s="24">
        <f t="shared" si="61"/>
        <v>0</v>
      </c>
      <c r="S333" s="314">
        <f t="shared" si="63"/>
        <v>0</v>
      </c>
    </row>
    <row r="334" spans="1:19">
      <c r="A334" s="147"/>
      <c r="B334" s="55"/>
      <c r="C334" s="24">
        <f t="shared" si="53"/>
        <v>1</v>
      </c>
      <c r="D334" s="643"/>
      <c r="E334" s="24">
        <f t="shared" si="54"/>
        <v>0</v>
      </c>
      <c r="F334" s="643"/>
      <c r="G334" s="24">
        <f t="shared" si="55"/>
        <v>0</v>
      </c>
      <c r="H334" s="643"/>
      <c r="I334" s="24">
        <f t="shared" si="56"/>
        <v>0.1</v>
      </c>
      <c r="J334" s="643"/>
      <c r="K334" s="24">
        <f t="shared" si="57"/>
        <v>1</v>
      </c>
      <c r="L334" s="643"/>
      <c r="M334" s="24">
        <f t="shared" si="58"/>
        <v>1</v>
      </c>
      <c r="N334" s="643"/>
      <c r="O334" s="24">
        <f t="shared" si="59"/>
        <v>1</v>
      </c>
      <c r="P334" s="643"/>
      <c r="Q334" s="24">
        <f t="shared" si="60"/>
        <v>1</v>
      </c>
      <c r="R334" s="24">
        <f t="shared" si="61"/>
        <v>0</v>
      </c>
      <c r="S334" s="314">
        <f t="shared" si="63"/>
        <v>0</v>
      </c>
    </row>
    <row r="335" spans="1:19">
      <c r="A335" s="147"/>
      <c r="B335" s="55"/>
      <c r="C335" s="24">
        <f t="shared" si="53"/>
        <v>1</v>
      </c>
      <c r="D335" s="643"/>
      <c r="E335" s="24">
        <f t="shared" si="54"/>
        <v>0</v>
      </c>
      <c r="F335" s="643"/>
      <c r="G335" s="24">
        <f t="shared" si="55"/>
        <v>0</v>
      </c>
      <c r="H335" s="643"/>
      <c r="I335" s="24">
        <f t="shared" si="56"/>
        <v>0.1</v>
      </c>
      <c r="J335" s="643"/>
      <c r="K335" s="24">
        <f t="shared" si="57"/>
        <v>1</v>
      </c>
      <c r="L335" s="643"/>
      <c r="M335" s="24">
        <f t="shared" si="58"/>
        <v>1</v>
      </c>
      <c r="N335" s="643"/>
      <c r="O335" s="24">
        <f t="shared" si="59"/>
        <v>1</v>
      </c>
      <c r="P335" s="643"/>
      <c r="Q335" s="24">
        <f t="shared" si="60"/>
        <v>1</v>
      </c>
      <c r="R335" s="24">
        <f t="shared" si="61"/>
        <v>0</v>
      </c>
      <c r="S335" s="314">
        <f t="shared" si="63"/>
        <v>0</v>
      </c>
    </row>
    <row r="336" spans="1:19">
      <c r="A336" s="147"/>
      <c r="B336" s="55"/>
      <c r="C336" s="24">
        <f t="shared" si="53"/>
        <v>1</v>
      </c>
      <c r="D336" s="643"/>
      <c r="E336" s="24">
        <f t="shared" si="54"/>
        <v>0</v>
      </c>
      <c r="F336" s="643"/>
      <c r="G336" s="24">
        <f t="shared" si="55"/>
        <v>0</v>
      </c>
      <c r="H336" s="643"/>
      <c r="I336" s="24">
        <f t="shared" si="56"/>
        <v>0.1</v>
      </c>
      <c r="J336" s="643"/>
      <c r="K336" s="24">
        <f t="shared" si="57"/>
        <v>1</v>
      </c>
      <c r="L336" s="643"/>
      <c r="M336" s="24">
        <f t="shared" si="58"/>
        <v>1</v>
      </c>
      <c r="N336" s="643"/>
      <c r="O336" s="24">
        <f t="shared" si="59"/>
        <v>1</v>
      </c>
      <c r="P336" s="643"/>
      <c r="Q336" s="24">
        <f t="shared" si="60"/>
        <v>1</v>
      </c>
      <c r="R336" s="24">
        <f t="shared" si="61"/>
        <v>0</v>
      </c>
      <c r="S336" s="314">
        <f t="shared" si="63"/>
        <v>0</v>
      </c>
    </row>
    <row r="337" spans="1:19">
      <c r="A337" s="147"/>
      <c r="B337" s="55"/>
      <c r="C337" s="24">
        <f t="shared" si="53"/>
        <v>1</v>
      </c>
      <c r="D337" s="643"/>
      <c r="E337" s="24">
        <f t="shared" si="54"/>
        <v>0</v>
      </c>
      <c r="F337" s="643"/>
      <c r="G337" s="24">
        <f t="shared" si="55"/>
        <v>0</v>
      </c>
      <c r="H337" s="643"/>
      <c r="I337" s="24">
        <f t="shared" si="56"/>
        <v>0.1</v>
      </c>
      <c r="J337" s="643"/>
      <c r="K337" s="24">
        <f t="shared" si="57"/>
        <v>1</v>
      </c>
      <c r="L337" s="643"/>
      <c r="M337" s="24">
        <f t="shared" si="58"/>
        <v>1</v>
      </c>
      <c r="N337" s="643"/>
      <c r="O337" s="24">
        <f t="shared" si="59"/>
        <v>1</v>
      </c>
      <c r="P337" s="643"/>
      <c r="Q337" s="24">
        <f t="shared" si="60"/>
        <v>1</v>
      </c>
      <c r="R337" s="24">
        <f t="shared" si="61"/>
        <v>0</v>
      </c>
      <c r="S337" s="314">
        <f t="shared" si="63"/>
        <v>0</v>
      </c>
    </row>
    <row r="338" spans="1:19">
      <c r="A338" s="147"/>
      <c r="B338" s="55"/>
      <c r="C338" s="24">
        <f t="shared" si="53"/>
        <v>1</v>
      </c>
      <c r="D338" s="643"/>
      <c r="E338" s="24">
        <f t="shared" si="54"/>
        <v>0</v>
      </c>
      <c r="F338" s="643"/>
      <c r="G338" s="24">
        <f t="shared" si="55"/>
        <v>0</v>
      </c>
      <c r="H338" s="643"/>
      <c r="I338" s="24">
        <f t="shared" si="56"/>
        <v>0.1</v>
      </c>
      <c r="J338" s="643"/>
      <c r="K338" s="24">
        <f t="shared" si="57"/>
        <v>1</v>
      </c>
      <c r="L338" s="643"/>
      <c r="M338" s="24">
        <f t="shared" si="58"/>
        <v>1</v>
      </c>
      <c r="N338" s="643"/>
      <c r="O338" s="24">
        <f t="shared" si="59"/>
        <v>1</v>
      </c>
      <c r="P338" s="643"/>
      <c r="Q338" s="24">
        <f t="shared" si="60"/>
        <v>1</v>
      </c>
      <c r="R338" s="24">
        <f t="shared" si="61"/>
        <v>0</v>
      </c>
      <c r="S338" s="314">
        <f t="shared" si="63"/>
        <v>0</v>
      </c>
    </row>
    <row r="339" spans="1:19">
      <c r="A339" s="147"/>
      <c r="B339" s="55"/>
      <c r="C339" s="24">
        <f t="shared" si="53"/>
        <v>1</v>
      </c>
      <c r="D339" s="643"/>
      <c r="E339" s="24">
        <f t="shared" si="54"/>
        <v>0</v>
      </c>
      <c r="F339" s="643"/>
      <c r="G339" s="24">
        <f t="shared" si="55"/>
        <v>0</v>
      </c>
      <c r="H339" s="643"/>
      <c r="I339" s="24">
        <f t="shared" si="56"/>
        <v>0.1</v>
      </c>
      <c r="J339" s="643"/>
      <c r="K339" s="24">
        <f t="shared" si="57"/>
        <v>1</v>
      </c>
      <c r="L339" s="643"/>
      <c r="M339" s="24">
        <f t="shared" si="58"/>
        <v>1</v>
      </c>
      <c r="N339" s="643"/>
      <c r="O339" s="24">
        <f t="shared" si="59"/>
        <v>1</v>
      </c>
      <c r="P339" s="643"/>
      <c r="Q339" s="24">
        <f t="shared" si="60"/>
        <v>1</v>
      </c>
      <c r="R339" s="24">
        <f t="shared" si="61"/>
        <v>0</v>
      </c>
      <c r="S339" s="314">
        <f t="shared" si="63"/>
        <v>0</v>
      </c>
    </row>
    <row r="340" spans="1:19">
      <c r="A340" s="147"/>
      <c r="B340" s="55"/>
      <c r="C340" s="24">
        <f t="shared" si="53"/>
        <v>1</v>
      </c>
      <c r="D340" s="643"/>
      <c r="E340" s="24">
        <f t="shared" si="54"/>
        <v>0</v>
      </c>
      <c r="F340" s="643"/>
      <c r="G340" s="24">
        <f t="shared" si="55"/>
        <v>0</v>
      </c>
      <c r="H340" s="643"/>
      <c r="I340" s="24">
        <f t="shared" si="56"/>
        <v>0.1</v>
      </c>
      <c r="J340" s="643"/>
      <c r="K340" s="24">
        <f t="shared" si="57"/>
        <v>1</v>
      </c>
      <c r="L340" s="643"/>
      <c r="M340" s="24">
        <f t="shared" si="58"/>
        <v>1</v>
      </c>
      <c r="N340" s="643"/>
      <c r="O340" s="24">
        <f t="shared" si="59"/>
        <v>1</v>
      </c>
      <c r="P340" s="643"/>
      <c r="Q340" s="24">
        <f t="shared" si="60"/>
        <v>1</v>
      </c>
      <c r="R340" s="24">
        <f t="shared" si="61"/>
        <v>0</v>
      </c>
      <c r="S340" s="314">
        <f t="shared" si="63"/>
        <v>0</v>
      </c>
    </row>
    <row r="341" spans="1:19">
      <c r="A341" s="147"/>
      <c r="B341" s="55"/>
      <c r="C341" s="24">
        <f t="shared" si="53"/>
        <v>1</v>
      </c>
      <c r="D341" s="643"/>
      <c r="E341" s="24">
        <f t="shared" si="54"/>
        <v>0</v>
      </c>
      <c r="F341" s="643"/>
      <c r="G341" s="24">
        <f t="shared" si="55"/>
        <v>0</v>
      </c>
      <c r="H341" s="643"/>
      <c r="I341" s="24">
        <f t="shared" si="56"/>
        <v>0.1</v>
      </c>
      <c r="J341" s="643"/>
      <c r="K341" s="24">
        <f t="shared" si="57"/>
        <v>1</v>
      </c>
      <c r="L341" s="643"/>
      <c r="M341" s="24">
        <f t="shared" si="58"/>
        <v>1</v>
      </c>
      <c r="N341" s="643"/>
      <c r="O341" s="24">
        <f t="shared" si="59"/>
        <v>1</v>
      </c>
      <c r="P341" s="643"/>
      <c r="Q341" s="24">
        <f t="shared" si="60"/>
        <v>1</v>
      </c>
      <c r="R341" s="24">
        <f t="shared" si="61"/>
        <v>0</v>
      </c>
      <c r="S341" s="314">
        <f t="shared" si="63"/>
        <v>0</v>
      </c>
    </row>
    <row r="342" spans="1:19">
      <c r="A342" s="147"/>
      <c r="B342" s="55"/>
      <c r="C342" s="24">
        <f t="shared" si="53"/>
        <v>1</v>
      </c>
      <c r="D342" s="643"/>
      <c r="E342" s="24">
        <f t="shared" si="54"/>
        <v>0</v>
      </c>
      <c r="F342" s="643"/>
      <c r="G342" s="24">
        <f t="shared" si="55"/>
        <v>0</v>
      </c>
      <c r="H342" s="643"/>
      <c r="I342" s="24">
        <f t="shared" si="56"/>
        <v>0.1</v>
      </c>
      <c r="J342" s="643"/>
      <c r="K342" s="24">
        <f t="shared" si="57"/>
        <v>1</v>
      </c>
      <c r="L342" s="643"/>
      <c r="M342" s="24">
        <f t="shared" si="58"/>
        <v>1</v>
      </c>
      <c r="N342" s="643"/>
      <c r="O342" s="24">
        <f t="shared" si="59"/>
        <v>1</v>
      </c>
      <c r="P342" s="643"/>
      <c r="Q342" s="24">
        <f t="shared" si="60"/>
        <v>1</v>
      </c>
      <c r="R342" s="24">
        <f t="shared" si="61"/>
        <v>0</v>
      </c>
      <c r="S342" s="314">
        <f t="shared" si="63"/>
        <v>0</v>
      </c>
    </row>
    <row r="343" spans="1:19">
      <c r="A343" s="147"/>
      <c r="B343" s="55"/>
      <c r="C343" s="24">
        <f t="shared" si="53"/>
        <v>1</v>
      </c>
      <c r="D343" s="643"/>
      <c r="E343" s="24">
        <f t="shared" si="54"/>
        <v>0</v>
      </c>
      <c r="F343" s="643"/>
      <c r="G343" s="24">
        <f t="shared" si="55"/>
        <v>0</v>
      </c>
      <c r="H343" s="643"/>
      <c r="I343" s="24">
        <f t="shared" si="56"/>
        <v>0.1</v>
      </c>
      <c r="J343" s="643"/>
      <c r="K343" s="24">
        <f t="shared" si="57"/>
        <v>1</v>
      </c>
      <c r="L343" s="643"/>
      <c r="M343" s="24">
        <f t="shared" si="58"/>
        <v>1</v>
      </c>
      <c r="N343" s="643"/>
      <c r="O343" s="24">
        <f t="shared" si="59"/>
        <v>1</v>
      </c>
      <c r="P343" s="643"/>
      <c r="Q343" s="24">
        <f t="shared" si="60"/>
        <v>1</v>
      </c>
      <c r="R343" s="24">
        <f t="shared" si="61"/>
        <v>0</v>
      </c>
      <c r="S343" s="314">
        <f t="shared" si="63"/>
        <v>0</v>
      </c>
    </row>
    <row r="344" spans="1:19">
      <c r="A344" s="147"/>
      <c r="B344" s="55"/>
      <c r="C344" s="24">
        <f t="shared" si="53"/>
        <v>1</v>
      </c>
      <c r="D344" s="643"/>
      <c r="E344" s="24">
        <f t="shared" si="54"/>
        <v>0</v>
      </c>
      <c r="F344" s="643"/>
      <c r="G344" s="24">
        <f t="shared" si="55"/>
        <v>0</v>
      </c>
      <c r="H344" s="643"/>
      <c r="I344" s="24">
        <f t="shared" si="56"/>
        <v>0.1</v>
      </c>
      <c r="J344" s="643"/>
      <c r="K344" s="24">
        <f t="shared" si="57"/>
        <v>1</v>
      </c>
      <c r="L344" s="643"/>
      <c r="M344" s="24">
        <f t="shared" si="58"/>
        <v>1</v>
      </c>
      <c r="N344" s="643"/>
      <c r="O344" s="24">
        <f t="shared" si="59"/>
        <v>1</v>
      </c>
      <c r="P344" s="643"/>
      <c r="Q344" s="24">
        <f t="shared" si="60"/>
        <v>1</v>
      </c>
      <c r="R344" s="24">
        <f t="shared" si="61"/>
        <v>0</v>
      </c>
      <c r="S344" s="314">
        <f t="shared" si="63"/>
        <v>0</v>
      </c>
    </row>
    <row r="345" spans="1:19">
      <c r="A345" s="147"/>
      <c r="B345" s="55"/>
      <c r="C345" s="24">
        <f t="shared" si="53"/>
        <v>1</v>
      </c>
      <c r="D345" s="643"/>
      <c r="E345" s="24">
        <f t="shared" si="54"/>
        <v>0</v>
      </c>
      <c r="F345" s="643"/>
      <c r="G345" s="24">
        <f t="shared" si="55"/>
        <v>0</v>
      </c>
      <c r="H345" s="643"/>
      <c r="I345" s="24">
        <f t="shared" si="56"/>
        <v>0.1</v>
      </c>
      <c r="J345" s="643"/>
      <c r="K345" s="24">
        <f t="shared" si="57"/>
        <v>1</v>
      </c>
      <c r="L345" s="643"/>
      <c r="M345" s="24">
        <f t="shared" si="58"/>
        <v>1</v>
      </c>
      <c r="N345" s="643"/>
      <c r="O345" s="24">
        <f t="shared" si="59"/>
        <v>1</v>
      </c>
      <c r="P345" s="643"/>
      <c r="Q345" s="24">
        <f t="shared" si="60"/>
        <v>1</v>
      </c>
      <c r="R345" s="24">
        <f t="shared" si="61"/>
        <v>0</v>
      </c>
      <c r="S345" s="314">
        <f t="shared" si="63"/>
        <v>0</v>
      </c>
    </row>
    <row r="346" spans="1:19">
      <c r="A346" s="147"/>
      <c r="B346" s="55"/>
      <c r="C346" s="24">
        <f t="shared" ref="C346:C409" si="64">IF(B346="",1,(LOOKUP(B346,$3:$3,$4:$4)-LOOKUP($B$24,$3:$3,$4:$4)+100)/100)</f>
        <v>1</v>
      </c>
      <c r="D346" s="643"/>
      <c r="E346" s="24">
        <f t="shared" ref="E346:E409" si="65">(SUMIF($5:$5,D346,$6:$6)-SUMIF($5:$5,$D$24,$6:$6)+100)/100</f>
        <v>0</v>
      </c>
      <c r="F346" s="643"/>
      <c r="G346" s="24">
        <f t="shared" ref="G346:G409" si="66">(SUMIF($7:$7,F346,$8:$8)-SUMIF($7:$7,$F$24,$8:$8)+100)/100</f>
        <v>0</v>
      </c>
      <c r="H346" s="643"/>
      <c r="I346" s="24">
        <f t="shared" ref="I346:I409" si="67">(SUMIF($9:$9,H346,$10:$10)-SUMIF($9:$9,$H$24,$10:$10)+100)/100</f>
        <v>0.1</v>
      </c>
      <c r="J346" s="643"/>
      <c r="K346" s="24">
        <f t="shared" ref="K346:K409" si="68">(SUMIF($11:$11,J346,$12:$12)-SUMIF($11:$11,$J$24,$12:$12)+100)/100</f>
        <v>1</v>
      </c>
      <c r="L346" s="643"/>
      <c r="M346" s="24">
        <f t="shared" ref="M346:M409" si="69">(SUMIF($13:$13,L346,$14:$14)-SUMIF($13:$13,$L$24,$14:$14)+100)/100</f>
        <v>1</v>
      </c>
      <c r="N346" s="643"/>
      <c r="O346" s="24">
        <f t="shared" ref="O346:O409" si="70">(SUMIF($15:$15,N346,$16:$16)-SUMIF($15:$15,$N$24,$16:$16)+100)/100</f>
        <v>1</v>
      </c>
      <c r="P346" s="643"/>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3"/>
      <c r="E347" s="24">
        <f t="shared" si="65"/>
        <v>0</v>
      </c>
      <c r="F347" s="643"/>
      <c r="G347" s="24">
        <f t="shared" si="66"/>
        <v>0</v>
      </c>
      <c r="H347" s="643"/>
      <c r="I347" s="24">
        <f t="shared" si="67"/>
        <v>0.1</v>
      </c>
      <c r="J347" s="643"/>
      <c r="K347" s="24">
        <f t="shared" si="68"/>
        <v>1</v>
      </c>
      <c r="L347" s="643"/>
      <c r="M347" s="24">
        <f t="shared" si="69"/>
        <v>1</v>
      </c>
      <c r="N347" s="643"/>
      <c r="O347" s="24">
        <f t="shared" si="70"/>
        <v>1</v>
      </c>
      <c r="P347" s="643"/>
      <c r="Q347" s="24">
        <f t="shared" si="71"/>
        <v>1</v>
      </c>
      <c r="R347" s="24">
        <f t="shared" si="72"/>
        <v>0</v>
      </c>
      <c r="S347" s="314">
        <f t="shared" si="63"/>
        <v>0</v>
      </c>
    </row>
    <row r="348" spans="1:19">
      <c r="A348" s="147"/>
      <c r="B348" s="55"/>
      <c r="C348" s="24">
        <f t="shared" si="64"/>
        <v>1</v>
      </c>
      <c r="D348" s="643"/>
      <c r="E348" s="24">
        <f t="shared" si="65"/>
        <v>0</v>
      </c>
      <c r="F348" s="643"/>
      <c r="G348" s="24">
        <f t="shared" si="66"/>
        <v>0</v>
      </c>
      <c r="H348" s="643"/>
      <c r="I348" s="24">
        <f t="shared" si="67"/>
        <v>0.1</v>
      </c>
      <c r="J348" s="643"/>
      <c r="K348" s="24">
        <f t="shared" si="68"/>
        <v>1</v>
      </c>
      <c r="L348" s="643"/>
      <c r="M348" s="24">
        <f t="shared" si="69"/>
        <v>1</v>
      </c>
      <c r="N348" s="643"/>
      <c r="O348" s="24">
        <f t="shared" si="70"/>
        <v>1</v>
      </c>
      <c r="P348" s="643"/>
      <c r="Q348" s="24">
        <f t="shared" si="71"/>
        <v>1</v>
      </c>
      <c r="R348" s="24">
        <f t="shared" si="72"/>
        <v>0</v>
      </c>
      <c r="S348" s="314">
        <f t="shared" si="63"/>
        <v>0</v>
      </c>
    </row>
    <row r="349" spans="1:19">
      <c r="A349" s="147"/>
      <c r="B349" s="55"/>
      <c r="C349" s="24">
        <f t="shared" si="64"/>
        <v>1</v>
      </c>
      <c r="D349" s="643"/>
      <c r="E349" s="24">
        <f t="shared" si="65"/>
        <v>0</v>
      </c>
      <c r="F349" s="643"/>
      <c r="G349" s="24">
        <f t="shared" si="66"/>
        <v>0</v>
      </c>
      <c r="H349" s="643"/>
      <c r="I349" s="24">
        <f t="shared" si="67"/>
        <v>0.1</v>
      </c>
      <c r="J349" s="643"/>
      <c r="K349" s="24">
        <f t="shared" si="68"/>
        <v>1</v>
      </c>
      <c r="L349" s="643"/>
      <c r="M349" s="24">
        <f t="shared" si="69"/>
        <v>1</v>
      </c>
      <c r="N349" s="643"/>
      <c r="O349" s="24">
        <f t="shared" si="70"/>
        <v>1</v>
      </c>
      <c r="P349" s="643"/>
      <c r="Q349" s="24">
        <f t="shared" si="71"/>
        <v>1</v>
      </c>
      <c r="R349" s="24">
        <f t="shared" si="72"/>
        <v>0</v>
      </c>
      <c r="S349" s="314">
        <f t="shared" si="63"/>
        <v>0</v>
      </c>
    </row>
    <row r="350" spans="1:19">
      <c r="A350" s="147"/>
      <c r="B350" s="55"/>
      <c r="C350" s="24">
        <f t="shared" si="64"/>
        <v>1</v>
      </c>
      <c r="D350" s="643"/>
      <c r="E350" s="24">
        <f t="shared" si="65"/>
        <v>0</v>
      </c>
      <c r="F350" s="643"/>
      <c r="G350" s="24">
        <f t="shared" si="66"/>
        <v>0</v>
      </c>
      <c r="H350" s="643"/>
      <c r="I350" s="24">
        <f t="shared" si="67"/>
        <v>0.1</v>
      </c>
      <c r="J350" s="643"/>
      <c r="K350" s="24">
        <f t="shared" si="68"/>
        <v>1</v>
      </c>
      <c r="L350" s="643"/>
      <c r="M350" s="24">
        <f t="shared" si="69"/>
        <v>1</v>
      </c>
      <c r="N350" s="643"/>
      <c r="O350" s="24">
        <f t="shared" si="70"/>
        <v>1</v>
      </c>
      <c r="P350" s="643"/>
      <c r="Q350" s="24">
        <f t="shared" si="71"/>
        <v>1</v>
      </c>
      <c r="R350" s="24">
        <f t="shared" si="72"/>
        <v>0</v>
      </c>
      <c r="S350" s="314">
        <f t="shared" si="63"/>
        <v>0</v>
      </c>
    </row>
    <row r="351" spans="1:19">
      <c r="A351" s="147"/>
      <c r="B351" s="55"/>
      <c r="C351" s="24">
        <f t="shared" si="64"/>
        <v>1</v>
      </c>
      <c r="D351" s="643"/>
      <c r="E351" s="24">
        <f t="shared" si="65"/>
        <v>0</v>
      </c>
      <c r="F351" s="643"/>
      <c r="G351" s="24">
        <f t="shared" si="66"/>
        <v>0</v>
      </c>
      <c r="H351" s="643"/>
      <c r="I351" s="24">
        <f t="shared" si="67"/>
        <v>0.1</v>
      </c>
      <c r="J351" s="643"/>
      <c r="K351" s="24">
        <f t="shared" si="68"/>
        <v>1</v>
      </c>
      <c r="L351" s="643"/>
      <c r="M351" s="24">
        <f t="shared" si="69"/>
        <v>1</v>
      </c>
      <c r="N351" s="643"/>
      <c r="O351" s="24">
        <f t="shared" si="70"/>
        <v>1</v>
      </c>
      <c r="P351" s="643"/>
      <c r="Q351" s="24">
        <f t="shared" si="71"/>
        <v>1</v>
      </c>
      <c r="R351" s="24">
        <f t="shared" si="72"/>
        <v>0</v>
      </c>
      <c r="S351" s="314">
        <f t="shared" si="63"/>
        <v>0</v>
      </c>
    </row>
    <row r="352" spans="1:19">
      <c r="A352" s="147"/>
      <c r="B352" s="55"/>
      <c r="C352" s="24">
        <f t="shared" si="64"/>
        <v>1</v>
      </c>
      <c r="D352" s="643"/>
      <c r="E352" s="24">
        <f t="shared" si="65"/>
        <v>0</v>
      </c>
      <c r="F352" s="643"/>
      <c r="G352" s="24">
        <f t="shared" si="66"/>
        <v>0</v>
      </c>
      <c r="H352" s="643"/>
      <c r="I352" s="24">
        <f t="shared" si="67"/>
        <v>0.1</v>
      </c>
      <c r="J352" s="643"/>
      <c r="K352" s="24">
        <f t="shared" si="68"/>
        <v>1</v>
      </c>
      <c r="L352" s="643"/>
      <c r="M352" s="24">
        <f t="shared" si="69"/>
        <v>1</v>
      </c>
      <c r="N352" s="643"/>
      <c r="O352" s="24">
        <f t="shared" si="70"/>
        <v>1</v>
      </c>
      <c r="P352" s="643"/>
      <c r="Q352" s="24">
        <f t="shared" si="71"/>
        <v>1</v>
      </c>
      <c r="R352" s="24">
        <f t="shared" si="72"/>
        <v>0</v>
      </c>
      <c r="S352" s="314">
        <f t="shared" si="63"/>
        <v>0</v>
      </c>
    </row>
    <row r="353" spans="1:19">
      <c r="A353" s="147"/>
      <c r="B353" s="55"/>
      <c r="C353" s="24">
        <f t="shared" si="64"/>
        <v>1</v>
      </c>
      <c r="D353" s="643"/>
      <c r="E353" s="24">
        <f t="shared" si="65"/>
        <v>0</v>
      </c>
      <c r="F353" s="643"/>
      <c r="G353" s="24">
        <f t="shared" si="66"/>
        <v>0</v>
      </c>
      <c r="H353" s="643"/>
      <c r="I353" s="24">
        <f t="shared" si="67"/>
        <v>0.1</v>
      </c>
      <c r="J353" s="643"/>
      <c r="K353" s="24">
        <f t="shared" si="68"/>
        <v>1</v>
      </c>
      <c r="L353" s="643"/>
      <c r="M353" s="24">
        <f t="shared" si="69"/>
        <v>1</v>
      </c>
      <c r="N353" s="643"/>
      <c r="O353" s="24">
        <f t="shared" si="70"/>
        <v>1</v>
      </c>
      <c r="P353" s="643"/>
      <c r="Q353" s="24">
        <f t="shared" si="71"/>
        <v>1</v>
      </c>
      <c r="R353" s="24">
        <f t="shared" si="72"/>
        <v>0</v>
      </c>
      <c r="S353" s="314">
        <f t="shared" si="63"/>
        <v>0</v>
      </c>
    </row>
    <row r="354" spans="1:19">
      <c r="A354" s="147"/>
      <c r="B354" s="55"/>
      <c r="C354" s="24">
        <f t="shared" si="64"/>
        <v>1</v>
      </c>
      <c r="D354" s="643"/>
      <c r="E354" s="24">
        <f t="shared" si="65"/>
        <v>0</v>
      </c>
      <c r="F354" s="643"/>
      <c r="G354" s="24">
        <f t="shared" si="66"/>
        <v>0</v>
      </c>
      <c r="H354" s="643"/>
      <c r="I354" s="24">
        <f t="shared" si="67"/>
        <v>0.1</v>
      </c>
      <c r="J354" s="643"/>
      <c r="K354" s="24">
        <f t="shared" si="68"/>
        <v>1</v>
      </c>
      <c r="L354" s="643"/>
      <c r="M354" s="24">
        <f t="shared" si="69"/>
        <v>1</v>
      </c>
      <c r="N354" s="643"/>
      <c r="O354" s="24">
        <f t="shared" si="70"/>
        <v>1</v>
      </c>
      <c r="P354" s="643"/>
      <c r="Q354" s="24">
        <f t="shared" si="71"/>
        <v>1</v>
      </c>
      <c r="R354" s="24">
        <f t="shared" si="72"/>
        <v>0</v>
      </c>
      <c r="S354" s="314">
        <f t="shared" si="63"/>
        <v>0</v>
      </c>
    </row>
    <row r="355" spans="1:19">
      <c r="A355" s="147"/>
      <c r="B355" s="55"/>
      <c r="C355" s="24">
        <f t="shared" si="64"/>
        <v>1</v>
      </c>
      <c r="D355" s="643"/>
      <c r="E355" s="24">
        <f t="shared" si="65"/>
        <v>0</v>
      </c>
      <c r="F355" s="643"/>
      <c r="G355" s="24">
        <f t="shared" si="66"/>
        <v>0</v>
      </c>
      <c r="H355" s="643"/>
      <c r="I355" s="24">
        <f t="shared" si="67"/>
        <v>0.1</v>
      </c>
      <c r="J355" s="643"/>
      <c r="K355" s="24">
        <f t="shared" si="68"/>
        <v>1</v>
      </c>
      <c r="L355" s="643"/>
      <c r="M355" s="24">
        <f t="shared" si="69"/>
        <v>1</v>
      </c>
      <c r="N355" s="643"/>
      <c r="O355" s="24">
        <f t="shared" si="70"/>
        <v>1</v>
      </c>
      <c r="P355" s="643"/>
      <c r="Q355" s="24">
        <f t="shared" si="71"/>
        <v>1</v>
      </c>
      <c r="R355" s="24">
        <f t="shared" si="72"/>
        <v>0</v>
      </c>
      <c r="S355" s="314">
        <f t="shared" si="63"/>
        <v>0</v>
      </c>
    </row>
    <row r="356" spans="1:19">
      <c r="A356" s="147"/>
      <c r="B356" s="55"/>
      <c r="C356" s="24">
        <f t="shared" si="64"/>
        <v>1</v>
      </c>
      <c r="D356" s="643"/>
      <c r="E356" s="24">
        <f t="shared" si="65"/>
        <v>0</v>
      </c>
      <c r="F356" s="643"/>
      <c r="G356" s="24">
        <f t="shared" si="66"/>
        <v>0</v>
      </c>
      <c r="H356" s="643"/>
      <c r="I356" s="24">
        <f t="shared" si="67"/>
        <v>0.1</v>
      </c>
      <c r="J356" s="643"/>
      <c r="K356" s="24">
        <f t="shared" si="68"/>
        <v>1</v>
      </c>
      <c r="L356" s="643"/>
      <c r="M356" s="24">
        <f t="shared" si="69"/>
        <v>1</v>
      </c>
      <c r="N356" s="643"/>
      <c r="O356" s="24">
        <f t="shared" si="70"/>
        <v>1</v>
      </c>
      <c r="P356" s="643"/>
      <c r="Q356" s="24">
        <f t="shared" si="71"/>
        <v>1</v>
      </c>
      <c r="R356" s="24">
        <f t="shared" si="72"/>
        <v>0</v>
      </c>
      <c r="S356" s="314">
        <f t="shared" si="63"/>
        <v>0</v>
      </c>
    </row>
    <row r="357" spans="1:19">
      <c r="A357" s="147"/>
      <c r="B357" s="55"/>
      <c r="C357" s="24">
        <f t="shared" si="64"/>
        <v>1</v>
      </c>
      <c r="D357" s="643"/>
      <c r="E357" s="24">
        <f t="shared" si="65"/>
        <v>0</v>
      </c>
      <c r="F357" s="643"/>
      <c r="G357" s="24">
        <f t="shared" si="66"/>
        <v>0</v>
      </c>
      <c r="H357" s="643"/>
      <c r="I357" s="24">
        <f t="shared" si="67"/>
        <v>0.1</v>
      </c>
      <c r="J357" s="643"/>
      <c r="K357" s="24">
        <f t="shared" si="68"/>
        <v>1</v>
      </c>
      <c r="L357" s="643"/>
      <c r="M357" s="24">
        <f t="shared" si="69"/>
        <v>1</v>
      </c>
      <c r="N357" s="643"/>
      <c r="O357" s="24">
        <f t="shared" si="70"/>
        <v>1</v>
      </c>
      <c r="P357" s="643"/>
      <c r="Q357" s="24">
        <f t="shared" si="71"/>
        <v>1</v>
      </c>
      <c r="R357" s="24">
        <f t="shared" si="72"/>
        <v>0</v>
      </c>
      <c r="S357" s="314">
        <f t="shared" si="63"/>
        <v>0</v>
      </c>
    </row>
    <row r="358" spans="1:19">
      <c r="A358" s="147"/>
      <c r="B358" s="55"/>
      <c r="C358" s="24">
        <f t="shared" si="64"/>
        <v>1</v>
      </c>
      <c r="D358" s="643"/>
      <c r="E358" s="24">
        <f t="shared" si="65"/>
        <v>0</v>
      </c>
      <c r="F358" s="643"/>
      <c r="G358" s="24">
        <f t="shared" si="66"/>
        <v>0</v>
      </c>
      <c r="H358" s="643"/>
      <c r="I358" s="24">
        <f t="shared" si="67"/>
        <v>0.1</v>
      </c>
      <c r="J358" s="643"/>
      <c r="K358" s="24">
        <f t="shared" si="68"/>
        <v>1</v>
      </c>
      <c r="L358" s="643"/>
      <c r="M358" s="24">
        <f t="shared" si="69"/>
        <v>1</v>
      </c>
      <c r="N358" s="643"/>
      <c r="O358" s="24">
        <f t="shared" si="70"/>
        <v>1</v>
      </c>
      <c r="P358" s="643"/>
      <c r="Q358" s="24">
        <f t="shared" si="71"/>
        <v>1</v>
      </c>
      <c r="R358" s="24">
        <f t="shared" si="72"/>
        <v>0</v>
      </c>
      <c r="S358" s="314">
        <f t="shared" si="63"/>
        <v>0</v>
      </c>
    </row>
    <row r="359" spans="1:19">
      <c r="A359" s="147"/>
      <c r="B359" s="55"/>
      <c r="C359" s="24">
        <f t="shared" si="64"/>
        <v>1</v>
      </c>
      <c r="D359" s="643"/>
      <c r="E359" s="24">
        <f t="shared" si="65"/>
        <v>0</v>
      </c>
      <c r="F359" s="643"/>
      <c r="G359" s="24">
        <f t="shared" si="66"/>
        <v>0</v>
      </c>
      <c r="H359" s="643"/>
      <c r="I359" s="24">
        <f t="shared" si="67"/>
        <v>0.1</v>
      </c>
      <c r="J359" s="643"/>
      <c r="K359" s="24">
        <f t="shared" si="68"/>
        <v>1</v>
      </c>
      <c r="L359" s="643"/>
      <c r="M359" s="24">
        <f t="shared" si="69"/>
        <v>1</v>
      </c>
      <c r="N359" s="643"/>
      <c r="O359" s="24">
        <f t="shared" si="70"/>
        <v>1</v>
      </c>
      <c r="P359" s="643"/>
      <c r="Q359" s="24">
        <f t="shared" si="71"/>
        <v>1</v>
      </c>
      <c r="R359" s="24">
        <f t="shared" si="72"/>
        <v>0</v>
      </c>
      <c r="S359" s="314">
        <f t="shared" si="63"/>
        <v>0</v>
      </c>
    </row>
    <row r="360" spans="1:19">
      <c r="A360" s="147"/>
      <c r="B360" s="55"/>
      <c r="C360" s="24">
        <f t="shared" si="64"/>
        <v>1</v>
      </c>
      <c r="D360" s="643"/>
      <c r="E360" s="24">
        <f t="shared" si="65"/>
        <v>0</v>
      </c>
      <c r="F360" s="643"/>
      <c r="G360" s="24">
        <f t="shared" si="66"/>
        <v>0</v>
      </c>
      <c r="H360" s="643"/>
      <c r="I360" s="24">
        <f t="shared" si="67"/>
        <v>0.1</v>
      </c>
      <c r="J360" s="643"/>
      <c r="K360" s="24">
        <f t="shared" si="68"/>
        <v>1</v>
      </c>
      <c r="L360" s="643"/>
      <c r="M360" s="24">
        <f t="shared" si="69"/>
        <v>1</v>
      </c>
      <c r="N360" s="643"/>
      <c r="O360" s="24">
        <f t="shared" si="70"/>
        <v>1</v>
      </c>
      <c r="P360" s="643"/>
      <c r="Q360" s="24">
        <f t="shared" si="71"/>
        <v>1</v>
      </c>
      <c r="R360" s="24">
        <f t="shared" si="72"/>
        <v>0</v>
      </c>
      <c r="S360" s="314">
        <f t="shared" si="63"/>
        <v>0</v>
      </c>
    </row>
    <row r="361" spans="1:19">
      <c r="A361" s="147"/>
      <c r="B361" s="55"/>
      <c r="C361" s="24">
        <f t="shared" si="64"/>
        <v>1</v>
      </c>
      <c r="D361" s="643"/>
      <c r="E361" s="24">
        <f t="shared" si="65"/>
        <v>0</v>
      </c>
      <c r="F361" s="643"/>
      <c r="G361" s="24">
        <f t="shared" si="66"/>
        <v>0</v>
      </c>
      <c r="H361" s="643"/>
      <c r="I361" s="24">
        <f t="shared" si="67"/>
        <v>0.1</v>
      </c>
      <c r="J361" s="643"/>
      <c r="K361" s="24">
        <f t="shared" si="68"/>
        <v>1</v>
      </c>
      <c r="L361" s="643"/>
      <c r="M361" s="24">
        <f t="shared" si="69"/>
        <v>1</v>
      </c>
      <c r="N361" s="643"/>
      <c r="O361" s="24">
        <f t="shared" si="70"/>
        <v>1</v>
      </c>
      <c r="P361" s="643"/>
      <c r="Q361" s="24">
        <f t="shared" si="71"/>
        <v>1</v>
      </c>
      <c r="R361" s="24">
        <f t="shared" si="72"/>
        <v>0</v>
      </c>
      <c r="S361" s="314">
        <f t="shared" si="63"/>
        <v>0</v>
      </c>
    </row>
    <row r="362" spans="1:19">
      <c r="A362" s="147"/>
      <c r="B362" s="55"/>
      <c r="C362" s="24">
        <f t="shared" si="64"/>
        <v>1</v>
      </c>
      <c r="D362" s="643"/>
      <c r="E362" s="24">
        <f t="shared" si="65"/>
        <v>0</v>
      </c>
      <c r="F362" s="643"/>
      <c r="G362" s="24">
        <f t="shared" si="66"/>
        <v>0</v>
      </c>
      <c r="H362" s="643"/>
      <c r="I362" s="24">
        <f t="shared" si="67"/>
        <v>0.1</v>
      </c>
      <c r="J362" s="643"/>
      <c r="K362" s="24">
        <f t="shared" si="68"/>
        <v>1</v>
      </c>
      <c r="L362" s="643"/>
      <c r="M362" s="24">
        <f t="shared" si="69"/>
        <v>1</v>
      </c>
      <c r="N362" s="643"/>
      <c r="O362" s="24">
        <f t="shared" si="70"/>
        <v>1</v>
      </c>
      <c r="P362" s="643"/>
      <c r="Q362" s="24">
        <f t="shared" si="71"/>
        <v>1</v>
      </c>
      <c r="R362" s="24">
        <f t="shared" si="72"/>
        <v>0</v>
      </c>
      <c r="S362" s="314">
        <f t="shared" si="63"/>
        <v>0</v>
      </c>
    </row>
    <row r="363" spans="1:19">
      <c r="A363" s="147"/>
      <c r="B363" s="55"/>
      <c r="C363" s="24">
        <f t="shared" si="64"/>
        <v>1</v>
      </c>
      <c r="D363" s="643"/>
      <c r="E363" s="24">
        <f t="shared" si="65"/>
        <v>0</v>
      </c>
      <c r="F363" s="643"/>
      <c r="G363" s="24">
        <f t="shared" si="66"/>
        <v>0</v>
      </c>
      <c r="H363" s="643"/>
      <c r="I363" s="24">
        <f t="shared" si="67"/>
        <v>0.1</v>
      </c>
      <c r="J363" s="643"/>
      <c r="K363" s="24">
        <f t="shared" si="68"/>
        <v>1</v>
      </c>
      <c r="L363" s="643"/>
      <c r="M363" s="24">
        <f t="shared" si="69"/>
        <v>1</v>
      </c>
      <c r="N363" s="643"/>
      <c r="O363" s="24">
        <f t="shared" si="70"/>
        <v>1</v>
      </c>
      <c r="P363" s="643"/>
      <c r="Q363" s="24">
        <f t="shared" si="71"/>
        <v>1</v>
      </c>
      <c r="R363" s="24">
        <f t="shared" si="72"/>
        <v>0</v>
      </c>
      <c r="S363" s="314">
        <f t="shared" si="63"/>
        <v>0</v>
      </c>
    </row>
    <row r="364" spans="1:19">
      <c r="A364" s="147"/>
      <c r="B364" s="55"/>
      <c r="C364" s="24">
        <f t="shared" si="64"/>
        <v>1</v>
      </c>
      <c r="D364" s="643"/>
      <c r="E364" s="24">
        <f t="shared" si="65"/>
        <v>0</v>
      </c>
      <c r="F364" s="643"/>
      <c r="G364" s="24">
        <f t="shared" si="66"/>
        <v>0</v>
      </c>
      <c r="H364" s="643"/>
      <c r="I364" s="24">
        <f t="shared" si="67"/>
        <v>0.1</v>
      </c>
      <c r="J364" s="643"/>
      <c r="K364" s="24">
        <f t="shared" si="68"/>
        <v>1</v>
      </c>
      <c r="L364" s="643"/>
      <c r="M364" s="24">
        <f t="shared" si="69"/>
        <v>1</v>
      </c>
      <c r="N364" s="643"/>
      <c r="O364" s="24">
        <f t="shared" si="70"/>
        <v>1</v>
      </c>
      <c r="P364" s="643"/>
      <c r="Q364" s="24">
        <f t="shared" si="71"/>
        <v>1</v>
      </c>
      <c r="R364" s="24">
        <f t="shared" si="72"/>
        <v>0</v>
      </c>
      <c r="S364" s="314">
        <f t="shared" si="63"/>
        <v>0</v>
      </c>
    </row>
    <row r="365" spans="1:19">
      <c r="A365" s="147"/>
      <c r="B365" s="55"/>
      <c r="C365" s="24">
        <f t="shared" si="64"/>
        <v>1</v>
      </c>
      <c r="D365" s="643"/>
      <c r="E365" s="24">
        <f t="shared" si="65"/>
        <v>0</v>
      </c>
      <c r="F365" s="643"/>
      <c r="G365" s="24">
        <f t="shared" si="66"/>
        <v>0</v>
      </c>
      <c r="H365" s="643"/>
      <c r="I365" s="24">
        <f t="shared" si="67"/>
        <v>0.1</v>
      </c>
      <c r="J365" s="643"/>
      <c r="K365" s="24">
        <f t="shared" si="68"/>
        <v>1</v>
      </c>
      <c r="L365" s="643"/>
      <c r="M365" s="24">
        <f t="shared" si="69"/>
        <v>1</v>
      </c>
      <c r="N365" s="643"/>
      <c r="O365" s="24">
        <f t="shared" si="70"/>
        <v>1</v>
      </c>
      <c r="P365" s="643"/>
      <c r="Q365" s="24">
        <f t="shared" si="71"/>
        <v>1</v>
      </c>
      <c r="R365" s="24">
        <f t="shared" si="72"/>
        <v>0</v>
      </c>
      <c r="S365" s="314">
        <f t="shared" si="63"/>
        <v>0</v>
      </c>
    </row>
    <row r="366" spans="1:19">
      <c r="A366" s="147"/>
      <c r="B366" s="55"/>
      <c r="C366" s="24">
        <f t="shared" si="64"/>
        <v>1</v>
      </c>
      <c r="D366" s="643"/>
      <c r="E366" s="24">
        <f t="shared" si="65"/>
        <v>0</v>
      </c>
      <c r="F366" s="643"/>
      <c r="G366" s="24">
        <f t="shared" si="66"/>
        <v>0</v>
      </c>
      <c r="H366" s="643"/>
      <c r="I366" s="24">
        <f t="shared" si="67"/>
        <v>0.1</v>
      </c>
      <c r="J366" s="643"/>
      <c r="K366" s="24">
        <f t="shared" si="68"/>
        <v>1</v>
      </c>
      <c r="L366" s="643"/>
      <c r="M366" s="24">
        <f t="shared" si="69"/>
        <v>1</v>
      </c>
      <c r="N366" s="643"/>
      <c r="O366" s="24">
        <f t="shared" si="70"/>
        <v>1</v>
      </c>
      <c r="P366" s="643"/>
      <c r="Q366" s="24">
        <f t="shared" si="71"/>
        <v>1</v>
      </c>
      <c r="R366" s="24">
        <f t="shared" si="72"/>
        <v>0</v>
      </c>
      <c r="S366" s="314">
        <f t="shared" si="63"/>
        <v>0</v>
      </c>
    </row>
    <row r="367" spans="1:19">
      <c r="A367" s="147"/>
      <c r="B367" s="55"/>
      <c r="C367" s="24">
        <f t="shared" si="64"/>
        <v>1</v>
      </c>
      <c r="D367" s="643"/>
      <c r="E367" s="24">
        <f t="shared" si="65"/>
        <v>0</v>
      </c>
      <c r="F367" s="643"/>
      <c r="G367" s="24">
        <f t="shared" si="66"/>
        <v>0</v>
      </c>
      <c r="H367" s="643"/>
      <c r="I367" s="24">
        <f t="shared" si="67"/>
        <v>0.1</v>
      </c>
      <c r="J367" s="643"/>
      <c r="K367" s="24">
        <f t="shared" si="68"/>
        <v>1</v>
      </c>
      <c r="L367" s="643"/>
      <c r="M367" s="24">
        <f t="shared" si="69"/>
        <v>1</v>
      </c>
      <c r="N367" s="643"/>
      <c r="O367" s="24">
        <f t="shared" si="70"/>
        <v>1</v>
      </c>
      <c r="P367" s="643"/>
      <c r="Q367" s="24">
        <f t="shared" si="71"/>
        <v>1</v>
      </c>
      <c r="R367" s="24">
        <f t="shared" si="72"/>
        <v>0</v>
      </c>
      <c r="S367" s="314">
        <f t="shared" si="63"/>
        <v>0</v>
      </c>
    </row>
    <row r="368" spans="1:19">
      <c r="A368" s="147"/>
      <c r="B368" s="55"/>
      <c r="C368" s="24">
        <f t="shared" si="64"/>
        <v>1</v>
      </c>
      <c r="D368" s="643"/>
      <c r="E368" s="24">
        <f t="shared" si="65"/>
        <v>0</v>
      </c>
      <c r="F368" s="643"/>
      <c r="G368" s="24">
        <f t="shared" si="66"/>
        <v>0</v>
      </c>
      <c r="H368" s="643"/>
      <c r="I368" s="24">
        <f t="shared" si="67"/>
        <v>0.1</v>
      </c>
      <c r="J368" s="643"/>
      <c r="K368" s="24">
        <f t="shared" si="68"/>
        <v>1</v>
      </c>
      <c r="L368" s="643"/>
      <c r="M368" s="24">
        <f t="shared" si="69"/>
        <v>1</v>
      </c>
      <c r="N368" s="643"/>
      <c r="O368" s="24">
        <f t="shared" si="70"/>
        <v>1</v>
      </c>
      <c r="P368" s="643"/>
      <c r="Q368" s="24">
        <f t="shared" si="71"/>
        <v>1</v>
      </c>
      <c r="R368" s="24">
        <f t="shared" si="72"/>
        <v>0</v>
      </c>
      <c r="S368" s="314">
        <f t="shared" si="63"/>
        <v>0</v>
      </c>
    </row>
    <row r="369" spans="1:19">
      <c r="A369" s="147"/>
      <c r="B369" s="55"/>
      <c r="C369" s="24">
        <f t="shared" si="64"/>
        <v>1</v>
      </c>
      <c r="D369" s="643"/>
      <c r="E369" s="24">
        <f t="shared" si="65"/>
        <v>0</v>
      </c>
      <c r="F369" s="643"/>
      <c r="G369" s="24">
        <f t="shared" si="66"/>
        <v>0</v>
      </c>
      <c r="H369" s="643"/>
      <c r="I369" s="24">
        <f t="shared" si="67"/>
        <v>0.1</v>
      </c>
      <c r="J369" s="643"/>
      <c r="K369" s="24">
        <f t="shared" si="68"/>
        <v>1</v>
      </c>
      <c r="L369" s="643"/>
      <c r="M369" s="24">
        <f t="shared" si="69"/>
        <v>1</v>
      </c>
      <c r="N369" s="643"/>
      <c r="O369" s="24">
        <f t="shared" si="70"/>
        <v>1</v>
      </c>
      <c r="P369" s="643"/>
      <c r="Q369" s="24">
        <f t="shared" si="71"/>
        <v>1</v>
      </c>
      <c r="R369" s="24">
        <f t="shared" si="72"/>
        <v>0</v>
      </c>
      <c r="S369" s="314">
        <f t="shared" si="63"/>
        <v>0</v>
      </c>
    </row>
    <row r="370" spans="1:19">
      <c r="A370" s="147"/>
      <c r="B370" s="55"/>
      <c r="C370" s="24">
        <f t="shared" si="64"/>
        <v>1</v>
      </c>
      <c r="D370" s="643"/>
      <c r="E370" s="24">
        <f t="shared" si="65"/>
        <v>0</v>
      </c>
      <c r="F370" s="643"/>
      <c r="G370" s="24">
        <f t="shared" si="66"/>
        <v>0</v>
      </c>
      <c r="H370" s="643"/>
      <c r="I370" s="24">
        <f t="shared" si="67"/>
        <v>0.1</v>
      </c>
      <c r="J370" s="643"/>
      <c r="K370" s="24">
        <f t="shared" si="68"/>
        <v>1</v>
      </c>
      <c r="L370" s="643"/>
      <c r="M370" s="24">
        <f t="shared" si="69"/>
        <v>1</v>
      </c>
      <c r="N370" s="643"/>
      <c r="O370" s="24">
        <f t="shared" si="70"/>
        <v>1</v>
      </c>
      <c r="P370" s="643"/>
      <c r="Q370" s="24">
        <f t="shared" si="71"/>
        <v>1</v>
      </c>
      <c r="R370" s="24">
        <f t="shared" si="72"/>
        <v>0</v>
      </c>
      <c r="S370" s="314">
        <f t="shared" si="63"/>
        <v>0</v>
      </c>
    </row>
    <row r="371" spans="1:19">
      <c r="A371" s="147"/>
      <c r="B371" s="55"/>
      <c r="C371" s="24">
        <f t="shared" si="64"/>
        <v>1</v>
      </c>
      <c r="D371" s="643"/>
      <c r="E371" s="24">
        <f t="shared" si="65"/>
        <v>0</v>
      </c>
      <c r="F371" s="643"/>
      <c r="G371" s="24">
        <f t="shared" si="66"/>
        <v>0</v>
      </c>
      <c r="H371" s="643"/>
      <c r="I371" s="24">
        <f t="shared" si="67"/>
        <v>0.1</v>
      </c>
      <c r="J371" s="643"/>
      <c r="K371" s="24">
        <f t="shared" si="68"/>
        <v>1</v>
      </c>
      <c r="L371" s="643"/>
      <c r="M371" s="24">
        <f t="shared" si="69"/>
        <v>1</v>
      </c>
      <c r="N371" s="643"/>
      <c r="O371" s="24">
        <f t="shared" si="70"/>
        <v>1</v>
      </c>
      <c r="P371" s="643"/>
      <c r="Q371" s="24">
        <f t="shared" si="71"/>
        <v>1</v>
      </c>
      <c r="R371" s="24">
        <f t="shared" si="72"/>
        <v>0</v>
      </c>
      <c r="S371" s="314">
        <f t="shared" si="63"/>
        <v>0</v>
      </c>
    </row>
    <row r="372" spans="1:19">
      <c r="A372" s="147"/>
      <c r="B372" s="55"/>
      <c r="C372" s="24">
        <f t="shared" si="64"/>
        <v>1</v>
      </c>
      <c r="D372" s="643"/>
      <c r="E372" s="24">
        <f t="shared" si="65"/>
        <v>0</v>
      </c>
      <c r="F372" s="643"/>
      <c r="G372" s="24">
        <f t="shared" si="66"/>
        <v>0</v>
      </c>
      <c r="H372" s="643"/>
      <c r="I372" s="24">
        <f t="shared" si="67"/>
        <v>0.1</v>
      </c>
      <c r="J372" s="643"/>
      <c r="K372" s="24">
        <f t="shared" si="68"/>
        <v>1</v>
      </c>
      <c r="L372" s="643"/>
      <c r="M372" s="24">
        <f t="shared" si="69"/>
        <v>1</v>
      </c>
      <c r="N372" s="643"/>
      <c r="O372" s="24">
        <f t="shared" si="70"/>
        <v>1</v>
      </c>
      <c r="P372" s="643"/>
      <c r="Q372" s="24">
        <f t="shared" si="71"/>
        <v>1</v>
      </c>
      <c r="R372" s="24">
        <f t="shared" si="72"/>
        <v>0</v>
      </c>
      <c r="S372" s="314">
        <f t="shared" si="63"/>
        <v>0</v>
      </c>
    </row>
    <row r="373" spans="1:19">
      <c r="A373" s="147"/>
      <c r="B373" s="55"/>
      <c r="C373" s="24">
        <f t="shared" si="64"/>
        <v>1</v>
      </c>
      <c r="D373" s="643"/>
      <c r="E373" s="24">
        <f t="shared" si="65"/>
        <v>0</v>
      </c>
      <c r="F373" s="643"/>
      <c r="G373" s="24">
        <f t="shared" si="66"/>
        <v>0</v>
      </c>
      <c r="H373" s="643"/>
      <c r="I373" s="24">
        <f t="shared" si="67"/>
        <v>0.1</v>
      </c>
      <c r="J373" s="643"/>
      <c r="K373" s="24">
        <f t="shared" si="68"/>
        <v>1</v>
      </c>
      <c r="L373" s="643"/>
      <c r="M373" s="24">
        <f t="shared" si="69"/>
        <v>1</v>
      </c>
      <c r="N373" s="643"/>
      <c r="O373" s="24">
        <f t="shared" si="70"/>
        <v>1</v>
      </c>
      <c r="P373" s="643"/>
      <c r="Q373" s="24">
        <f t="shared" si="71"/>
        <v>1</v>
      </c>
      <c r="R373" s="24">
        <f t="shared" si="72"/>
        <v>0</v>
      </c>
      <c r="S373" s="314">
        <f t="shared" si="63"/>
        <v>0</v>
      </c>
    </row>
    <row r="374" spans="1:19">
      <c r="A374" s="147"/>
      <c r="B374" s="55"/>
      <c r="C374" s="24">
        <f t="shared" si="64"/>
        <v>1</v>
      </c>
      <c r="D374" s="643"/>
      <c r="E374" s="24">
        <f t="shared" si="65"/>
        <v>0</v>
      </c>
      <c r="F374" s="643"/>
      <c r="G374" s="24">
        <f t="shared" si="66"/>
        <v>0</v>
      </c>
      <c r="H374" s="643"/>
      <c r="I374" s="24">
        <f t="shared" si="67"/>
        <v>0.1</v>
      </c>
      <c r="J374" s="643"/>
      <c r="K374" s="24">
        <f t="shared" si="68"/>
        <v>1</v>
      </c>
      <c r="L374" s="643"/>
      <c r="M374" s="24">
        <f t="shared" si="69"/>
        <v>1</v>
      </c>
      <c r="N374" s="643"/>
      <c r="O374" s="24">
        <f t="shared" si="70"/>
        <v>1</v>
      </c>
      <c r="P374" s="643"/>
      <c r="Q374" s="24">
        <f t="shared" si="71"/>
        <v>1</v>
      </c>
      <c r="R374" s="24">
        <f t="shared" si="72"/>
        <v>0</v>
      </c>
      <c r="S374" s="314">
        <f t="shared" si="63"/>
        <v>0</v>
      </c>
    </row>
    <row r="375" spans="1:19">
      <c r="A375" s="147"/>
      <c r="B375" s="55"/>
      <c r="C375" s="24">
        <f t="shared" si="64"/>
        <v>1</v>
      </c>
      <c r="D375" s="643"/>
      <c r="E375" s="24">
        <f t="shared" si="65"/>
        <v>0</v>
      </c>
      <c r="F375" s="643"/>
      <c r="G375" s="24">
        <f t="shared" si="66"/>
        <v>0</v>
      </c>
      <c r="H375" s="643"/>
      <c r="I375" s="24">
        <f t="shared" si="67"/>
        <v>0.1</v>
      </c>
      <c r="J375" s="643"/>
      <c r="K375" s="24">
        <f t="shared" si="68"/>
        <v>1</v>
      </c>
      <c r="L375" s="643"/>
      <c r="M375" s="24">
        <f t="shared" si="69"/>
        <v>1</v>
      </c>
      <c r="N375" s="643"/>
      <c r="O375" s="24">
        <f t="shared" si="70"/>
        <v>1</v>
      </c>
      <c r="P375" s="643"/>
      <c r="Q375" s="24">
        <f t="shared" si="71"/>
        <v>1</v>
      </c>
      <c r="R375" s="24">
        <f t="shared" si="72"/>
        <v>0</v>
      </c>
      <c r="S375" s="314">
        <f t="shared" si="63"/>
        <v>0</v>
      </c>
    </row>
    <row r="376" spans="1:19">
      <c r="A376" s="147"/>
      <c r="B376" s="55"/>
      <c r="C376" s="24">
        <f t="shared" si="64"/>
        <v>1</v>
      </c>
      <c r="D376" s="643"/>
      <c r="E376" s="24">
        <f t="shared" si="65"/>
        <v>0</v>
      </c>
      <c r="F376" s="643"/>
      <c r="G376" s="24">
        <f t="shared" si="66"/>
        <v>0</v>
      </c>
      <c r="H376" s="643"/>
      <c r="I376" s="24">
        <f t="shared" si="67"/>
        <v>0.1</v>
      </c>
      <c r="J376" s="643"/>
      <c r="K376" s="24">
        <f t="shared" si="68"/>
        <v>1</v>
      </c>
      <c r="L376" s="643"/>
      <c r="M376" s="24">
        <f t="shared" si="69"/>
        <v>1</v>
      </c>
      <c r="N376" s="643"/>
      <c r="O376" s="24">
        <f t="shared" si="70"/>
        <v>1</v>
      </c>
      <c r="P376" s="643"/>
      <c r="Q376" s="24">
        <f t="shared" si="71"/>
        <v>1</v>
      </c>
      <c r="R376" s="24">
        <f t="shared" si="72"/>
        <v>0</v>
      </c>
      <c r="S376" s="314">
        <f t="shared" si="63"/>
        <v>0</v>
      </c>
    </row>
    <row r="377" spans="1:19">
      <c r="A377" s="147"/>
      <c r="B377" s="55"/>
      <c r="C377" s="24">
        <f t="shared" si="64"/>
        <v>1</v>
      </c>
      <c r="D377" s="643"/>
      <c r="E377" s="24">
        <f t="shared" si="65"/>
        <v>0</v>
      </c>
      <c r="F377" s="643"/>
      <c r="G377" s="24">
        <f t="shared" si="66"/>
        <v>0</v>
      </c>
      <c r="H377" s="643"/>
      <c r="I377" s="24">
        <f t="shared" si="67"/>
        <v>0.1</v>
      </c>
      <c r="J377" s="643"/>
      <c r="K377" s="24">
        <f t="shared" si="68"/>
        <v>1</v>
      </c>
      <c r="L377" s="643"/>
      <c r="M377" s="24">
        <f t="shared" si="69"/>
        <v>1</v>
      </c>
      <c r="N377" s="643"/>
      <c r="O377" s="24">
        <f t="shared" si="70"/>
        <v>1</v>
      </c>
      <c r="P377" s="643"/>
      <c r="Q377" s="24">
        <f t="shared" si="71"/>
        <v>1</v>
      </c>
      <c r="R377" s="24">
        <f t="shared" si="72"/>
        <v>0</v>
      </c>
      <c r="S377" s="314">
        <f t="shared" si="63"/>
        <v>0</v>
      </c>
    </row>
    <row r="378" spans="1:19">
      <c r="A378" s="147"/>
      <c r="B378" s="55"/>
      <c r="C378" s="24">
        <f t="shared" si="64"/>
        <v>1</v>
      </c>
      <c r="D378" s="643"/>
      <c r="E378" s="24">
        <f t="shared" si="65"/>
        <v>0</v>
      </c>
      <c r="F378" s="643"/>
      <c r="G378" s="24">
        <f t="shared" si="66"/>
        <v>0</v>
      </c>
      <c r="H378" s="643"/>
      <c r="I378" s="24">
        <f t="shared" si="67"/>
        <v>0.1</v>
      </c>
      <c r="J378" s="643"/>
      <c r="K378" s="24">
        <f t="shared" si="68"/>
        <v>1</v>
      </c>
      <c r="L378" s="643"/>
      <c r="M378" s="24">
        <f t="shared" si="69"/>
        <v>1</v>
      </c>
      <c r="N378" s="643"/>
      <c r="O378" s="24">
        <f t="shared" si="70"/>
        <v>1</v>
      </c>
      <c r="P378" s="643"/>
      <c r="Q378" s="24">
        <f t="shared" si="71"/>
        <v>1</v>
      </c>
      <c r="R378" s="24">
        <f t="shared" si="72"/>
        <v>0</v>
      </c>
      <c r="S378" s="314">
        <f t="shared" si="63"/>
        <v>0</v>
      </c>
    </row>
    <row r="379" spans="1:19">
      <c r="A379" s="147"/>
      <c r="B379" s="55"/>
      <c r="C379" s="24">
        <f t="shared" si="64"/>
        <v>1</v>
      </c>
      <c r="D379" s="643"/>
      <c r="E379" s="24">
        <f t="shared" si="65"/>
        <v>0</v>
      </c>
      <c r="F379" s="643"/>
      <c r="G379" s="24">
        <f t="shared" si="66"/>
        <v>0</v>
      </c>
      <c r="H379" s="643"/>
      <c r="I379" s="24">
        <f t="shared" si="67"/>
        <v>0.1</v>
      </c>
      <c r="J379" s="643"/>
      <c r="K379" s="24">
        <f t="shared" si="68"/>
        <v>1</v>
      </c>
      <c r="L379" s="643"/>
      <c r="M379" s="24">
        <f t="shared" si="69"/>
        <v>1</v>
      </c>
      <c r="N379" s="643"/>
      <c r="O379" s="24">
        <f t="shared" si="70"/>
        <v>1</v>
      </c>
      <c r="P379" s="643"/>
      <c r="Q379" s="24">
        <f t="shared" si="71"/>
        <v>1</v>
      </c>
      <c r="R379" s="24">
        <f t="shared" si="72"/>
        <v>0</v>
      </c>
      <c r="S379" s="314">
        <f t="shared" si="63"/>
        <v>0</v>
      </c>
    </row>
    <row r="380" spans="1:19">
      <c r="A380" s="147"/>
      <c r="B380" s="55"/>
      <c r="C380" s="24">
        <f t="shared" si="64"/>
        <v>1</v>
      </c>
      <c r="D380" s="643"/>
      <c r="E380" s="24">
        <f t="shared" si="65"/>
        <v>0</v>
      </c>
      <c r="F380" s="643"/>
      <c r="G380" s="24">
        <f t="shared" si="66"/>
        <v>0</v>
      </c>
      <c r="H380" s="643"/>
      <c r="I380" s="24">
        <f t="shared" si="67"/>
        <v>0.1</v>
      </c>
      <c r="J380" s="643"/>
      <c r="K380" s="24">
        <f t="shared" si="68"/>
        <v>1</v>
      </c>
      <c r="L380" s="643"/>
      <c r="M380" s="24">
        <f t="shared" si="69"/>
        <v>1</v>
      </c>
      <c r="N380" s="643"/>
      <c r="O380" s="24">
        <f t="shared" si="70"/>
        <v>1</v>
      </c>
      <c r="P380" s="643"/>
      <c r="Q380" s="24">
        <f t="shared" si="71"/>
        <v>1</v>
      </c>
      <c r="R380" s="24">
        <f t="shared" si="72"/>
        <v>0</v>
      </c>
      <c r="S380" s="314">
        <f t="shared" si="63"/>
        <v>0</v>
      </c>
    </row>
    <row r="381" spans="1:19">
      <c r="A381" s="147"/>
      <c r="B381" s="55"/>
      <c r="C381" s="24">
        <f t="shared" si="64"/>
        <v>1</v>
      </c>
      <c r="D381" s="643"/>
      <c r="E381" s="24">
        <f t="shared" si="65"/>
        <v>0</v>
      </c>
      <c r="F381" s="643"/>
      <c r="G381" s="24">
        <f t="shared" si="66"/>
        <v>0</v>
      </c>
      <c r="H381" s="643"/>
      <c r="I381" s="24">
        <f t="shared" si="67"/>
        <v>0.1</v>
      </c>
      <c r="J381" s="643"/>
      <c r="K381" s="24">
        <f t="shared" si="68"/>
        <v>1</v>
      </c>
      <c r="L381" s="643"/>
      <c r="M381" s="24">
        <f t="shared" si="69"/>
        <v>1</v>
      </c>
      <c r="N381" s="643"/>
      <c r="O381" s="24">
        <f t="shared" si="70"/>
        <v>1</v>
      </c>
      <c r="P381" s="643"/>
      <c r="Q381" s="24">
        <f t="shared" si="71"/>
        <v>1</v>
      </c>
      <c r="R381" s="24">
        <f t="shared" si="72"/>
        <v>0</v>
      </c>
      <c r="S381" s="314">
        <f t="shared" si="63"/>
        <v>0</v>
      </c>
    </row>
    <row r="382" spans="1:19">
      <c r="A382" s="147"/>
      <c r="B382" s="55"/>
      <c r="C382" s="24">
        <f t="shared" si="64"/>
        <v>1</v>
      </c>
      <c r="D382" s="643"/>
      <c r="E382" s="24">
        <f t="shared" si="65"/>
        <v>0</v>
      </c>
      <c r="F382" s="643"/>
      <c r="G382" s="24">
        <f t="shared" si="66"/>
        <v>0</v>
      </c>
      <c r="H382" s="643"/>
      <c r="I382" s="24">
        <f t="shared" si="67"/>
        <v>0.1</v>
      </c>
      <c r="J382" s="643"/>
      <c r="K382" s="24">
        <f t="shared" si="68"/>
        <v>1</v>
      </c>
      <c r="L382" s="643"/>
      <c r="M382" s="24">
        <f t="shared" si="69"/>
        <v>1</v>
      </c>
      <c r="N382" s="643"/>
      <c r="O382" s="24">
        <f t="shared" si="70"/>
        <v>1</v>
      </c>
      <c r="P382" s="643"/>
      <c r="Q382" s="24">
        <f t="shared" si="71"/>
        <v>1</v>
      </c>
      <c r="R382" s="24">
        <f t="shared" si="72"/>
        <v>0</v>
      </c>
      <c r="S382" s="314">
        <f t="shared" si="63"/>
        <v>0</v>
      </c>
    </row>
    <row r="383" spans="1:19">
      <c r="A383" s="147"/>
      <c r="B383" s="55"/>
      <c r="C383" s="24">
        <f t="shared" si="64"/>
        <v>1</v>
      </c>
      <c r="D383" s="643"/>
      <c r="E383" s="24">
        <f t="shared" si="65"/>
        <v>0</v>
      </c>
      <c r="F383" s="643"/>
      <c r="G383" s="24">
        <f t="shared" si="66"/>
        <v>0</v>
      </c>
      <c r="H383" s="643"/>
      <c r="I383" s="24">
        <f t="shared" si="67"/>
        <v>0.1</v>
      </c>
      <c r="J383" s="643"/>
      <c r="K383" s="24">
        <f t="shared" si="68"/>
        <v>1</v>
      </c>
      <c r="L383" s="643"/>
      <c r="M383" s="24">
        <f t="shared" si="69"/>
        <v>1</v>
      </c>
      <c r="N383" s="643"/>
      <c r="O383" s="24">
        <f t="shared" si="70"/>
        <v>1</v>
      </c>
      <c r="P383" s="643"/>
      <c r="Q383" s="24">
        <f t="shared" si="71"/>
        <v>1</v>
      </c>
      <c r="R383" s="24">
        <f t="shared" si="72"/>
        <v>0</v>
      </c>
      <c r="S383" s="314">
        <f t="shared" si="63"/>
        <v>0</v>
      </c>
    </row>
    <row r="384" spans="1:19">
      <c r="A384" s="147"/>
      <c r="B384" s="55"/>
      <c r="C384" s="24">
        <f t="shared" si="64"/>
        <v>1</v>
      </c>
      <c r="D384" s="643"/>
      <c r="E384" s="24">
        <f t="shared" si="65"/>
        <v>0</v>
      </c>
      <c r="F384" s="643"/>
      <c r="G384" s="24">
        <f t="shared" si="66"/>
        <v>0</v>
      </c>
      <c r="H384" s="643"/>
      <c r="I384" s="24">
        <f t="shared" si="67"/>
        <v>0.1</v>
      </c>
      <c r="J384" s="643"/>
      <c r="K384" s="24">
        <f t="shared" si="68"/>
        <v>1</v>
      </c>
      <c r="L384" s="643"/>
      <c r="M384" s="24">
        <f t="shared" si="69"/>
        <v>1</v>
      </c>
      <c r="N384" s="643"/>
      <c r="O384" s="24">
        <f t="shared" si="70"/>
        <v>1</v>
      </c>
      <c r="P384" s="643"/>
      <c r="Q384" s="24">
        <f t="shared" si="71"/>
        <v>1</v>
      </c>
      <c r="R384" s="24">
        <f t="shared" si="72"/>
        <v>0</v>
      </c>
      <c r="S384" s="314">
        <f t="shared" si="63"/>
        <v>0</v>
      </c>
    </row>
    <row r="385" spans="1:19">
      <c r="A385" s="147"/>
      <c r="B385" s="55"/>
      <c r="C385" s="24">
        <f t="shared" si="64"/>
        <v>1</v>
      </c>
      <c r="D385" s="643"/>
      <c r="E385" s="24">
        <f t="shared" si="65"/>
        <v>0</v>
      </c>
      <c r="F385" s="643"/>
      <c r="G385" s="24">
        <f t="shared" si="66"/>
        <v>0</v>
      </c>
      <c r="H385" s="643"/>
      <c r="I385" s="24">
        <f t="shared" si="67"/>
        <v>0.1</v>
      </c>
      <c r="J385" s="643"/>
      <c r="K385" s="24">
        <f t="shared" si="68"/>
        <v>1</v>
      </c>
      <c r="L385" s="643"/>
      <c r="M385" s="24">
        <f t="shared" si="69"/>
        <v>1</v>
      </c>
      <c r="N385" s="643"/>
      <c r="O385" s="24">
        <f t="shared" si="70"/>
        <v>1</v>
      </c>
      <c r="P385" s="643"/>
      <c r="Q385" s="24">
        <f t="shared" si="71"/>
        <v>1</v>
      </c>
      <c r="R385" s="24">
        <f t="shared" si="72"/>
        <v>0</v>
      </c>
      <c r="S385" s="314">
        <f t="shared" ref="S385:S422" si="73">ROUND(R385*B385/10000,0)</f>
        <v>0</v>
      </c>
    </row>
    <row r="386" spans="1:19">
      <c r="A386" s="147"/>
      <c r="B386" s="55"/>
      <c r="C386" s="24">
        <f t="shared" si="64"/>
        <v>1</v>
      </c>
      <c r="D386" s="643"/>
      <c r="E386" s="24">
        <f t="shared" si="65"/>
        <v>0</v>
      </c>
      <c r="F386" s="643"/>
      <c r="G386" s="24">
        <f t="shared" si="66"/>
        <v>0</v>
      </c>
      <c r="H386" s="643"/>
      <c r="I386" s="24">
        <f t="shared" si="67"/>
        <v>0.1</v>
      </c>
      <c r="J386" s="643"/>
      <c r="K386" s="24">
        <f t="shared" si="68"/>
        <v>1</v>
      </c>
      <c r="L386" s="643"/>
      <c r="M386" s="24">
        <f t="shared" si="69"/>
        <v>1</v>
      </c>
      <c r="N386" s="643"/>
      <c r="O386" s="24">
        <f t="shared" si="70"/>
        <v>1</v>
      </c>
      <c r="P386" s="643"/>
      <c r="Q386" s="24">
        <f t="shared" si="71"/>
        <v>1</v>
      </c>
      <c r="R386" s="24">
        <f t="shared" si="72"/>
        <v>0</v>
      </c>
      <c r="S386" s="314">
        <f t="shared" si="73"/>
        <v>0</v>
      </c>
    </row>
    <row r="387" spans="1:19">
      <c r="A387" s="147"/>
      <c r="B387" s="55"/>
      <c r="C387" s="24">
        <f t="shared" si="64"/>
        <v>1</v>
      </c>
      <c r="D387" s="643"/>
      <c r="E387" s="24">
        <f t="shared" si="65"/>
        <v>0</v>
      </c>
      <c r="F387" s="643"/>
      <c r="G387" s="24">
        <f t="shared" si="66"/>
        <v>0</v>
      </c>
      <c r="H387" s="643"/>
      <c r="I387" s="24">
        <f t="shared" si="67"/>
        <v>0.1</v>
      </c>
      <c r="J387" s="643"/>
      <c r="K387" s="24">
        <f t="shared" si="68"/>
        <v>1</v>
      </c>
      <c r="L387" s="643"/>
      <c r="M387" s="24">
        <f t="shared" si="69"/>
        <v>1</v>
      </c>
      <c r="N387" s="643"/>
      <c r="O387" s="24">
        <f t="shared" si="70"/>
        <v>1</v>
      </c>
      <c r="P387" s="643"/>
      <c r="Q387" s="24">
        <f t="shared" si="71"/>
        <v>1</v>
      </c>
      <c r="R387" s="24">
        <f t="shared" si="72"/>
        <v>0</v>
      </c>
      <c r="S387" s="314">
        <f t="shared" si="73"/>
        <v>0</v>
      </c>
    </row>
    <row r="388" spans="1:19">
      <c r="A388" s="147"/>
      <c r="B388" s="55"/>
      <c r="C388" s="24">
        <f t="shared" si="64"/>
        <v>1</v>
      </c>
      <c r="D388" s="643"/>
      <c r="E388" s="24">
        <f t="shared" si="65"/>
        <v>0</v>
      </c>
      <c r="F388" s="643"/>
      <c r="G388" s="24">
        <f t="shared" si="66"/>
        <v>0</v>
      </c>
      <c r="H388" s="643"/>
      <c r="I388" s="24">
        <f t="shared" si="67"/>
        <v>0.1</v>
      </c>
      <c r="J388" s="643"/>
      <c r="K388" s="24">
        <f t="shared" si="68"/>
        <v>1</v>
      </c>
      <c r="L388" s="643"/>
      <c r="M388" s="24">
        <f t="shared" si="69"/>
        <v>1</v>
      </c>
      <c r="N388" s="643"/>
      <c r="O388" s="24">
        <f t="shared" si="70"/>
        <v>1</v>
      </c>
      <c r="P388" s="643"/>
      <c r="Q388" s="24">
        <f t="shared" si="71"/>
        <v>1</v>
      </c>
      <c r="R388" s="24">
        <f t="shared" si="72"/>
        <v>0</v>
      </c>
      <c r="S388" s="314">
        <f t="shared" si="73"/>
        <v>0</v>
      </c>
    </row>
    <row r="389" spans="1:19">
      <c r="A389" s="147"/>
      <c r="B389" s="55"/>
      <c r="C389" s="24">
        <f t="shared" si="64"/>
        <v>1</v>
      </c>
      <c r="D389" s="643"/>
      <c r="E389" s="24">
        <f t="shared" si="65"/>
        <v>0</v>
      </c>
      <c r="F389" s="643"/>
      <c r="G389" s="24">
        <f t="shared" si="66"/>
        <v>0</v>
      </c>
      <c r="H389" s="643"/>
      <c r="I389" s="24">
        <f t="shared" si="67"/>
        <v>0.1</v>
      </c>
      <c r="J389" s="643"/>
      <c r="K389" s="24">
        <f t="shared" si="68"/>
        <v>1</v>
      </c>
      <c r="L389" s="643"/>
      <c r="M389" s="24">
        <f t="shared" si="69"/>
        <v>1</v>
      </c>
      <c r="N389" s="643"/>
      <c r="O389" s="24">
        <f t="shared" si="70"/>
        <v>1</v>
      </c>
      <c r="P389" s="643"/>
      <c r="Q389" s="24">
        <f t="shared" si="71"/>
        <v>1</v>
      </c>
      <c r="R389" s="24">
        <f t="shared" si="72"/>
        <v>0</v>
      </c>
      <c r="S389" s="314">
        <f t="shared" si="73"/>
        <v>0</v>
      </c>
    </row>
    <row r="390" spans="1:19">
      <c r="A390" s="147"/>
      <c r="B390" s="55"/>
      <c r="C390" s="24">
        <f t="shared" si="64"/>
        <v>1</v>
      </c>
      <c r="D390" s="643"/>
      <c r="E390" s="24">
        <f t="shared" si="65"/>
        <v>0</v>
      </c>
      <c r="F390" s="643"/>
      <c r="G390" s="24">
        <f t="shared" si="66"/>
        <v>0</v>
      </c>
      <c r="H390" s="643"/>
      <c r="I390" s="24">
        <f t="shared" si="67"/>
        <v>0.1</v>
      </c>
      <c r="J390" s="643"/>
      <c r="K390" s="24">
        <f t="shared" si="68"/>
        <v>1</v>
      </c>
      <c r="L390" s="643"/>
      <c r="M390" s="24">
        <f t="shared" si="69"/>
        <v>1</v>
      </c>
      <c r="N390" s="643"/>
      <c r="O390" s="24">
        <f t="shared" si="70"/>
        <v>1</v>
      </c>
      <c r="P390" s="643"/>
      <c r="Q390" s="24">
        <f t="shared" si="71"/>
        <v>1</v>
      </c>
      <c r="R390" s="24">
        <f t="shared" si="72"/>
        <v>0</v>
      </c>
      <c r="S390" s="314">
        <f t="shared" si="73"/>
        <v>0</v>
      </c>
    </row>
    <row r="391" spans="1:19">
      <c r="A391" s="147"/>
      <c r="B391" s="55"/>
      <c r="C391" s="24">
        <f t="shared" si="64"/>
        <v>1</v>
      </c>
      <c r="D391" s="643"/>
      <c r="E391" s="24">
        <f t="shared" si="65"/>
        <v>0</v>
      </c>
      <c r="F391" s="643"/>
      <c r="G391" s="24">
        <f t="shared" si="66"/>
        <v>0</v>
      </c>
      <c r="H391" s="643"/>
      <c r="I391" s="24">
        <f t="shared" si="67"/>
        <v>0.1</v>
      </c>
      <c r="J391" s="643"/>
      <c r="K391" s="24">
        <f t="shared" si="68"/>
        <v>1</v>
      </c>
      <c r="L391" s="643"/>
      <c r="M391" s="24">
        <f t="shared" si="69"/>
        <v>1</v>
      </c>
      <c r="N391" s="643"/>
      <c r="O391" s="24">
        <f t="shared" si="70"/>
        <v>1</v>
      </c>
      <c r="P391" s="643"/>
      <c r="Q391" s="24">
        <f t="shared" si="71"/>
        <v>1</v>
      </c>
      <c r="R391" s="24">
        <f t="shared" si="72"/>
        <v>0</v>
      </c>
      <c r="S391" s="314">
        <f t="shared" si="73"/>
        <v>0</v>
      </c>
    </row>
    <row r="392" spans="1:19">
      <c r="A392" s="147"/>
      <c r="B392" s="55"/>
      <c r="C392" s="24">
        <f t="shared" si="64"/>
        <v>1</v>
      </c>
      <c r="D392" s="643"/>
      <c r="E392" s="24">
        <f t="shared" si="65"/>
        <v>0</v>
      </c>
      <c r="F392" s="643"/>
      <c r="G392" s="24">
        <f t="shared" si="66"/>
        <v>0</v>
      </c>
      <c r="H392" s="643"/>
      <c r="I392" s="24">
        <f t="shared" si="67"/>
        <v>0.1</v>
      </c>
      <c r="J392" s="643"/>
      <c r="K392" s="24">
        <f t="shared" si="68"/>
        <v>1</v>
      </c>
      <c r="L392" s="643"/>
      <c r="M392" s="24">
        <f t="shared" si="69"/>
        <v>1</v>
      </c>
      <c r="N392" s="643"/>
      <c r="O392" s="24">
        <f t="shared" si="70"/>
        <v>1</v>
      </c>
      <c r="P392" s="643"/>
      <c r="Q392" s="24">
        <f t="shared" si="71"/>
        <v>1</v>
      </c>
      <c r="R392" s="24">
        <f t="shared" si="72"/>
        <v>0</v>
      </c>
      <c r="S392" s="314">
        <f t="shared" si="73"/>
        <v>0</v>
      </c>
    </row>
    <row r="393" spans="1:19">
      <c r="A393" s="147"/>
      <c r="B393" s="55"/>
      <c r="C393" s="24">
        <f t="shared" si="64"/>
        <v>1</v>
      </c>
      <c r="D393" s="643"/>
      <c r="E393" s="24">
        <f t="shared" si="65"/>
        <v>0</v>
      </c>
      <c r="F393" s="643"/>
      <c r="G393" s="24">
        <f t="shared" si="66"/>
        <v>0</v>
      </c>
      <c r="H393" s="643"/>
      <c r="I393" s="24">
        <f t="shared" si="67"/>
        <v>0.1</v>
      </c>
      <c r="J393" s="643"/>
      <c r="K393" s="24">
        <f t="shared" si="68"/>
        <v>1</v>
      </c>
      <c r="L393" s="643"/>
      <c r="M393" s="24">
        <f t="shared" si="69"/>
        <v>1</v>
      </c>
      <c r="N393" s="643"/>
      <c r="O393" s="24">
        <f t="shared" si="70"/>
        <v>1</v>
      </c>
      <c r="P393" s="643"/>
      <c r="Q393" s="24">
        <f t="shared" si="71"/>
        <v>1</v>
      </c>
      <c r="R393" s="24">
        <f t="shared" si="72"/>
        <v>0</v>
      </c>
      <c r="S393" s="314">
        <f t="shared" si="73"/>
        <v>0</v>
      </c>
    </row>
    <row r="394" spans="1:19">
      <c r="A394" s="147"/>
      <c r="B394" s="55"/>
      <c r="C394" s="24">
        <f t="shared" si="64"/>
        <v>1</v>
      </c>
      <c r="D394" s="643"/>
      <c r="E394" s="24">
        <f t="shared" si="65"/>
        <v>0</v>
      </c>
      <c r="F394" s="643"/>
      <c r="G394" s="24">
        <f t="shared" si="66"/>
        <v>0</v>
      </c>
      <c r="H394" s="643"/>
      <c r="I394" s="24">
        <f t="shared" si="67"/>
        <v>0.1</v>
      </c>
      <c r="J394" s="643"/>
      <c r="K394" s="24">
        <f t="shared" si="68"/>
        <v>1</v>
      </c>
      <c r="L394" s="643"/>
      <c r="M394" s="24">
        <f t="shared" si="69"/>
        <v>1</v>
      </c>
      <c r="N394" s="643"/>
      <c r="O394" s="24">
        <f t="shared" si="70"/>
        <v>1</v>
      </c>
      <c r="P394" s="643"/>
      <c r="Q394" s="24">
        <f t="shared" si="71"/>
        <v>1</v>
      </c>
      <c r="R394" s="24">
        <f t="shared" si="72"/>
        <v>0</v>
      </c>
      <c r="S394" s="314">
        <f t="shared" si="73"/>
        <v>0</v>
      </c>
    </row>
    <row r="395" spans="1:19">
      <c r="A395" s="147"/>
      <c r="B395" s="55"/>
      <c r="C395" s="24">
        <f t="shared" si="64"/>
        <v>1</v>
      </c>
      <c r="D395" s="643"/>
      <c r="E395" s="24">
        <f t="shared" si="65"/>
        <v>0</v>
      </c>
      <c r="F395" s="643"/>
      <c r="G395" s="24">
        <f t="shared" si="66"/>
        <v>0</v>
      </c>
      <c r="H395" s="643"/>
      <c r="I395" s="24">
        <f t="shared" si="67"/>
        <v>0.1</v>
      </c>
      <c r="J395" s="643"/>
      <c r="K395" s="24">
        <f t="shared" si="68"/>
        <v>1</v>
      </c>
      <c r="L395" s="643"/>
      <c r="M395" s="24">
        <f t="shared" si="69"/>
        <v>1</v>
      </c>
      <c r="N395" s="643"/>
      <c r="O395" s="24">
        <f t="shared" si="70"/>
        <v>1</v>
      </c>
      <c r="P395" s="643"/>
      <c r="Q395" s="24">
        <f t="shared" si="71"/>
        <v>1</v>
      </c>
      <c r="R395" s="24">
        <f t="shared" si="72"/>
        <v>0</v>
      </c>
      <c r="S395" s="314">
        <f t="shared" si="73"/>
        <v>0</v>
      </c>
    </row>
    <row r="396" spans="1:19">
      <c r="A396" s="147"/>
      <c r="B396" s="55"/>
      <c r="C396" s="24">
        <f t="shared" si="64"/>
        <v>1</v>
      </c>
      <c r="D396" s="643"/>
      <c r="E396" s="24">
        <f t="shared" si="65"/>
        <v>0</v>
      </c>
      <c r="F396" s="643"/>
      <c r="G396" s="24">
        <f t="shared" si="66"/>
        <v>0</v>
      </c>
      <c r="H396" s="643"/>
      <c r="I396" s="24">
        <f t="shared" si="67"/>
        <v>0.1</v>
      </c>
      <c r="J396" s="643"/>
      <c r="K396" s="24">
        <f t="shared" si="68"/>
        <v>1</v>
      </c>
      <c r="L396" s="643"/>
      <c r="M396" s="24">
        <f t="shared" si="69"/>
        <v>1</v>
      </c>
      <c r="N396" s="643"/>
      <c r="O396" s="24">
        <f t="shared" si="70"/>
        <v>1</v>
      </c>
      <c r="P396" s="643"/>
      <c r="Q396" s="24">
        <f t="shared" si="71"/>
        <v>1</v>
      </c>
      <c r="R396" s="24">
        <f t="shared" si="72"/>
        <v>0</v>
      </c>
      <c r="S396" s="314">
        <f t="shared" si="73"/>
        <v>0</v>
      </c>
    </row>
    <row r="397" spans="1:19">
      <c r="A397" s="147"/>
      <c r="B397" s="55"/>
      <c r="C397" s="24">
        <f t="shared" si="64"/>
        <v>1</v>
      </c>
      <c r="D397" s="643"/>
      <c r="E397" s="24">
        <f t="shared" si="65"/>
        <v>0</v>
      </c>
      <c r="F397" s="643"/>
      <c r="G397" s="24">
        <f t="shared" si="66"/>
        <v>0</v>
      </c>
      <c r="H397" s="643"/>
      <c r="I397" s="24">
        <f t="shared" si="67"/>
        <v>0.1</v>
      </c>
      <c r="J397" s="643"/>
      <c r="K397" s="24">
        <f t="shared" si="68"/>
        <v>1</v>
      </c>
      <c r="L397" s="643"/>
      <c r="M397" s="24">
        <f t="shared" si="69"/>
        <v>1</v>
      </c>
      <c r="N397" s="643"/>
      <c r="O397" s="24">
        <f t="shared" si="70"/>
        <v>1</v>
      </c>
      <c r="P397" s="643"/>
      <c r="Q397" s="24">
        <f t="shared" si="71"/>
        <v>1</v>
      </c>
      <c r="R397" s="24">
        <f t="shared" si="72"/>
        <v>0</v>
      </c>
      <c r="S397" s="314">
        <f t="shared" si="73"/>
        <v>0</v>
      </c>
    </row>
    <row r="398" spans="1:19">
      <c r="A398" s="147"/>
      <c r="B398" s="55"/>
      <c r="C398" s="24">
        <f t="shared" si="64"/>
        <v>1</v>
      </c>
      <c r="D398" s="643"/>
      <c r="E398" s="24">
        <f t="shared" si="65"/>
        <v>0</v>
      </c>
      <c r="F398" s="643"/>
      <c r="G398" s="24">
        <f t="shared" si="66"/>
        <v>0</v>
      </c>
      <c r="H398" s="643"/>
      <c r="I398" s="24">
        <f t="shared" si="67"/>
        <v>0.1</v>
      </c>
      <c r="J398" s="643"/>
      <c r="K398" s="24">
        <f t="shared" si="68"/>
        <v>1</v>
      </c>
      <c r="L398" s="643"/>
      <c r="M398" s="24">
        <f t="shared" si="69"/>
        <v>1</v>
      </c>
      <c r="N398" s="643"/>
      <c r="O398" s="24">
        <f t="shared" si="70"/>
        <v>1</v>
      </c>
      <c r="P398" s="643"/>
      <c r="Q398" s="24">
        <f t="shared" si="71"/>
        <v>1</v>
      </c>
      <c r="R398" s="24">
        <f t="shared" si="72"/>
        <v>0</v>
      </c>
      <c r="S398" s="314">
        <f t="shared" si="73"/>
        <v>0</v>
      </c>
    </row>
    <row r="399" spans="1:19">
      <c r="A399" s="147"/>
      <c r="B399" s="55"/>
      <c r="C399" s="24">
        <f t="shared" si="64"/>
        <v>1</v>
      </c>
      <c r="D399" s="643"/>
      <c r="E399" s="24">
        <f t="shared" si="65"/>
        <v>0</v>
      </c>
      <c r="F399" s="643"/>
      <c r="G399" s="24">
        <f t="shared" si="66"/>
        <v>0</v>
      </c>
      <c r="H399" s="643"/>
      <c r="I399" s="24">
        <f t="shared" si="67"/>
        <v>0.1</v>
      </c>
      <c r="J399" s="643"/>
      <c r="K399" s="24">
        <f t="shared" si="68"/>
        <v>1</v>
      </c>
      <c r="L399" s="643"/>
      <c r="M399" s="24">
        <f t="shared" si="69"/>
        <v>1</v>
      </c>
      <c r="N399" s="643"/>
      <c r="O399" s="24">
        <f t="shared" si="70"/>
        <v>1</v>
      </c>
      <c r="P399" s="643"/>
      <c r="Q399" s="24">
        <f t="shared" si="71"/>
        <v>1</v>
      </c>
      <c r="R399" s="24">
        <f t="shared" si="72"/>
        <v>0</v>
      </c>
      <c r="S399" s="314">
        <f t="shared" si="73"/>
        <v>0</v>
      </c>
    </row>
    <row r="400" spans="1:19">
      <c r="A400" s="147"/>
      <c r="B400" s="55"/>
      <c r="C400" s="24">
        <f t="shared" si="64"/>
        <v>1</v>
      </c>
      <c r="D400" s="643"/>
      <c r="E400" s="24">
        <f t="shared" si="65"/>
        <v>0</v>
      </c>
      <c r="F400" s="643"/>
      <c r="G400" s="24">
        <f t="shared" si="66"/>
        <v>0</v>
      </c>
      <c r="H400" s="643"/>
      <c r="I400" s="24">
        <f t="shared" si="67"/>
        <v>0.1</v>
      </c>
      <c r="J400" s="643"/>
      <c r="K400" s="24">
        <f t="shared" si="68"/>
        <v>1</v>
      </c>
      <c r="L400" s="643"/>
      <c r="M400" s="24">
        <f t="shared" si="69"/>
        <v>1</v>
      </c>
      <c r="N400" s="643"/>
      <c r="O400" s="24">
        <f t="shared" si="70"/>
        <v>1</v>
      </c>
      <c r="P400" s="643"/>
      <c r="Q400" s="24">
        <f t="shared" si="71"/>
        <v>1</v>
      </c>
      <c r="R400" s="24">
        <f t="shared" si="72"/>
        <v>0</v>
      </c>
      <c r="S400" s="314">
        <f t="shared" si="73"/>
        <v>0</v>
      </c>
    </row>
    <row r="401" spans="1:19">
      <c r="A401" s="147"/>
      <c r="B401" s="55"/>
      <c r="C401" s="24">
        <f t="shared" si="64"/>
        <v>1</v>
      </c>
      <c r="D401" s="643"/>
      <c r="E401" s="24">
        <f t="shared" si="65"/>
        <v>0</v>
      </c>
      <c r="F401" s="643"/>
      <c r="G401" s="24">
        <f t="shared" si="66"/>
        <v>0</v>
      </c>
      <c r="H401" s="643"/>
      <c r="I401" s="24">
        <f t="shared" si="67"/>
        <v>0.1</v>
      </c>
      <c r="J401" s="643"/>
      <c r="K401" s="24">
        <f t="shared" si="68"/>
        <v>1</v>
      </c>
      <c r="L401" s="643"/>
      <c r="M401" s="24">
        <f t="shared" si="69"/>
        <v>1</v>
      </c>
      <c r="N401" s="643"/>
      <c r="O401" s="24">
        <f t="shared" si="70"/>
        <v>1</v>
      </c>
      <c r="P401" s="643"/>
      <c r="Q401" s="24">
        <f t="shared" si="71"/>
        <v>1</v>
      </c>
      <c r="R401" s="24">
        <f t="shared" si="72"/>
        <v>0</v>
      </c>
      <c r="S401" s="314">
        <f t="shared" si="73"/>
        <v>0</v>
      </c>
    </row>
    <row r="402" spans="1:19">
      <c r="A402" s="147"/>
      <c r="B402" s="55"/>
      <c r="C402" s="24">
        <f t="shared" si="64"/>
        <v>1</v>
      </c>
      <c r="D402" s="643"/>
      <c r="E402" s="24">
        <f t="shared" si="65"/>
        <v>0</v>
      </c>
      <c r="F402" s="643"/>
      <c r="G402" s="24">
        <f t="shared" si="66"/>
        <v>0</v>
      </c>
      <c r="H402" s="643"/>
      <c r="I402" s="24">
        <f t="shared" si="67"/>
        <v>0.1</v>
      </c>
      <c r="J402" s="643"/>
      <c r="K402" s="24">
        <f t="shared" si="68"/>
        <v>1</v>
      </c>
      <c r="L402" s="643"/>
      <c r="M402" s="24">
        <f t="shared" si="69"/>
        <v>1</v>
      </c>
      <c r="N402" s="643"/>
      <c r="O402" s="24">
        <f t="shared" si="70"/>
        <v>1</v>
      </c>
      <c r="P402" s="643"/>
      <c r="Q402" s="24">
        <f t="shared" si="71"/>
        <v>1</v>
      </c>
      <c r="R402" s="24">
        <f t="shared" si="72"/>
        <v>0</v>
      </c>
      <c r="S402" s="314">
        <f t="shared" si="73"/>
        <v>0</v>
      </c>
    </row>
    <row r="403" spans="1:19">
      <c r="A403" s="147"/>
      <c r="B403" s="55"/>
      <c r="C403" s="24">
        <f t="shared" si="64"/>
        <v>1</v>
      </c>
      <c r="D403" s="643"/>
      <c r="E403" s="24">
        <f t="shared" si="65"/>
        <v>0</v>
      </c>
      <c r="F403" s="643"/>
      <c r="G403" s="24">
        <f t="shared" si="66"/>
        <v>0</v>
      </c>
      <c r="H403" s="643"/>
      <c r="I403" s="24">
        <f t="shared" si="67"/>
        <v>0.1</v>
      </c>
      <c r="J403" s="643"/>
      <c r="K403" s="24">
        <f t="shared" si="68"/>
        <v>1</v>
      </c>
      <c r="L403" s="643"/>
      <c r="M403" s="24">
        <f t="shared" si="69"/>
        <v>1</v>
      </c>
      <c r="N403" s="643"/>
      <c r="O403" s="24">
        <f t="shared" si="70"/>
        <v>1</v>
      </c>
      <c r="P403" s="643"/>
      <c r="Q403" s="24">
        <f t="shared" si="71"/>
        <v>1</v>
      </c>
      <c r="R403" s="24">
        <f t="shared" si="72"/>
        <v>0</v>
      </c>
      <c r="S403" s="314">
        <f t="shared" si="73"/>
        <v>0</v>
      </c>
    </row>
    <row r="404" spans="1:19">
      <c r="A404" s="147"/>
      <c r="B404" s="55"/>
      <c r="C404" s="24">
        <f t="shared" si="64"/>
        <v>1</v>
      </c>
      <c r="D404" s="643"/>
      <c r="E404" s="24">
        <f t="shared" si="65"/>
        <v>0</v>
      </c>
      <c r="F404" s="643"/>
      <c r="G404" s="24">
        <f t="shared" si="66"/>
        <v>0</v>
      </c>
      <c r="H404" s="643"/>
      <c r="I404" s="24">
        <f t="shared" si="67"/>
        <v>0.1</v>
      </c>
      <c r="J404" s="643"/>
      <c r="K404" s="24">
        <f t="shared" si="68"/>
        <v>1</v>
      </c>
      <c r="L404" s="643"/>
      <c r="M404" s="24">
        <f t="shared" si="69"/>
        <v>1</v>
      </c>
      <c r="N404" s="643"/>
      <c r="O404" s="24">
        <f t="shared" si="70"/>
        <v>1</v>
      </c>
      <c r="P404" s="643"/>
      <c r="Q404" s="24">
        <f t="shared" si="71"/>
        <v>1</v>
      </c>
      <c r="R404" s="24">
        <f t="shared" si="72"/>
        <v>0</v>
      </c>
      <c r="S404" s="314">
        <f t="shared" si="73"/>
        <v>0</v>
      </c>
    </row>
    <row r="405" spans="1:19">
      <c r="A405" s="147"/>
      <c r="B405" s="55"/>
      <c r="C405" s="24">
        <f t="shared" si="64"/>
        <v>1</v>
      </c>
      <c r="D405" s="643"/>
      <c r="E405" s="24">
        <f t="shared" si="65"/>
        <v>0</v>
      </c>
      <c r="F405" s="643"/>
      <c r="G405" s="24">
        <f t="shared" si="66"/>
        <v>0</v>
      </c>
      <c r="H405" s="643"/>
      <c r="I405" s="24">
        <f t="shared" si="67"/>
        <v>0.1</v>
      </c>
      <c r="J405" s="643"/>
      <c r="K405" s="24">
        <f t="shared" si="68"/>
        <v>1</v>
      </c>
      <c r="L405" s="643"/>
      <c r="M405" s="24">
        <f t="shared" si="69"/>
        <v>1</v>
      </c>
      <c r="N405" s="643"/>
      <c r="O405" s="24">
        <f t="shared" si="70"/>
        <v>1</v>
      </c>
      <c r="P405" s="643"/>
      <c r="Q405" s="24">
        <f t="shared" si="71"/>
        <v>1</v>
      </c>
      <c r="R405" s="24">
        <f t="shared" si="72"/>
        <v>0</v>
      </c>
      <c r="S405" s="314">
        <f t="shared" si="73"/>
        <v>0</v>
      </c>
    </row>
    <row r="406" spans="1:19">
      <c r="A406" s="147"/>
      <c r="B406" s="55"/>
      <c r="C406" s="24">
        <f t="shared" si="64"/>
        <v>1</v>
      </c>
      <c r="D406" s="643"/>
      <c r="E406" s="24">
        <f t="shared" si="65"/>
        <v>0</v>
      </c>
      <c r="F406" s="643"/>
      <c r="G406" s="24">
        <f t="shared" si="66"/>
        <v>0</v>
      </c>
      <c r="H406" s="643"/>
      <c r="I406" s="24">
        <f t="shared" si="67"/>
        <v>0.1</v>
      </c>
      <c r="J406" s="643"/>
      <c r="K406" s="24">
        <f t="shared" si="68"/>
        <v>1</v>
      </c>
      <c r="L406" s="643"/>
      <c r="M406" s="24">
        <f t="shared" si="69"/>
        <v>1</v>
      </c>
      <c r="N406" s="643"/>
      <c r="O406" s="24">
        <f t="shared" si="70"/>
        <v>1</v>
      </c>
      <c r="P406" s="643"/>
      <c r="Q406" s="24">
        <f t="shared" si="71"/>
        <v>1</v>
      </c>
      <c r="R406" s="24">
        <f t="shared" si="72"/>
        <v>0</v>
      </c>
      <c r="S406" s="314">
        <f t="shared" si="73"/>
        <v>0</v>
      </c>
    </row>
    <row r="407" spans="1:19">
      <c r="A407" s="147"/>
      <c r="B407" s="55"/>
      <c r="C407" s="24">
        <f t="shared" si="64"/>
        <v>1</v>
      </c>
      <c r="D407" s="643"/>
      <c r="E407" s="24">
        <f t="shared" si="65"/>
        <v>0</v>
      </c>
      <c r="F407" s="643"/>
      <c r="G407" s="24">
        <f t="shared" si="66"/>
        <v>0</v>
      </c>
      <c r="H407" s="643"/>
      <c r="I407" s="24">
        <f t="shared" si="67"/>
        <v>0.1</v>
      </c>
      <c r="J407" s="643"/>
      <c r="K407" s="24">
        <f t="shared" si="68"/>
        <v>1</v>
      </c>
      <c r="L407" s="643"/>
      <c r="M407" s="24">
        <f t="shared" si="69"/>
        <v>1</v>
      </c>
      <c r="N407" s="643"/>
      <c r="O407" s="24">
        <f t="shared" si="70"/>
        <v>1</v>
      </c>
      <c r="P407" s="643"/>
      <c r="Q407" s="24">
        <f t="shared" si="71"/>
        <v>1</v>
      </c>
      <c r="R407" s="24">
        <f t="shared" si="72"/>
        <v>0</v>
      </c>
      <c r="S407" s="314">
        <f t="shared" si="73"/>
        <v>0</v>
      </c>
    </row>
    <row r="408" spans="1:19">
      <c r="A408" s="147"/>
      <c r="B408" s="55"/>
      <c r="C408" s="24">
        <f t="shared" si="64"/>
        <v>1</v>
      </c>
      <c r="D408" s="643"/>
      <c r="E408" s="24">
        <f t="shared" si="65"/>
        <v>0</v>
      </c>
      <c r="F408" s="643"/>
      <c r="G408" s="24">
        <f t="shared" si="66"/>
        <v>0</v>
      </c>
      <c r="H408" s="643"/>
      <c r="I408" s="24">
        <f t="shared" si="67"/>
        <v>0.1</v>
      </c>
      <c r="J408" s="643"/>
      <c r="K408" s="24">
        <f t="shared" si="68"/>
        <v>1</v>
      </c>
      <c r="L408" s="643"/>
      <c r="M408" s="24">
        <f t="shared" si="69"/>
        <v>1</v>
      </c>
      <c r="N408" s="643"/>
      <c r="O408" s="24">
        <f t="shared" si="70"/>
        <v>1</v>
      </c>
      <c r="P408" s="643"/>
      <c r="Q408" s="24">
        <f t="shared" si="71"/>
        <v>1</v>
      </c>
      <c r="R408" s="24">
        <f t="shared" si="72"/>
        <v>0</v>
      </c>
      <c r="S408" s="314">
        <f t="shared" si="73"/>
        <v>0</v>
      </c>
    </row>
    <row r="409" spans="1:19">
      <c r="A409" s="147"/>
      <c r="B409" s="55"/>
      <c r="C409" s="24">
        <f t="shared" si="64"/>
        <v>1</v>
      </c>
      <c r="D409" s="643"/>
      <c r="E409" s="24">
        <f t="shared" si="65"/>
        <v>0</v>
      </c>
      <c r="F409" s="643"/>
      <c r="G409" s="24">
        <f t="shared" si="66"/>
        <v>0</v>
      </c>
      <c r="H409" s="643"/>
      <c r="I409" s="24">
        <f t="shared" si="67"/>
        <v>0.1</v>
      </c>
      <c r="J409" s="643"/>
      <c r="K409" s="24">
        <f t="shared" si="68"/>
        <v>1</v>
      </c>
      <c r="L409" s="643"/>
      <c r="M409" s="24">
        <f t="shared" si="69"/>
        <v>1</v>
      </c>
      <c r="N409" s="643"/>
      <c r="O409" s="24">
        <f t="shared" si="70"/>
        <v>1</v>
      </c>
      <c r="P409" s="643"/>
      <c r="Q409" s="24">
        <f t="shared" si="71"/>
        <v>1</v>
      </c>
      <c r="R409" s="24">
        <f t="shared" si="72"/>
        <v>0</v>
      </c>
      <c r="S409" s="314">
        <f t="shared" si="73"/>
        <v>0</v>
      </c>
    </row>
    <row r="410" spans="1:19">
      <c r="A410" s="147"/>
      <c r="B410" s="55"/>
      <c r="C410" s="24">
        <f t="shared" ref="C410:C473" si="74">IF(B410="",1,(LOOKUP(B410,$3:$3,$4:$4)-LOOKUP($B$24,$3:$3,$4:$4)+100)/100)</f>
        <v>1</v>
      </c>
      <c r="D410" s="643"/>
      <c r="E410" s="24">
        <f t="shared" ref="E410:E473" si="75">(SUMIF($5:$5,D410,$6:$6)-SUMIF($5:$5,$D$24,$6:$6)+100)/100</f>
        <v>0</v>
      </c>
      <c r="F410" s="643"/>
      <c r="G410" s="24">
        <f t="shared" ref="G410:G473" si="76">(SUMIF($7:$7,F410,$8:$8)-SUMIF($7:$7,$F$24,$8:$8)+100)/100</f>
        <v>0</v>
      </c>
      <c r="H410" s="643"/>
      <c r="I410" s="24">
        <f t="shared" ref="I410:I473" si="77">(SUMIF($9:$9,H410,$10:$10)-SUMIF($9:$9,$H$24,$10:$10)+100)/100</f>
        <v>0.1</v>
      </c>
      <c r="J410" s="643"/>
      <c r="K410" s="24">
        <f t="shared" ref="K410:K473" si="78">(SUMIF($11:$11,J410,$12:$12)-SUMIF($11:$11,$J$24,$12:$12)+100)/100</f>
        <v>1</v>
      </c>
      <c r="L410" s="643"/>
      <c r="M410" s="24">
        <f t="shared" ref="M410:M473" si="79">(SUMIF($13:$13,L410,$14:$14)-SUMIF($13:$13,$L$24,$14:$14)+100)/100</f>
        <v>1</v>
      </c>
      <c r="N410" s="643"/>
      <c r="O410" s="24">
        <f t="shared" ref="O410:O473" si="80">(SUMIF($15:$15,N410,$16:$16)-SUMIF($15:$15,$N$24,$16:$16)+100)/100</f>
        <v>1</v>
      </c>
      <c r="P410" s="643"/>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3"/>
      <c r="E411" s="24">
        <f t="shared" si="75"/>
        <v>0</v>
      </c>
      <c r="F411" s="643"/>
      <c r="G411" s="24">
        <f t="shared" si="76"/>
        <v>0</v>
      </c>
      <c r="H411" s="643"/>
      <c r="I411" s="24">
        <f t="shared" si="77"/>
        <v>0.1</v>
      </c>
      <c r="J411" s="643"/>
      <c r="K411" s="24">
        <f t="shared" si="78"/>
        <v>1</v>
      </c>
      <c r="L411" s="643"/>
      <c r="M411" s="24">
        <f t="shared" si="79"/>
        <v>1</v>
      </c>
      <c r="N411" s="643"/>
      <c r="O411" s="24">
        <f t="shared" si="80"/>
        <v>1</v>
      </c>
      <c r="P411" s="643"/>
      <c r="Q411" s="24">
        <f t="shared" si="81"/>
        <v>1</v>
      </c>
      <c r="R411" s="24">
        <f t="shared" si="82"/>
        <v>0</v>
      </c>
      <c r="S411" s="314">
        <f t="shared" si="73"/>
        <v>0</v>
      </c>
    </row>
    <row r="412" spans="1:19">
      <c r="A412" s="147"/>
      <c r="B412" s="55"/>
      <c r="C412" s="24">
        <f t="shared" si="74"/>
        <v>1</v>
      </c>
      <c r="D412" s="643"/>
      <c r="E412" s="24">
        <f t="shared" si="75"/>
        <v>0</v>
      </c>
      <c r="F412" s="643"/>
      <c r="G412" s="24">
        <f t="shared" si="76"/>
        <v>0</v>
      </c>
      <c r="H412" s="643"/>
      <c r="I412" s="24">
        <f t="shared" si="77"/>
        <v>0.1</v>
      </c>
      <c r="J412" s="643"/>
      <c r="K412" s="24">
        <f t="shared" si="78"/>
        <v>1</v>
      </c>
      <c r="L412" s="643"/>
      <c r="M412" s="24">
        <f t="shared" si="79"/>
        <v>1</v>
      </c>
      <c r="N412" s="643"/>
      <c r="O412" s="24">
        <f t="shared" si="80"/>
        <v>1</v>
      </c>
      <c r="P412" s="643"/>
      <c r="Q412" s="24">
        <f t="shared" si="81"/>
        <v>1</v>
      </c>
      <c r="R412" s="24">
        <f t="shared" si="82"/>
        <v>0</v>
      </c>
      <c r="S412" s="314">
        <f t="shared" si="73"/>
        <v>0</v>
      </c>
    </row>
    <row r="413" spans="1:19">
      <c r="A413" s="147"/>
      <c r="B413" s="55"/>
      <c r="C413" s="24">
        <f t="shared" si="74"/>
        <v>1</v>
      </c>
      <c r="D413" s="643"/>
      <c r="E413" s="24">
        <f t="shared" si="75"/>
        <v>0</v>
      </c>
      <c r="F413" s="643"/>
      <c r="G413" s="24">
        <f t="shared" si="76"/>
        <v>0</v>
      </c>
      <c r="H413" s="643"/>
      <c r="I413" s="24">
        <f t="shared" si="77"/>
        <v>0.1</v>
      </c>
      <c r="J413" s="643"/>
      <c r="K413" s="24">
        <f t="shared" si="78"/>
        <v>1</v>
      </c>
      <c r="L413" s="643"/>
      <c r="M413" s="24">
        <f t="shared" si="79"/>
        <v>1</v>
      </c>
      <c r="N413" s="643"/>
      <c r="O413" s="24">
        <f t="shared" si="80"/>
        <v>1</v>
      </c>
      <c r="P413" s="643"/>
      <c r="Q413" s="24">
        <f t="shared" si="81"/>
        <v>1</v>
      </c>
      <c r="R413" s="24">
        <f t="shared" si="82"/>
        <v>0</v>
      </c>
      <c r="S413" s="314">
        <f t="shared" si="73"/>
        <v>0</v>
      </c>
    </row>
    <row r="414" spans="1:19">
      <c r="A414" s="147"/>
      <c r="B414" s="55"/>
      <c r="C414" s="24">
        <f t="shared" si="74"/>
        <v>1</v>
      </c>
      <c r="D414" s="643"/>
      <c r="E414" s="24">
        <f t="shared" si="75"/>
        <v>0</v>
      </c>
      <c r="F414" s="643"/>
      <c r="G414" s="24">
        <f t="shared" si="76"/>
        <v>0</v>
      </c>
      <c r="H414" s="643"/>
      <c r="I414" s="24">
        <f t="shared" si="77"/>
        <v>0.1</v>
      </c>
      <c r="J414" s="643"/>
      <c r="K414" s="24">
        <f t="shared" si="78"/>
        <v>1</v>
      </c>
      <c r="L414" s="643"/>
      <c r="M414" s="24">
        <f t="shared" si="79"/>
        <v>1</v>
      </c>
      <c r="N414" s="643"/>
      <c r="O414" s="24">
        <f t="shared" si="80"/>
        <v>1</v>
      </c>
      <c r="P414" s="643"/>
      <c r="Q414" s="24">
        <f t="shared" si="81"/>
        <v>1</v>
      </c>
      <c r="R414" s="24">
        <f t="shared" si="82"/>
        <v>0</v>
      </c>
      <c r="S414" s="314">
        <f t="shared" si="73"/>
        <v>0</v>
      </c>
    </row>
    <row r="415" spans="1:19">
      <c r="A415" s="147"/>
      <c r="B415" s="55"/>
      <c r="C415" s="24">
        <f t="shared" si="74"/>
        <v>1</v>
      </c>
      <c r="D415" s="643"/>
      <c r="E415" s="24">
        <f t="shared" si="75"/>
        <v>0</v>
      </c>
      <c r="F415" s="643"/>
      <c r="G415" s="24">
        <f t="shared" si="76"/>
        <v>0</v>
      </c>
      <c r="H415" s="643"/>
      <c r="I415" s="24">
        <f t="shared" si="77"/>
        <v>0.1</v>
      </c>
      <c r="J415" s="643"/>
      <c r="K415" s="24">
        <f t="shared" si="78"/>
        <v>1</v>
      </c>
      <c r="L415" s="643"/>
      <c r="M415" s="24">
        <f t="shared" si="79"/>
        <v>1</v>
      </c>
      <c r="N415" s="643"/>
      <c r="O415" s="24">
        <f t="shared" si="80"/>
        <v>1</v>
      </c>
      <c r="P415" s="643"/>
      <c r="Q415" s="24">
        <f t="shared" si="81"/>
        <v>1</v>
      </c>
      <c r="R415" s="24">
        <f t="shared" si="82"/>
        <v>0</v>
      </c>
      <c r="S415" s="314">
        <f t="shared" si="73"/>
        <v>0</v>
      </c>
    </row>
    <row r="416" spans="1:19">
      <c r="A416" s="147"/>
      <c r="B416" s="55"/>
      <c r="C416" s="24">
        <f t="shared" si="74"/>
        <v>1</v>
      </c>
      <c r="D416" s="643"/>
      <c r="E416" s="24">
        <f t="shared" si="75"/>
        <v>0</v>
      </c>
      <c r="F416" s="643"/>
      <c r="G416" s="24">
        <f t="shared" si="76"/>
        <v>0</v>
      </c>
      <c r="H416" s="643"/>
      <c r="I416" s="24">
        <f t="shared" si="77"/>
        <v>0.1</v>
      </c>
      <c r="J416" s="643"/>
      <c r="K416" s="24">
        <f t="shared" si="78"/>
        <v>1</v>
      </c>
      <c r="L416" s="643"/>
      <c r="M416" s="24">
        <f t="shared" si="79"/>
        <v>1</v>
      </c>
      <c r="N416" s="643"/>
      <c r="O416" s="24">
        <f t="shared" si="80"/>
        <v>1</v>
      </c>
      <c r="P416" s="643"/>
      <c r="Q416" s="24">
        <f t="shared" si="81"/>
        <v>1</v>
      </c>
      <c r="R416" s="24">
        <f t="shared" si="82"/>
        <v>0</v>
      </c>
      <c r="S416" s="314">
        <f t="shared" si="73"/>
        <v>0</v>
      </c>
    </row>
    <row r="417" spans="1:19">
      <c r="A417" s="147"/>
      <c r="B417" s="55"/>
      <c r="C417" s="24">
        <f t="shared" si="74"/>
        <v>1</v>
      </c>
      <c r="D417" s="643"/>
      <c r="E417" s="24">
        <f t="shared" si="75"/>
        <v>0</v>
      </c>
      <c r="F417" s="643"/>
      <c r="G417" s="24">
        <f t="shared" si="76"/>
        <v>0</v>
      </c>
      <c r="H417" s="643"/>
      <c r="I417" s="24">
        <f t="shared" si="77"/>
        <v>0.1</v>
      </c>
      <c r="J417" s="643"/>
      <c r="K417" s="24">
        <f t="shared" si="78"/>
        <v>1</v>
      </c>
      <c r="L417" s="643"/>
      <c r="M417" s="24">
        <f t="shared" si="79"/>
        <v>1</v>
      </c>
      <c r="N417" s="643"/>
      <c r="O417" s="24">
        <f t="shared" si="80"/>
        <v>1</v>
      </c>
      <c r="P417" s="643"/>
      <c r="Q417" s="24">
        <f t="shared" si="81"/>
        <v>1</v>
      </c>
      <c r="R417" s="24">
        <f t="shared" si="82"/>
        <v>0</v>
      </c>
      <c r="S417" s="314">
        <f t="shared" si="73"/>
        <v>0</v>
      </c>
    </row>
    <row r="418" spans="1:19">
      <c r="A418" s="147"/>
      <c r="B418" s="55"/>
      <c r="C418" s="24">
        <f t="shared" si="74"/>
        <v>1</v>
      </c>
      <c r="D418" s="643"/>
      <c r="E418" s="24">
        <f t="shared" si="75"/>
        <v>0</v>
      </c>
      <c r="F418" s="643"/>
      <c r="G418" s="24">
        <f t="shared" si="76"/>
        <v>0</v>
      </c>
      <c r="H418" s="643"/>
      <c r="I418" s="24">
        <f t="shared" si="77"/>
        <v>0.1</v>
      </c>
      <c r="J418" s="643"/>
      <c r="K418" s="24">
        <f t="shared" si="78"/>
        <v>1</v>
      </c>
      <c r="L418" s="643"/>
      <c r="M418" s="24">
        <f t="shared" si="79"/>
        <v>1</v>
      </c>
      <c r="N418" s="643"/>
      <c r="O418" s="24">
        <f t="shared" si="80"/>
        <v>1</v>
      </c>
      <c r="P418" s="643"/>
      <c r="Q418" s="24">
        <f t="shared" si="81"/>
        <v>1</v>
      </c>
      <c r="R418" s="24">
        <f t="shared" si="82"/>
        <v>0</v>
      </c>
      <c r="S418" s="314">
        <f t="shared" si="73"/>
        <v>0</v>
      </c>
    </row>
    <row r="419" spans="1:19">
      <c r="A419" s="147"/>
      <c r="B419" s="55"/>
      <c r="C419" s="24">
        <f t="shared" si="74"/>
        <v>1</v>
      </c>
      <c r="D419" s="643"/>
      <c r="E419" s="24">
        <f t="shared" si="75"/>
        <v>0</v>
      </c>
      <c r="F419" s="643"/>
      <c r="G419" s="24">
        <f t="shared" si="76"/>
        <v>0</v>
      </c>
      <c r="H419" s="643"/>
      <c r="I419" s="24">
        <f t="shared" si="77"/>
        <v>0.1</v>
      </c>
      <c r="J419" s="643"/>
      <c r="K419" s="24">
        <f t="shared" si="78"/>
        <v>1</v>
      </c>
      <c r="L419" s="643"/>
      <c r="M419" s="24">
        <f t="shared" si="79"/>
        <v>1</v>
      </c>
      <c r="N419" s="643"/>
      <c r="O419" s="24">
        <f t="shared" si="80"/>
        <v>1</v>
      </c>
      <c r="P419" s="643"/>
      <c r="Q419" s="24">
        <f t="shared" si="81"/>
        <v>1</v>
      </c>
      <c r="R419" s="24">
        <f t="shared" si="82"/>
        <v>0</v>
      </c>
      <c r="S419" s="314">
        <f t="shared" si="73"/>
        <v>0</v>
      </c>
    </row>
    <row r="420" spans="1:19">
      <c r="A420" s="147"/>
      <c r="B420" s="55"/>
      <c r="C420" s="24">
        <f t="shared" si="74"/>
        <v>1</v>
      </c>
      <c r="D420" s="643"/>
      <c r="E420" s="24">
        <f t="shared" si="75"/>
        <v>0</v>
      </c>
      <c r="F420" s="643"/>
      <c r="G420" s="24">
        <f t="shared" si="76"/>
        <v>0</v>
      </c>
      <c r="H420" s="643"/>
      <c r="I420" s="24">
        <f t="shared" si="77"/>
        <v>0.1</v>
      </c>
      <c r="J420" s="643"/>
      <c r="K420" s="24">
        <f t="shared" si="78"/>
        <v>1</v>
      </c>
      <c r="L420" s="643"/>
      <c r="M420" s="24">
        <f t="shared" si="79"/>
        <v>1</v>
      </c>
      <c r="N420" s="643"/>
      <c r="O420" s="24">
        <f t="shared" si="80"/>
        <v>1</v>
      </c>
      <c r="P420" s="643"/>
      <c r="Q420" s="24">
        <f t="shared" si="81"/>
        <v>1</v>
      </c>
      <c r="R420" s="24">
        <f t="shared" si="82"/>
        <v>0</v>
      </c>
      <c r="S420" s="314">
        <f t="shared" si="73"/>
        <v>0</v>
      </c>
    </row>
    <row r="421" spans="1:19">
      <c r="A421" s="147"/>
      <c r="B421" s="55"/>
      <c r="C421" s="24">
        <f t="shared" si="74"/>
        <v>1</v>
      </c>
      <c r="D421" s="643"/>
      <c r="E421" s="24">
        <f t="shared" si="75"/>
        <v>0</v>
      </c>
      <c r="F421" s="643"/>
      <c r="G421" s="24">
        <f t="shared" si="76"/>
        <v>0</v>
      </c>
      <c r="H421" s="643"/>
      <c r="I421" s="24">
        <f t="shared" si="77"/>
        <v>0.1</v>
      </c>
      <c r="J421" s="643"/>
      <c r="K421" s="24">
        <f t="shared" si="78"/>
        <v>1</v>
      </c>
      <c r="L421" s="643"/>
      <c r="M421" s="24">
        <f t="shared" si="79"/>
        <v>1</v>
      </c>
      <c r="N421" s="643"/>
      <c r="O421" s="24">
        <f t="shared" si="80"/>
        <v>1</v>
      </c>
      <c r="P421" s="643"/>
      <c r="Q421" s="24">
        <f t="shared" si="81"/>
        <v>1</v>
      </c>
      <c r="R421" s="24">
        <f t="shared" si="82"/>
        <v>0</v>
      </c>
      <c r="S421" s="314">
        <f t="shared" si="73"/>
        <v>0</v>
      </c>
    </row>
    <row r="422" spans="1:19">
      <c r="A422" s="147"/>
      <c r="B422" s="55"/>
      <c r="C422" s="24">
        <f t="shared" si="74"/>
        <v>1</v>
      </c>
      <c r="D422" s="643"/>
      <c r="E422" s="24">
        <f t="shared" si="75"/>
        <v>0</v>
      </c>
      <c r="F422" s="643"/>
      <c r="G422" s="24">
        <f t="shared" si="76"/>
        <v>0</v>
      </c>
      <c r="H422" s="643"/>
      <c r="I422" s="24">
        <f t="shared" si="77"/>
        <v>0.1</v>
      </c>
      <c r="J422" s="643"/>
      <c r="K422" s="24">
        <f t="shared" si="78"/>
        <v>1</v>
      </c>
      <c r="L422" s="643"/>
      <c r="M422" s="24">
        <f t="shared" si="79"/>
        <v>1</v>
      </c>
      <c r="N422" s="643"/>
      <c r="O422" s="24">
        <f t="shared" si="80"/>
        <v>1</v>
      </c>
      <c r="P422" s="643"/>
      <c r="Q422" s="24">
        <f t="shared" si="81"/>
        <v>1</v>
      </c>
      <c r="R422" s="24">
        <f t="shared" si="82"/>
        <v>0</v>
      </c>
      <c r="S422" s="314">
        <f t="shared" si="73"/>
        <v>0</v>
      </c>
    </row>
    <row r="423" spans="1:19">
      <c r="A423" s="147"/>
      <c r="B423" s="55"/>
      <c r="C423" s="24">
        <f t="shared" si="74"/>
        <v>1</v>
      </c>
      <c r="D423" s="643"/>
      <c r="E423" s="24">
        <f t="shared" si="75"/>
        <v>0</v>
      </c>
      <c r="F423" s="643"/>
      <c r="G423" s="24">
        <f t="shared" si="76"/>
        <v>0</v>
      </c>
      <c r="H423" s="643"/>
      <c r="I423" s="24">
        <f t="shared" si="77"/>
        <v>0.1</v>
      </c>
      <c r="J423" s="643"/>
      <c r="K423" s="24">
        <f t="shared" si="78"/>
        <v>1</v>
      </c>
      <c r="L423" s="643"/>
      <c r="M423" s="24">
        <f t="shared" si="79"/>
        <v>1</v>
      </c>
      <c r="N423" s="643"/>
      <c r="O423" s="24">
        <f t="shared" si="80"/>
        <v>1</v>
      </c>
      <c r="P423" s="643"/>
      <c r="Q423" s="24">
        <f t="shared" si="81"/>
        <v>1</v>
      </c>
      <c r="R423" s="24">
        <f t="shared" si="82"/>
        <v>0</v>
      </c>
      <c r="S423" s="314">
        <f t="shared" ref="S423:S467" si="83">ROUND(R423*B423/10000,0)</f>
        <v>0</v>
      </c>
    </row>
    <row r="424" spans="1:19">
      <c r="A424" s="147"/>
      <c r="B424" s="55"/>
      <c r="C424" s="24">
        <f t="shared" si="74"/>
        <v>1</v>
      </c>
      <c r="D424" s="643"/>
      <c r="E424" s="24">
        <f t="shared" si="75"/>
        <v>0</v>
      </c>
      <c r="F424" s="643"/>
      <c r="G424" s="24">
        <f t="shared" si="76"/>
        <v>0</v>
      </c>
      <c r="H424" s="643"/>
      <c r="I424" s="24">
        <f t="shared" si="77"/>
        <v>0.1</v>
      </c>
      <c r="J424" s="643"/>
      <c r="K424" s="24">
        <f t="shared" si="78"/>
        <v>1</v>
      </c>
      <c r="L424" s="643"/>
      <c r="M424" s="24">
        <f t="shared" si="79"/>
        <v>1</v>
      </c>
      <c r="N424" s="643"/>
      <c r="O424" s="24">
        <f t="shared" si="80"/>
        <v>1</v>
      </c>
      <c r="P424" s="643"/>
      <c r="Q424" s="24">
        <f t="shared" si="81"/>
        <v>1</v>
      </c>
      <c r="R424" s="24">
        <f t="shared" si="82"/>
        <v>0</v>
      </c>
      <c r="S424" s="314">
        <f t="shared" si="83"/>
        <v>0</v>
      </c>
    </row>
    <row r="425" spans="1:19">
      <c r="A425" s="147"/>
      <c r="B425" s="55"/>
      <c r="C425" s="24">
        <f t="shared" si="74"/>
        <v>1</v>
      </c>
      <c r="D425" s="643"/>
      <c r="E425" s="24">
        <f t="shared" si="75"/>
        <v>0</v>
      </c>
      <c r="F425" s="643"/>
      <c r="G425" s="24">
        <f t="shared" si="76"/>
        <v>0</v>
      </c>
      <c r="H425" s="643"/>
      <c r="I425" s="24">
        <f t="shared" si="77"/>
        <v>0.1</v>
      </c>
      <c r="J425" s="643"/>
      <c r="K425" s="24">
        <f t="shared" si="78"/>
        <v>1</v>
      </c>
      <c r="L425" s="643"/>
      <c r="M425" s="24">
        <f t="shared" si="79"/>
        <v>1</v>
      </c>
      <c r="N425" s="643"/>
      <c r="O425" s="24">
        <f t="shared" si="80"/>
        <v>1</v>
      </c>
      <c r="P425" s="643"/>
      <c r="Q425" s="24">
        <f t="shared" si="81"/>
        <v>1</v>
      </c>
      <c r="R425" s="24">
        <f t="shared" si="82"/>
        <v>0</v>
      </c>
      <c r="S425" s="314">
        <f t="shared" si="83"/>
        <v>0</v>
      </c>
    </row>
    <row r="426" spans="1:19">
      <c r="A426" s="147"/>
      <c r="B426" s="55"/>
      <c r="C426" s="24">
        <f t="shared" si="74"/>
        <v>1</v>
      </c>
      <c r="D426" s="643"/>
      <c r="E426" s="24">
        <f t="shared" si="75"/>
        <v>0</v>
      </c>
      <c r="F426" s="643"/>
      <c r="G426" s="24">
        <f t="shared" si="76"/>
        <v>0</v>
      </c>
      <c r="H426" s="643"/>
      <c r="I426" s="24">
        <f t="shared" si="77"/>
        <v>0.1</v>
      </c>
      <c r="J426" s="643"/>
      <c r="K426" s="24">
        <f t="shared" si="78"/>
        <v>1</v>
      </c>
      <c r="L426" s="643"/>
      <c r="M426" s="24">
        <f t="shared" si="79"/>
        <v>1</v>
      </c>
      <c r="N426" s="643"/>
      <c r="O426" s="24">
        <f t="shared" si="80"/>
        <v>1</v>
      </c>
      <c r="P426" s="643"/>
      <c r="Q426" s="24">
        <f t="shared" si="81"/>
        <v>1</v>
      </c>
      <c r="R426" s="24">
        <f t="shared" si="82"/>
        <v>0</v>
      </c>
      <c r="S426" s="314">
        <f t="shared" si="83"/>
        <v>0</v>
      </c>
    </row>
    <row r="427" spans="1:19">
      <c r="A427" s="147"/>
      <c r="B427" s="55"/>
      <c r="C427" s="24">
        <f t="shared" si="74"/>
        <v>1</v>
      </c>
      <c r="D427" s="643"/>
      <c r="E427" s="24">
        <f t="shared" si="75"/>
        <v>0</v>
      </c>
      <c r="F427" s="643"/>
      <c r="G427" s="24">
        <f t="shared" si="76"/>
        <v>0</v>
      </c>
      <c r="H427" s="643"/>
      <c r="I427" s="24">
        <f t="shared" si="77"/>
        <v>0.1</v>
      </c>
      <c r="J427" s="643"/>
      <c r="K427" s="24">
        <f t="shared" si="78"/>
        <v>1</v>
      </c>
      <c r="L427" s="643"/>
      <c r="M427" s="24">
        <f t="shared" si="79"/>
        <v>1</v>
      </c>
      <c r="N427" s="643"/>
      <c r="O427" s="24">
        <f t="shared" si="80"/>
        <v>1</v>
      </c>
      <c r="P427" s="643"/>
      <c r="Q427" s="24">
        <f t="shared" si="81"/>
        <v>1</v>
      </c>
      <c r="R427" s="24">
        <f t="shared" si="82"/>
        <v>0</v>
      </c>
      <c r="S427" s="314">
        <f t="shared" si="83"/>
        <v>0</v>
      </c>
    </row>
    <row r="428" spans="1:19">
      <c r="A428" s="147"/>
      <c r="B428" s="55"/>
      <c r="C428" s="24">
        <f t="shared" si="74"/>
        <v>1</v>
      </c>
      <c r="D428" s="643"/>
      <c r="E428" s="24">
        <f t="shared" si="75"/>
        <v>0</v>
      </c>
      <c r="F428" s="643"/>
      <c r="G428" s="24">
        <f t="shared" si="76"/>
        <v>0</v>
      </c>
      <c r="H428" s="643"/>
      <c r="I428" s="24">
        <f t="shared" si="77"/>
        <v>0.1</v>
      </c>
      <c r="J428" s="643"/>
      <c r="K428" s="24">
        <f t="shared" si="78"/>
        <v>1</v>
      </c>
      <c r="L428" s="643"/>
      <c r="M428" s="24">
        <f t="shared" si="79"/>
        <v>1</v>
      </c>
      <c r="N428" s="643"/>
      <c r="O428" s="24">
        <f t="shared" si="80"/>
        <v>1</v>
      </c>
      <c r="P428" s="643"/>
      <c r="Q428" s="24">
        <f t="shared" si="81"/>
        <v>1</v>
      </c>
      <c r="R428" s="24">
        <f t="shared" si="82"/>
        <v>0</v>
      </c>
      <c r="S428" s="314">
        <f t="shared" si="83"/>
        <v>0</v>
      </c>
    </row>
    <row r="429" spans="1:19">
      <c r="A429" s="147"/>
      <c r="B429" s="55"/>
      <c r="C429" s="24">
        <f t="shared" si="74"/>
        <v>1</v>
      </c>
      <c r="D429" s="643"/>
      <c r="E429" s="24">
        <f t="shared" si="75"/>
        <v>0</v>
      </c>
      <c r="F429" s="643"/>
      <c r="G429" s="24">
        <f t="shared" si="76"/>
        <v>0</v>
      </c>
      <c r="H429" s="643"/>
      <c r="I429" s="24">
        <f t="shared" si="77"/>
        <v>0.1</v>
      </c>
      <c r="J429" s="643"/>
      <c r="K429" s="24">
        <f t="shared" si="78"/>
        <v>1</v>
      </c>
      <c r="L429" s="643"/>
      <c r="M429" s="24">
        <f t="shared" si="79"/>
        <v>1</v>
      </c>
      <c r="N429" s="643"/>
      <c r="O429" s="24">
        <f t="shared" si="80"/>
        <v>1</v>
      </c>
      <c r="P429" s="643"/>
      <c r="Q429" s="24">
        <f t="shared" si="81"/>
        <v>1</v>
      </c>
      <c r="R429" s="24">
        <f t="shared" si="82"/>
        <v>0</v>
      </c>
      <c r="S429" s="314">
        <f t="shared" si="83"/>
        <v>0</v>
      </c>
    </row>
    <row r="430" spans="1:19">
      <c r="A430" s="147"/>
      <c r="B430" s="55"/>
      <c r="C430" s="24">
        <f t="shared" si="74"/>
        <v>1</v>
      </c>
      <c r="D430" s="643"/>
      <c r="E430" s="24">
        <f t="shared" si="75"/>
        <v>0</v>
      </c>
      <c r="F430" s="643"/>
      <c r="G430" s="24">
        <f t="shared" si="76"/>
        <v>0</v>
      </c>
      <c r="H430" s="643"/>
      <c r="I430" s="24">
        <f t="shared" si="77"/>
        <v>0.1</v>
      </c>
      <c r="J430" s="643"/>
      <c r="K430" s="24">
        <f t="shared" si="78"/>
        <v>1</v>
      </c>
      <c r="L430" s="643"/>
      <c r="M430" s="24">
        <f t="shared" si="79"/>
        <v>1</v>
      </c>
      <c r="N430" s="643"/>
      <c r="O430" s="24">
        <f t="shared" si="80"/>
        <v>1</v>
      </c>
      <c r="P430" s="643"/>
      <c r="Q430" s="24">
        <f t="shared" si="81"/>
        <v>1</v>
      </c>
      <c r="R430" s="24">
        <f t="shared" si="82"/>
        <v>0</v>
      </c>
      <c r="S430" s="314">
        <f t="shared" si="83"/>
        <v>0</v>
      </c>
    </row>
    <row r="431" spans="1:19">
      <c r="A431" s="147"/>
      <c r="B431" s="55"/>
      <c r="C431" s="24">
        <f t="shared" si="74"/>
        <v>1</v>
      </c>
      <c r="D431" s="643"/>
      <c r="E431" s="24">
        <f t="shared" si="75"/>
        <v>0</v>
      </c>
      <c r="F431" s="643"/>
      <c r="G431" s="24">
        <f t="shared" si="76"/>
        <v>0</v>
      </c>
      <c r="H431" s="643"/>
      <c r="I431" s="24">
        <f t="shared" si="77"/>
        <v>0.1</v>
      </c>
      <c r="J431" s="643"/>
      <c r="K431" s="24">
        <f t="shared" si="78"/>
        <v>1</v>
      </c>
      <c r="L431" s="643"/>
      <c r="M431" s="24">
        <f t="shared" si="79"/>
        <v>1</v>
      </c>
      <c r="N431" s="643"/>
      <c r="O431" s="24">
        <f t="shared" si="80"/>
        <v>1</v>
      </c>
      <c r="P431" s="643"/>
      <c r="Q431" s="24">
        <f t="shared" si="81"/>
        <v>1</v>
      </c>
      <c r="R431" s="24">
        <f t="shared" si="82"/>
        <v>0</v>
      </c>
      <c r="S431" s="314">
        <f t="shared" si="83"/>
        <v>0</v>
      </c>
    </row>
    <row r="432" spans="1:19">
      <c r="A432" s="147"/>
      <c r="B432" s="55"/>
      <c r="C432" s="24">
        <f t="shared" si="74"/>
        <v>1</v>
      </c>
      <c r="D432" s="643"/>
      <c r="E432" s="24">
        <f t="shared" si="75"/>
        <v>0</v>
      </c>
      <c r="F432" s="643"/>
      <c r="G432" s="24">
        <f t="shared" si="76"/>
        <v>0</v>
      </c>
      <c r="H432" s="643"/>
      <c r="I432" s="24">
        <f t="shared" si="77"/>
        <v>0.1</v>
      </c>
      <c r="J432" s="643"/>
      <c r="K432" s="24">
        <f t="shared" si="78"/>
        <v>1</v>
      </c>
      <c r="L432" s="643"/>
      <c r="M432" s="24">
        <f t="shared" si="79"/>
        <v>1</v>
      </c>
      <c r="N432" s="643"/>
      <c r="O432" s="24">
        <f t="shared" si="80"/>
        <v>1</v>
      </c>
      <c r="P432" s="643"/>
      <c r="Q432" s="24">
        <f t="shared" si="81"/>
        <v>1</v>
      </c>
      <c r="R432" s="24">
        <f t="shared" si="82"/>
        <v>0</v>
      </c>
      <c r="S432" s="314">
        <f t="shared" si="83"/>
        <v>0</v>
      </c>
    </row>
    <row r="433" spans="1:19">
      <c r="A433" s="147"/>
      <c r="B433" s="55"/>
      <c r="C433" s="24">
        <f t="shared" si="74"/>
        <v>1</v>
      </c>
      <c r="D433" s="643"/>
      <c r="E433" s="24">
        <f t="shared" si="75"/>
        <v>0</v>
      </c>
      <c r="F433" s="643"/>
      <c r="G433" s="24">
        <f t="shared" si="76"/>
        <v>0</v>
      </c>
      <c r="H433" s="643"/>
      <c r="I433" s="24">
        <f t="shared" si="77"/>
        <v>0.1</v>
      </c>
      <c r="J433" s="643"/>
      <c r="K433" s="24">
        <f t="shared" si="78"/>
        <v>1</v>
      </c>
      <c r="L433" s="643"/>
      <c r="M433" s="24">
        <f t="shared" si="79"/>
        <v>1</v>
      </c>
      <c r="N433" s="643"/>
      <c r="O433" s="24">
        <f t="shared" si="80"/>
        <v>1</v>
      </c>
      <c r="P433" s="643"/>
      <c r="Q433" s="24">
        <f t="shared" si="81"/>
        <v>1</v>
      </c>
      <c r="R433" s="24">
        <f t="shared" si="82"/>
        <v>0</v>
      </c>
      <c r="S433" s="314">
        <f t="shared" si="83"/>
        <v>0</v>
      </c>
    </row>
    <row r="434" spans="1:19">
      <c r="A434" s="147"/>
      <c r="B434" s="55"/>
      <c r="C434" s="24">
        <f t="shared" si="74"/>
        <v>1</v>
      </c>
      <c r="D434" s="643"/>
      <c r="E434" s="24">
        <f t="shared" si="75"/>
        <v>0</v>
      </c>
      <c r="F434" s="643"/>
      <c r="G434" s="24">
        <f t="shared" si="76"/>
        <v>0</v>
      </c>
      <c r="H434" s="643"/>
      <c r="I434" s="24">
        <f t="shared" si="77"/>
        <v>0.1</v>
      </c>
      <c r="J434" s="643"/>
      <c r="K434" s="24">
        <f t="shared" si="78"/>
        <v>1</v>
      </c>
      <c r="L434" s="643"/>
      <c r="M434" s="24">
        <f t="shared" si="79"/>
        <v>1</v>
      </c>
      <c r="N434" s="643"/>
      <c r="O434" s="24">
        <f t="shared" si="80"/>
        <v>1</v>
      </c>
      <c r="P434" s="643"/>
      <c r="Q434" s="24">
        <f t="shared" si="81"/>
        <v>1</v>
      </c>
      <c r="R434" s="24">
        <f t="shared" si="82"/>
        <v>0</v>
      </c>
      <c r="S434" s="314">
        <f t="shared" si="83"/>
        <v>0</v>
      </c>
    </row>
    <row r="435" spans="1:19">
      <c r="A435" s="147"/>
      <c r="B435" s="55"/>
      <c r="C435" s="24">
        <f t="shared" si="74"/>
        <v>1</v>
      </c>
      <c r="D435" s="643"/>
      <c r="E435" s="24">
        <f t="shared" si="75"/>
        <v>0</v>
      </c>
      <c r="F435" s="643"/>
      <c r="G435" s="24">
        <f t="shared" si="76"/>
        <v>0</v>
      </c>
      <c r="H435" s="643"/>
      <c r="I435" s="24">
        <f t="shared" si="77"/>
        <v>0.1</v>
      </c>
      <c r="J435" s="643"/>
      <c r="K435" s="24">
        <f t="shared" si="78"/>
        <v>1</v>
      </c>
      <c r="L435" s="643"/>
      <c r="M435" s="24">
        <f t="shared" si="79"/>
        <v>1</v>
      </c>
      <c r="N435" s="643"/>
      <c r="O435" s="24">
        <f t="shared" si="80"/>
        <v>1</v>
      </c>
      <c r="P435" s="643"/>
      <c r="Q435" s="24">
        <f t="shared" si="81"/>
        <v>1</v>
      </c>
      <c r="R435" s="24">
        <f t="shared" si="82"/>
        <v>0</v>
      </c>
      <c r="S435" s="314">
        <f t="shared" si="83"/>
        <v>0</v>
      </c>
    </row>
    <row r="436" spans="1:19">
      <c r="A436" s="147"/>
      <c r="B436" s="55"/>
      <c r="C436" s="24">
        <f t="shared" si="74"/>
        <v>1</v>
      </c>
      <c r="D436" s="643"/>
      <c r="E436" s="24">
        <f t="shared" si="75"/>
        <v>0</v>
      </c>
      <c r="F436" s="643"/>
      <c r="G436" s="24">
        <f t="shared" si="76"/>
        <v>0</v>
      </c>
      <c r="H436" s="643"/>
      <c r="I436" s="24">
        <f t="shared" si="77"/>
        <v>0.1</v>
      </c>
      <c r="J436" s="643"/>
      <c r="K436" s="24">
        <f t="shared" si="78"/>
        <v>1</v>
      </c>
      <c r="L436" s="643"/>
      <c r="M436" s="24">
        <f t="shared" si="79"/>
        <v>1</v>
      </c>
      <c r="N436" s="643"/>
      <c r="O436" s="24">
        <f t="shared" si="80"/>
        <v>1</v>
      </c>
      <c r="P436" s="643"/>
      <c r="Q436" s="24">
        <f t="shared" si="81"/>
        <v>1</v>
      </c>
      <c r="R436" s="24">
        <f t="shared" si="82"/>
        <v>0</v>
      </c>
      <c r="S436" s="314">
        <f t="shared" si="83"/>
        <v>0</v>
      </c>
    </row>
    <row r="437" spans="1:19">
      <c r="A437" s="147"/>
      <c r="B437" s="55"/>
      <c r="C437" s="24">
        <f t="shared" si="74"/>
        <v>1</v>
      </c>
      <c r="D437" s="643"/>
      <c r="E437" s="24">
        <f t="shared" si="75"/>
        <v>0</v>
      </c>
      <c r="F437" s="643"/>
      <c r="G437" s="24">
        <f t="shared" si="76"/>
        <v>0</v>
      </c>
      <c r="H437" s="643"/>
      <c r="I437" s="24">
        <f t="shared" si="77"/>
        <v>0.1</v>
      </c>
      <c r="J437" s="643"/>
      <c r="K437" s="24">
        <f t="shared" si="78"/>
        <v>1</v>
      </c>
      <c r="L437" s="643"/>
      <c r="M437" s="24">
        <f t="shared" si="79"/>
        <v>1</v>
      </c>
      <c r="N437" s="643"/>
      <c r="O437" s="24">
        <f t="shared" si="80"/>
        <v>1</v>
      </c>
      <c r="P437" s="643"/>
      <c r="Q437" s="24">
        <f t="shared" si="81"/>
        <v>1</v>
      </c>
      <c r="R437" s="24">
        <f t="shared" si="82"/>
        <v>0</v>
      </c>
      <c r="S437" s="314">
        <f t="shared" si="83"/>
        <v>0</v>
      </c>
    </row>
    <row r="438" spans="1:19">
      <c r="A438" s="147"/>
      <c r="B438" s="55"/>
      <c r="C438" s="24">
        <f t="shared" si="74"/>
        <v>1</v>
      </c>
      <c r="D438" s="643"/>
      <c r="E438" s="24">
        <f t="shared" si="75"/>
        <v>0</v>
      </c>
      <c r="F438" s="643"/>
      <c r="G438" s="24">
        <f t="shared" si="76"/>
        <v>0</v>
      </c>
      <c r="H438" s="643"/>
      <c r="I438" s="24">
        <f t="shared" si="77"/>
        <v>0.1</v>
      </c>
      <c r="J438" s="643"/>
      <c r="K438" s="24">
        <f t="shared" si="78"/>
        <v>1</v>
      </c>
      <c r="L438" s="643"/>
      <c r="M438" s="24">
        <f t="shared" si="79"/>
        <v>1</v>
      </c>
      <c r="N438" s="643"/>
      <c r="O438" s="24">
        <f t="shared" si="80"/>
        <v>1</v>
      </c>
      <c r="P438" s="643"/>
      <c r="Q438" s="24">
        <f t="shared" si="81"/>
        <v>1</v>
      </c>
      <c r="R438" s="24">
        <f t="shared" si="82"/>
        <v>0</v>
      </c>
      <c r="S438" s="314">
        <f t="shared" si="83"/>
        <v>0</v>
      </c>
    </row>
    <row r="439" spans="1:19">
      <c r="A439" s="147"/>
      <c r="B439" s="55"/>
      <c r="C439" s="24">
        <f t="shared" si="74"/>
        <v>1</v>
      </c>
      <c r="D439" s="643"/>
      <c r="E439" s="24">
        <f t="shared" si="75"/>
        <v>0</v>
      </c>
      <c r="F439" s="643"/>
      <c r="G439" s="24">
        <f t="shared" si="76"/>
        <v>0</v>
      </c>
      <c r="H439" s="643"/>
      <c r="I439" s="24">
        <f t="shared" si="77"/>
        <v>0.1</v>
      </c>
      <c r="J439" s="643"/>
      <c r="K439" s="24">
        <f t="shared" si="78"/>
        <v>1</v>
      </c>
      <c r="L439" s="643"/>
      <c r="M439" s="24">
        <f t="shared" si="79"/>
        <v>1</v>
      </c>
      <c r="N439" s="643"/>
      <c r="O439" s="24">
        <f t="shared" si="80"/>
        <v>1</v>
      </c>
      <c r="P439" s="643"/>
      <c r="Q439" s="24">
        <f t="shared" si="81"/>
        <v>1</v>
      </c>
      <c r="R439" s="24">
        <f t="shared" si="82"/>
        <v>0</v>
      </c>
      <c r="S439" s="314">
        <f t="shared" si="83"/>
        <v>0</v>
      </c>
    </row>
    <row r="440" spans="1:19">
      <c r="A440" s="147"/>
      <c r="B440" s="55"/>
      <c r="C440" s="24">
        <f t="shared" si="74"/>
        <v>1</v>
      </c>
      <c r="D440" s="643"/>
      <c r="E440" s="24">
        <f t="shared" si="75"/>
        <v>0</v>
      </c>
      <c r="F440" s="643"/>
      <c r="G440" s="24">
        <f t="shared" si="76"/>
        <v>0</v>
      </c>
      <c r="H440" s="643"/>
      <c r="I440" s="24">
        <f t="shared" si="77"/>
        <v>0.1</v>
      </c>
      <c r="J440" s="643"/>
      <c r="K440" s="24">
        <f t="shared" si="78"/>
        <v>1</v>
      </c>
      <c r="L440" s="643"/>
      <c r="M440" s="24">
        <f t="shared" si="79"/>
        <v>1</v>
      </c>
      <c r="N440" s="643"/>
      <c r="O440" s="24">
        <f t="shared" si="80"/>
        <v>1</v>
      </c>
      <c r="P440" s="643"/>
      <c r="Q440" s="24">
        <f t="shared" si="81"/>
        <v>1</v>
      </c>
      <c r="R440" s="24">
        <f t="shared" si="82"/>
        <v>0</v>
      </c>
      <c r="S440" s="314">
        <f t="shared" si="83"/>
        <v>0</v>
      </c>
    </row>
    <row r="441" spans="1:19">
      <c r="A441" s="147"/>
      <c r="B441" s="55"/>
      <c r="C441" s="24">
        <f t="shared" si="74"/>
        <v>1</v>
      </c>
      <c r="D441" s="643"/>
      <c r="E441" s="24">
        <f t="shared" si="75"/>
        <v>0</v>
      </c>
      <c r="F441" s="643"/>
      <c r="G441" s="24">
        <f t="shared" si="76"/>
        <v>0</v>
      </c>
      <c r="H441" s="643"/>
      <c r="I441" s="24">
        <f t="shared" si="77"/>
        <v>0.1</v>
      </c>
      <c r="J441" s="643"/>
      <c r="K441" s="24">
        <f t="shared" si="78"/>
        <v>1</v>
      </c>
      <c r="L441" s="643"/>
      <c r="M441" s="24">
        <f t="shared" si="79"/>
        <v>1</v>
      </c>
      <c r="N441" s="643"/>
      <c r="O441" s="24">
        <f t="shared" si="80"/>
        <v>1</v>
      </c>
      <c r="P441" s="643"/>
      <c r="Q441" s="24">
        <f t="shared" si="81"/>
        <v>1</v>
      </c>
      <c r="R441" s="24">
        <f t="shared" si="82"/>
        <v>0</v>
      </c>
      <c r="S441" s="314">
        <f t="shared" si="83"/>
        <v>0</v>
      </c>
    </row>
    <row r="442" spans="1:19">
      <c r="A442" s="147"/>
      <c r="B442" s="55"/>
      <c r="C442" s="24">
        <f t="shared" si="74"/>
        <v>1</v>
      </c>
      <c r="D442" s="643"/>
      <c r="E442" s="24">
        <f t="shared" si="75"/>
        <v>0</v>
      </c>
      <c r="F442" s="643"/>
      <c r="G442" s="24">
        <f t="shared" si="76"/>
        <v>0</v>
      </c>
      <c r="H442" s="643"/>
      <c r="I442" s="24">
        <f t="shared" si="77"/>
        <v>0.1</v>
      </c>
      <c r="J442" s="643"/>
      <c r="K442" s="24">
        <f t="shared" si="78"/>
        <v>1</v>
      </c>
      <c r="L442" s="643"/>
      <c r="M442" s="24">
        <f t="shared" si="79"/>
        <v>1</v>
      </c>
      <c r="N442" s="643"/>
      <c r="O442" s="24">
        <f t="shared" si="80"/>
        <v>1</v>
      </c>
      <c r="P442" s="643"/>
      <c r="Q442" s="24">
        <f t="shared" si="81"/>
        <v>1</v>
      </c>
      <c r="R442" s="24">
        <f t="shared" si="82"/>
        <v>0</v>
      </c>
      <c r="S442" s="314">
        <f t="shared" si="83"/>
        <v>0</v>
      </c>
    </row>
    <row r="443" spans="1:19">
      <c r="A443" s="147"/>
      <c r="B443" s="55"/>
      <c r="C443" s="24">
        <f t="shared" si="74"/>
        <v>1</v>
      </c>
      <c r="D443" s="643"/>
      <c r="E443" s="24">
        <f t="shared" si="75"/>
        <v>0</v>
      </c>
      <c r="F443" s="643"/>
      <c r="G443" s="24">
        <f t="shared" si="76"/>
        <v>0</v>
      </c>
      <c r="H443" s="643"/>
      <c r="I443" s="24">
        <f t="shared" si="77"/>
        <v>0.1</v>
      </c>
      <c r="J443" s="643"/>
      <c r="K443" s="24">
        <f t="shared" si="78"/>
        <v>1</v>
      </c>
      <c r="L443" s="643"/>
      <c r="M443" s="24">
        <f t="shared" si="79"/>
        <v>1</v>
      </c>
      <c r="N443" s="643"/>
      <c r="O443" s="24">
        <f t="shared" si="80"/>
        <v>1</v>
      </c>
      <c r="P443" s="643"/>
      <c r="Q443" s="24">
        <f t="shared" si="81"/>
        <v>1</v>
      </c>
      <c r="R443" s="24">
        <f t="shared" si="82"/>
        <v>0</v>
      </c>
      <c r="S443" s="314">
        <f t="shared" si="83"/>
        <v>0</v>
      </c>
    </row>
    <row r="444" spans="1:19">
      <c r="A444" s="147"/>
      <c r="B444" s="55"/>
      <c r="C444" s="24">
        <f t="shared" si="74"/>
        <v>1</v>
      </c>
      <c r="D444" s="643"/>
      <c r="E444" s="24">
        <f t="shared" si="75"/>
        <v>0</v>
      </c>
      <c r="F444" s="643"/>
      <c r="G444" s="24">
        <f t="shared" si="76"/>
        <v>0</v>
      </c>
      <c r="H444" s="643"/>
      <c r="I444" s="24">
        <f t="shared" si="77"/>
        <v>0.1</v>
      </c>
      <c r="J444" s="643"/>
      <c r="K444" s="24">
        <f t="shared" si="78"/>
        <v>1</v>
      </c>
      <c r="L444" s="643"/>
      <c r="M444" s="24">
        <f t="shared" si="79"/>
        <v>1</v>
      </c>
      <c r="N444" s="643"/>
      <c r="O444" s="24">
        <f t="shared" si="80"/>
        <v>1</v>
      </c>
      <c r="P444" s="643"/>
      <c r="Q444" s="24">
        <f t="shared" si="81"/>
        <v>1</v>
      </c>
      <c r="R444" s="24">
        <f t="shared" si="82"/>
        <v>0</v>
      </c>
      <c r="S444" s="314">
        <f t="shared" si="83"/>
        <v>0</v>
      </c>
    </row>
    <row r="445" spans="1:19">
      <c r="A445" s="147"/>
      <c r="B445" s="55"/>
      <c r="C445" s="24">
        <f t="shared" si="74"/>
        <v>1</v>
      </c>
      <c r="D445" s="643"/>
      <c r="E445" s="24">
        <f t="shared" si="75"/>
        <v>0</v>
      </c>
      <c r="F445" s="643"/>
      <c r="G445" s="24">
        <f t="shared" si="76"/>
        <v>0</v>
      </c>
      <c r="H445" s="643"/>
      <c r="I445" s="24">
        <f t="shared" si="77"/>
        <v>0.1</v>
      </c>
      <c r="J445" s="643"/>
      <c r="K445" s="24">
        <f t="shared" si="78"/>
        <v>1</v>
      </c>
      <c r="L445" s="643"/>
      <c r="M445" s="24">
        <f t="shared" si="79"/>
        <v>1</v>
      </c>
      <c r="N445" s="643"/>
      <c r="O445" s="24">
        <f t="shared" si="80"/>
        <v>1</v>
      </c>
      <c r="P445" s="643"/>
      <c r="Q445" s="24">
        <f t="shared" si="81"/>
        <v>1</v>
      </c>
      <c r="R445" s="24">
        <f t="shared" si="82"/>
        <v>0</v>
      </c>
      <c r="S445" s="314">
        <f t="shared" si="83"/>
        <v>0</v>
      </c>
    </row>
    <row r="446" spans="1:19">
      <c r="A446" s="147"/>
      <c r="B446" s="55"/>
      <c r="C446" s="24">
        <f t="shared" si="74"/>
        <v>1</v>
      </c>
      <c r="D446" s="643"/>
      <c r="E446" s="24">
        <f t="shared" si="75"/>
        <v>0</v>
      </c>
      <c r="F446" s="643"/>
      <c r="G446" s="24">
        <f t="shared" si="76"/>
        <v>0</v>
      </c>
      <c r="H446" s="643"/>
      <c r="I446" s="24">
        <f t="shared" si="77"/>
        <v>0.1</v>
      </c>
      <c r="J446" s="643"/>
      <c r="K446" s="24">
        <f t="shared" si="78"/>
        <v>1</v>
      </c>
      <c r="L446" s="643"/>
      <c r="M446" s="24">
        <f t="shared" si="79"/>
        <v>1</v>
      </c>
      <c r="N446" s="643"/>
      <c r="O446" s="24">
        <f t="shared" si="80"/>
        <v>1</v>
      </c>
      <c r="P446" s="643"/>
      <c r="Q446" s="24">
        <f t="shared" si="81"/>
        <v>1</v>
      </c>
      <c r="R446" s="24">
        <f t="shared" si="82"/>
        <v>0</v>
      </c>
      <c r="S446" s="314">
        <f t="shared" si="83"/>
        <v>0</v>
      </c>
    </row>
    <row r="447" spans="1:19">
      <c r="A447" s="147"/>
      <c r="B447" s="55"/>
      <c r="C447" s="24">
        <f t="shared" si="74"/>
        <v>1</v>
      </c>
      <c r="D447" s="643"/>
      <c r="E447" s="24">
        <f t="shared" si="75"/>
        <v>0</v>
      </c>
      <c r="F447" s="643"/>
      <c r="G447" s="24">
        <f t="shared" si="76"/>
        <v>0</v>
      </c>
      <c r="H447" s="643"/>
      <c r="I447" s="24">
        <f t="shared" si="77"/>
        <v>0.1</v>
      </c>
      <c r="J447" s="643"/>
      <c r="K447" s="24">
        <f t="shared" si="78"/>
        <v>1</v>
      </c>
      <c r="L447" s="643"/>
      <c r="M447" s="24">
        <f t="shared" si="79"/>
        <v>1</v>
      </c>
      <c r="N447" s="643"/>
      <c r="O447" s="24">
        <f t="shared" si="80"/>
        <v>1</v>
      </c>
      <c r="P447" s="643"/>
      <c r="Q447" s="24">
        <f t="shared" si="81"/>
        <v>1</v>
      </c>
      <c r="R447" s="24">
        <f t="shared" si="82"/>
        <v>0</v>
      </c>
      <c r="S447" s="314">
        <f t="shared" si="83"/>
        <v>0</v>
      </c>
    </row>
    <row r="448" spans="1:19">
      <c r="A448" s="147"/>
      <c r="B448" s="55"/>
      <c r="C448" s="24">
        <f t="shared" si="74"/>
        <v>1</v>
      </c>
      <c r="D448" s="643"/>
      <c r="E448" s="24">
        <f t="shared" si="75"/>
        <v>0</v>
      </c>
      <c r="F448" s="643"/>
      <c r="G448" s="24">
        <f t="shared" si="76"/>
        <v>0</v>
      </c>
      <c r="H448" s="643"/>
      <c r="I448" s="24">
        <f t="shared" si="77"/>
        <v>0.1</v>
      </c>
      <c r="J448" s="643"/>
      <c r="K448" s="24">
        <f t="shared" si="78"/>
        <v>1</v>
      </c>
      <c r="L448" s="643"/>
      <c r="M448" s="24">
        <f t="shared" si="79"/>
        <v>1</v>
      </c>
      <c r="N448" s="643"/>
      <c r="O448" s="24">
        <f t="shared" si="80"/>
        <v>1</v>
      </c>
      <c r="P448" s="643"/>
      <c r="Q448" s="24">
        <f t="shared" si="81"/>
        <v>1</v>
      </c>
      <c r="R448" s="24">
        <f t="shared" si="82"/>
        <v>0</v>
      </c>
      <c r="S448" s="314">
        <f t="shared" si="83"/>
        <v>0</v>
      </c>
    </row>
    <row r="449" spans="1:19">
      <c r="A449" s="147"/>
      <c r="B449" s="55"/>
      <c r="C449" s="24">
        <f t="shared" si="74"/>
        <v>1</v>
      </c>
      <c r="D449" s="643"/>
      <c r="E449" s="24">
        <f t="shared" si="75"/>
        <v>0</v>
      </c>
      <c r="F449" s="643"/>
      <c r="G449" s="24">
        <f t="shared" si="76"/>
        <v>0</v>
      </c>
      <c r="H449" s="643"/>
      <c r="I449" s="24">
        <f t="shared" si="77"/>
        <v>0.1</v>
      </c>
      <c r="J449" s="643"/>
      <c r="K449" s="24">
        <f t="shared" si="78"/>
        <v>1</v>
      </c>
      <c r="L449" s="643"/>
      <c r="M449" s="24">
        <f t="shared" si="79"/>
        <v>1</v>
      </c>
      <c r="N449" s="643"/>
      <c r="O449" s="24">
        <f t="shared" si="80"/>
        <v>1</v>
      </c>
      <c r="P449" s="643"/>
      <c r="Q449" s="24">
        <f t="shared" si="81"/>
        <v>1</v>
      </c>
      <c r="R449" s="24">
        <f t="shared" si="82"/>
        <v>0</v>
      </c>
      <c r="S449" s="314">
        <f t="shared" si="83"/>
        <v>0</v>
      </c>
    </row>
    <row r="450" spans="1:19">
      <c r="A450" s="147"/>
      <c r="B450" s="55"/>
      <c r="C450" s="24">
        <f t="shared" si="74"/>
        <v>1</v>
      </c>
      <c r="D450" s="643"/>
      <c r="E450" s="24">
        <f t="shared" si="75"/>
        <v>0</v>
      </c>
      <c r="F450" s="643"/>
      <c r="G450" s="24">
        <f t="shared" si="76"/>
        <v>0</v>
      </c>
      <c r="H450" s="643"/>
      <c r="I450" s="24">
        <f t="shared" si="77"/>
        <v>0.1</v>
      </c>
      <c r="J450" s="643"/>
      <c r="K450" s="24">
        <f t="shared" si="78"/>
        <v>1</v>
      </c>
      <c r="L450" s="643"/>
      <c r="M450" s="24">
        <f t="shared" si="79"/>
        <v>1</v>
      </c>
      <c r="N450" s="643"/>
      <c r="O450" s="24">
        <f t="shared" si="80"/>
        <v>1</v>
      </c>
      <c r="P450" s="643"/>
      <c r="Q450" s="24">
        <f t="shared" si="81"/>
        <v>1</v>
      </c>
      <c r="R450" s="24">
        <f t="shared" si="82"/>
        <v>0</v>
      </c>
      <c r="S450" s="314">
        <f t="shared" si="83"/>
        <v>0</v>
      </c>
    </row>
    <row r="451" spans="1:19">
      <c r="A451" s="147"/>
      <c r="B451" s="55"/>
      <c r="C451" s="24">
        <f t="shared" si="74"/>
        <v>1</v>
      </c>
      <c r="D451" s="643"/>
      <c r="E451" s="24">
        <f t="shared" si="75"/>
        <v>0</v>
      </c>
      <c r="F451" s="643"/>
      <c r="G451" s="24">
        <f t="shared" si="76"/>
        <v>0</v>
      </c>
      <c r="H451" s="643"/>
      <c r="I451" s="24">
        <f t="shared" si="77"/>
        <v>0.1</v>
      </c>
      <c r="J451" s="643"/>
      <c r="K451" s="24">
        <f t="shared" si="78"/>
        <v>1</v>
      </c>
      <c r="L451" s="643"/>
      <c r="M451" s="24">
        <f t="shared" si="79"/>
        <v>1</v>
      </c>
      <c r="N451" s="643"/>
      <c r="O451" s="24">
        <f t="shared" si="80"/>
        <v>1</v>
      </c>
      <c r="P451" s="643"/>
      <c r="Q451" s="24">
        <f t="shared" si="81"/>
        <v>1</v>
      </c>
      <c r="R451" s="24">
        <f t="shared" si="82"/>
        <v>0</v>
      </c>
      <c r="S451" s="314">
        <f t="shared" si="83"/>
        <v>0</v>
      </c>
    </row>
    <row r="452" spans="1:19">
      <c r="A452" s="147"/>
      <c r="B452" s="55"/>
      <c r="C452" s="24">
        <f t="shared" si="74"/>
        <v>1</v>
      </c>
      <c r="D452" s="643"/>
      <c r="E452" s="24">
        <f t="shared" si="75"/>
        <v>0</v>
      </c>
      <c r="F452" s="643"/>
      <c r="G452" s="24">
        <f t="shared" si="76"/>
        <v>0</v>
      </c>
      <c r="H452" s="643"/>
      <c r="I452" s="24">
        <f t="shared" si="77"/>
        <v>0.1</v>
      </c>
      <c r="J452" s="643"/>
      <c r="K452" s="24">
        <f t="shared" si="78"/>
        <v>1</v>
      </c>
      <c r="L452" s="643"/>
      <c r="M452" s="24">
        <f t="shared" si="79"/>
        <v>1</v>
      </c>
      <c r="N452" s="643"/>
      <c r="O452" s="24">
        <f t="shared" si="80"/>
        <v>1</v>
      </c>
      <c r="P452" s="643"/>
      <c r="Q452" s="24">
        <f t="shared" si="81"/>
        <v>1</v>
      </c>
      <c r="R452" s="24">
        <f t="shared" si="82"/>
        <v>0</v>
      </c>
      <c r="S452" s="314">
        <f t="shared" si="83"/>
        <v>0</v>
      </c>
    </row>
    <row r="453" spans="1:19">
      <c r="A453" s="147"/>
      <c r="B453" s="55"/>
      <c r="C453" s="24">
        <f t="shared" si="74"/>
        <v>1</v>
      </c>
      <c r="D453" s="643"/>
      <c r="E453" s="24">
        <f t="shared" si="75"/>
        <v>0</v>
      </c>
      <c r="F453" s="643"/>
      <c r="G453" s="24">
        <f t="shared" si="76"/>
        <v>0</v>
      </c>
      <c r="H453" s="643"/>
      <c r="I453" s="24">
        <f t="shared" si="77"/>
        <v>0.1</v>
      </c>
      <c r="J453" s="643"/>
      <c r="K453" s="24">
        <f t="shared" si="78"/>
        <v>1</v>
      </c>
      <c r="L453" s="643"/>
      <c r="M453" s="24">
        <f t="shared" si="79"/>
        <v>1</v>
      </c>
      <c r="N453" s="643"/>
      <c r="O453" s="24">
        <f t="shared" si="80"/>
        <v>1</v>
      </c>
      <c r="P453" s="643"/>
      <c r="Q453" s="24">
        <f t="shared" si="81"/>
        <v>1</v>
      </c>
      <c r="R453" s="24">
        <f t="shared" si="82"/>
        <v>0</v>
      </c>
      <c r="S453" s="314">
        <f t="shared" si="83"/>
        <v>0</v>
      </c>
    </row>
    <row r="454" spans="1:19">
      <c r="A454" s="147"/>
      <c r="B454" s="55"/>
      <c r="C454" s="24">
        <f t="shared" si="74"/>
        <v>1</v>
      </c>
      <c r="D454" s="643"/>
      <c r="E454" s="24">
        <f t="shared" si="75"/>
        <v>0</v>
      </c>
      <c r="F454" s="643"/>
      <c r="G454" s="24">
        <f t="shared" si="76"/>
        <v>0</v>
      </c>
      <c r="H454" s="643"/>
      <c r="I454" s="24">
        <f t="shared" si="77"/>
        <v>0.1</v>
      </c>
      <c r="J454" s="643"/>
      <c r="K454" s="24">
        <f t="shared" si="78"/>
        <v>1</v>
      </c>
      <c r="L454" s="643"/>
      <c r="M454" s="24">
        <f t="shared" si="79"/>
        <v>1</v>
      </c>
      <c r="N454" s="643"/>
      <c r="O454" s="24">
        <f t="shared" si="80"/>
        <v>1</v>
      </c>
      <c r="P454" s="643"/>
      <c r="Q454" s="24">
        <f t="shared" si="81"/>
        <v>1</v>
      </c>
      <c r="R454" s="24">
        <f t="shared" si="82"/>
        <v>0</v>
      </c>
      <c r="S454" s="314">
        <f t="shared" si="83"/>
        <v>0</v>
      </c>
    </row>
    <row r="455" spans="1:19">
      <c r="A455" s="147"/>
      <c r="B455" s="55"/>
      <c r="C455" s="24">
        <f t="shared" si="74"/>
        <v>1</v>
      </c>
      <c r="D455" s="643"/>
      <c r="E455" s="24">
        <f t="shared" si="75"/>
        <v>0</v>
      </c>
      <c r="F455" s="643"/>
      <c r="G455" s="24">
        <f t="shared" si="76"/>
        <v>0</v>
      </c>
      <c r="H455" s="643"/>
      <c r="I455" s="24">
        <f t="shared" si="77"/>
        <v>0.1</v>
      </c>
      <c r="J455" s="643"/>
      <c r="K455" s="24">
        <f t="shared" si="78"/>
        <v>1</v>
      </c>
      <c r="L455" s="643"/>
      <c r="M455" s="24">
        <f t="shared" si="79"/>
        <v>1</v>
      </c>
      <c r="N455" s="643"/>
      <c r="O455" s="24">
        <f t="shared" si="80"/>
        <v>1</v>
      </c>
      <c r="P455" s="643"/>
      <c r="Q455" s="24">
        <f t="shared" si="81"/>
        <v>1</v>
      </c>
      <c r="R455" s="24">
        <f t="shared" si="82"/>
        <v>0</v>
      </c>
      <c r="S455" s="314">
        <f t="shared" si="83"/>
        <v>0</v>
      </c>
    </row>
    <row r="456" spans="1:19">
      <c r="A456" s="147"/>
      <c r="B456" s="55"/>
      <c r="C456" s="24">
        <f t="shared" si="74"/>
        <v>1</v>
      </c>
      <c r="D456" s="643"/>
      <c r="E456" s="24">
        <f t="shared" si="75"/>
        <v>0</v>
      </c>
      <c r="F456" s="643"/>
      <c r="G456" s="24">
        <f t="shared" si="76"/>
        <v>0</v>
      </c>
      <c r="H456" s="643"/>
      <c r="I456" s="24">
        <f t="shared" si="77"/>
        <v>0.1</v>
      </c>
      <c r="J456" s="643"/>
      <c r="K456" s="24">
        <f t="shared" si="78"/>
        <v>1</v>
      </c>
      <c r="L456" s="643"/>
      <c r="M456" s="24">
        <f t="shared" si="79"/>
        <v>1</v>
      </c>
      <c r="N456" s="643"/>
      <c r="O456" s="24">
        <f t="shared" si="80"/>
        <v>1</v>
      </c>
      <c r="P456" s="643"/>
      <c r="Q456" s="24">
        <f t="shared" si="81"/>
        <v>1</v>
      </c>
      <c r="R456" s="24">
        <f t="shared" si="82"/>
        <v>0</v>
      </c>
      <c r="S456" s="314">
        <f t="shared" si="83"/>
        <v>0</v>
      </c>
    </row>
    <row r="457" spans="1:19">
      <c r="A457" s="147"/>
      <c r="B457" s="55"/>
      <c r="C457" s="24">
        <f t="shared" si="74"/>
        <v>1</v>
      </c>
      <c r="D457" s="643"/>
      <c r="E457" s="24">
        <f t="shared" si="75"/>
        <v>0</v>
      </c>
      <c r="F457" s="643"/>
      <c r="G457" s="24">
        <f t="shared" si="76"/>
        <v>0</v>
      </c>
      <c r="H457" s="643"/>
      <c r="I457" s="24">
        <f t="shared" si="77"/>
        <v>0.1</v>
      </c>
      <c r="J457" s="643"/>
      <c r="K457" s="24">
        <f t="shared" si="78"/>
        <v>1</v>
      </c>
      <c r="L457" s="643"/>
      <c r="M457" s="24">
        <f t="shared" si="79"/>
        <v>1</v>
      </c>
      <c r="N457" s="643"/>
      <c r="O457" s="24">
        <f t="shared" si="80"/>
        <v>1</v>
      </c>
      <c r="P457" s="643"/>
      <c r="Q457" s="24">
        <f t="shared" si="81"/>
        <v>1</v>
      </c>
      <c r="R457" s="24">
        <f t="shared" si="82"/>
        <v>0</v>
      </c>
      <c r="S457" s="314">
        <f t="shared" si="83"/>
        <v>0</v>
      </c>
    </row>
    <row r="458" spans="1:19">
      <c r="A458" s="147"/>
      <c r="B458" s="55"/>
      <c r="C458" s="24">
        <f t="shared" si="74"/>
        <v>1</v>
      </c>
      <c r="D458" s="643"/>
      <c r="E458" s="24">
        <f t="shared" si="75"/>
        <v>0</v>
      </c>
      <c r="F458" s="643"/>
      <c r="G458" s="24">
        <f t="shared" si="76"/>
        <v>0</v>
      </c>
      <c r="H458" s="643"/>
      <c r="I458" s="24">
        <f t="shared" si="77"/>
        <v>0.1</v>
      </c>
      <c r="J458" s="643"/>
      <c r="K458" s="24">
        <f t="shared" si="78"/>
        <v>1</v>
      </c>
      <c r="L458" s="643"/>
      <c r="M458" s="24">
        <f t="shared" si="79"/>
        <v>1</v>
      </c>
      <c r="N458" s="643"/>
      <c r="O458" s="24">
        <f t="shared" si="80"/>
        <v>1</v>
      </c>
      <c r="P458" s="643"/>
      <c r="Q458" s="24">
        <f t="shared" si="81"/>
        <v>1</v>
      </c>
      <c r="R458" s="24">
        <f t="shared" si="82"/>
        <v>0</v>
      </c>
      <c r="S458" s="314">
        <f t="shared" si="83"/>
        <v>0</v>
      </c>
    </row>
    <row r="459" spans="1:19">
      <c r="A459" s="147"/>
      <c r="B459" s="55"/>
      <c r="C459" s="24">
        <f t="shared" si="74"/>
        <v>1</v>
      </c>
      <c r="D459" s="643"/>
      <c r="E459" s="24">
        <f t="shared" si="75"/>
        <v>0</v>
      </c>
      <c r="F459" s="643"/>
      <c r="G459" s="24">
        <f t="shared" si="76"/>
        <v>0</v>
      </c>
      <c r="H459" s="643"/>
      <c r="I459" s="24">
        <f t="shared" si="77"/>
        <v>0.1</v>
      </c>
      <c r="J459" s="643"/>
      <c r="K459" s="24">
        <f t="shared" si="78"/>
        <v>1</v>
      </c>
      <c r="L459" s="643"/>
      <c r="M459" s="24">
        <f t="shared" si="79"/>
        <v>1</v>
      </c>
      <c r="N459" s="643"/>
      <c r="O459" s="24">
        <f t="shared" si="80"/>
        <v>1</v>
      </c>
      <c r="P459" s="643"/>
      <c r="Q459" s="24">
        <f t="shared" si="81"/>
        <v>1</v>
      </c>
      <c r="R459" s="24">
        <f t="shared" si="82"/>
        <v>0</v>
      </c>
      <c r="S459" s="314">
        <f t="shared" si="83"/>
        <v>0</v>
      </c>
    </row>
    <row r="460" spans="1:19">
      <c r="A460" s="147"/>
      <c r="B460" s="55"/>
      <c r="C460" s="24">
        <f t="shared" si="74"/>
        <v>1</v>
      </c>
      <c r="D460" s="643"/>
      <c r="E460" s="24">
        <f t="shared" si="75"/>
        <v>0</v>
      </c>
      <c r="F460" s="643"/>
      <c r="G460" s="24">
        <f t="shared" si="76"/>
        <v>0</v>
      </c>
      <c r="H460" s="643"/>
      <c r="I460" s="24">
        <f t="shared" si="77"/>
        <v>0.1</v>
      </c>
      <c r="J460" s="643"/>
      <c r="K460" s="24">
        <f t="shared" si="78"/>
        <v>1</v>
      </c>
      <c r="L460" s="643"/>
      <c r="M460" s="24">
        <f t="shared" si="79"/>
        <v>1</v>
      </c>
      <c r="N460" s="643"/>
      <c r="O460" s="24">
        <f t="shared" si="80"/>
        <v>1</v>
      </c>
      <c r="P460" s="643"/>
      <c r="Q460" s="24">
        <f t="shared" si="81"/>
        <v>1</v>
      </c>
      <c r="R460" s="24">
        <f t="shared" si="82"/>
        <v>0</v>
      </c>
      <c r="S460" s="314">
        <f t="shared" si="83"/>
        <v>0</v>
      </c>
    </row>
    <row r="461" spans="1:19">
      <c r="A461" s="147"/>
      <c r="B461" s="55"/>
      <c r="C461" s="24">
        <f t="shared" si="74"/>
        <v>1</v>
      </c>
      <c r="D461" s="643"/>
      <c r="E461" s="24">
        <f t="shared" si="75"/>
        <v>0</v>
      </c>
      <c r="F461" s="643"/>
      <c r="G461" s="24">
        <f t="shared" si="76"/>
        <v>0</v>
      </c>
      <c r="H461" s="643"/>
      <c r="I461" s="24">
        <f t="shared" si="77"/>
        <v>0.1</v>
      </c>
      <c r="J461" s="643"/>
      <c r="K461" s="24">
        <f t="shared" si="78"/>
        <v>1</v>
      </c>
      <c r="L461" s="643"/>
      <c r="M461" s="24">
        <f t="shared" si="79"/>
        <v>1</v>
      </c>
      <c r="N461" s="643"/>
      <c r="O461" s="24">
        <f t="shared" si="80"/>
        <v>1</v>
      </c>
      <c r="P461" s="643"/>
      <c r="Q461" s="24">
        <f t="shared" si="81"/>
        <v>1</v>
      </c>
      <c r="R461" s="24">
        <f t="shared" si="82"/>
        <v>0</v>
      </c>
      <c r="S461" s="314">
        <f t="shared" si="83"/>
        <v>0</v>
      </c>
    </row>
    <row r="462" spans="1:19">
      <c r="A462" s="147"/>
      <c r="B462" s="55"/>
      <c r="C462" s="24">
        <f t="shared" si="74"/>
        <v>1</v>
      </c>
      <c r="D462" s="643"/>
      <c r="E462" s="24">
        <f t="shared" si="75"/>
        <v>0</v>
      </c>
      <c r="F462" s="643"/>
      <c r="G462" s="24">
        <f t="shared" si="76"/>
        <v>0</v>
      </c>
      <c r="H462" s="643"/>
      <c r="I462" s="24">
        <f t="shared" si="77"/>
        <v>0.1</v>
      </c>
      <c r="J462" s="643"/>
      <c r="K462" s="24">
        <f t="shared" si="78"/>
        <v>1</v>
      </c>
      <c r="L462" s="643"/>
      <c r="M462" s="24">
        <f t="shared" si="79"/>
        <v>1</v>
      </c>
      <c r="N462" s="643"/>
      <c r="O462" s="24">
        <f t="shared" si="80"/>
        <v>1</v>
      </c>
      <c r="P462" s="643"/>
      <c r="Q462" s="24">
        <f t="shared" si="81"/>
        <v>1</v>
      </c>
      <c r="R462" s="24">
        <f t="shared" si="82"/>
        <v>0</v>
      </c>
      <c r="S462" s="314">
        <f t="shared" si="83"/>
        <v>0</v>
      </c>
    </row>
    <row r="463" spans="1:19">
      <c r="A463" s="147"/>
      <c r="B463" s="55"/>
      <c r="C463" s="24">
        <f t="shared" si="74"/>
        <v>1</v>
      </c>
      <c r="D463" s="643"/>
      <c r="E463" s="24">
        <f t="shared" si="75"/>
        <v>0</v>
      </c>
      <c r="F463" s="643"/>
      <c r="G463" s="24">
        <f t="shared" si="76"/>
        <v>0</v>
      </c>
      <c r="H463" s="643"/>
      <c r="I463" s="24">
        <f t="shared" si="77"/>
        <v>0.1</v>
      </c>
      <c r="J463" s="643"/>
      <c r="K463" s="24">
        <f t="shared" si="78"/>
        <v>1</v>
      </c>
      <c r="L463" s="643"/>
      <c r="M463" s="24">
        <f t="shared" si="79"/>
        <v>1</v>
      </c>
      <c r="N463" s="643"/>
      <c r="O463" s="24">
        <f t="shared" si="80"/>
        <v>1</v>
      </c>
      <c r="P463" s="643"/>
      <c r="Q463" s="24">
        <f t="shared" si="81"/>
        <v>1</v>
      </c>
      <c r="R463" s="24">
        <f t="shared" si="82"/>
        <v>0</v>
      </c>
      <c r="S463" s="314">
        <f t="shared" si="83"/>
        <v>0</v>
      </c>
    </row>
    <row r="464" spans="1:19">
      <c r="A464" s="147"/>
      <c r="B464" s="55"/>
      <c r="C464" s="24">
        <f t="shared" si="74"/>
        <v>1</v>
      </c>
      <c r="D464" s="643"/>
      <c r="E464" s="24">
        <f t="shared" si="75"/>
        <v>0</v>
      </c>
      <c r="F464" s="643"/>
      <c r="G464" s="24">
        <f t="shared" si="76"/>
        <v>0</v>
      </c>
      <c r="H464" s="643"/>
      <c r="I464" s="24">
        <f t="shared" si="77"/>
        <v>0.1</v>
      </c>
      <c r="J464" s="643"/>
      <c r="K464" s="24">
        <f t="shared" si="78"/>
        <v>1</v>
      </c>
      <c r="L464" s="643"/>
      <c r="M464" s="24">
        <f t="shared" si="79"/>
        <v>1</v>
      </c>
      <c r="N464" s="643"/>
      <c r="O464" s="24">
        <f t="shared" si="80"/>
        <v>1</v>
      </c>
      <c r="P464" s="643"/>
      <c r="Q464" s="24">
        <f t="shared" si="81"/>
        <v>1</v>
      </c>
      <c r="R464" s="24">
        <f t="shared" si="82"/>
        <v>0</v>
      </c>
      <c r="S464" s="314">
        <f t="shared" si="83"/>
        <v>0</v>
      </c>
    </row>
    <row r="465" spans="1:19">
      <c r="A465" s="147"/>
      <c r="B465" s="55"/>
      <c r="C465" s="24">
        <f t="shared" si="74"/>
        <v>1</v>
      </c>
      <c r="D465" s="643"/>
      <c r="E465" s="24">
        <f t="shared" si="75"/>
        <v>0</v>
      </c>
      <c r="F465" s="643"/>
      <c r="G465" s="24">
        <f t="shared" si="76"/>
        <v>0</v>
      </c>
      <c r="H465" s="643"/>
      <c r="I465" s="24">
        <f t="shared" si="77"/>
        <v>0.1</v>
      </c>
      <c r="J465" s="643"/>
      <c r="K465" s="24">
        <f t="shared" si="78"/>
        <v>1</v>
      </c>
      <c r="L465" s="643"/>
      <c r="M465" s="24">
        <f t="shared" si="79"/>
        <v>1</v>
      </c>
      <c r="N465" s="643"/>
      <c r="O465" s="24">
        <f t="shared" si="80"/>
        <v>1</v>
      </c>
      <c r="P465" s="643"/>
      <c r="Q465" s="24">
        <f t="shared" si="81"/>
        <v>1</v>
      </c>
      <c r="R465" s="24">
        <f t="shared" si="82"/>
        <v>0</v>
      </c>
      <c r="S465" s="314">
        <f t="shared" si="83"/>
        <v>0</v>
      </c>
    </row>
    <row r="466" spans="1:19">
      <c r="A466" s="147"/>
      <c r="B466" s="55"/>
      <c r="C466" s="24">
        <f t="shared" si="74"/>
        <v>1</v>
      </c>
      <c r="D466" s="643"/>
      <c r="E466" s="24">
        <f t="shared" si="75"/>
        <v>0</v>
      </c>
      <c r="F466" s="643"/>
      <c r="G466" s="24">
        <f t="shared" si="76"/>
        <v>0</v>
      </c>
      <c r="H466" s="643"/>
      <c r="I466" s="24">
        <f t="shared" si="77"/>
        <v>0.1</v>
      </c>
      <c r="J466" s="643"/>
      <c r="K466" s="24">
        <f t="shared" si="78"/>
        <v>1</v>
      </c>
      <c r="L466" s="643"/>
      <c r="M466" s="24">
        <f t="shared" si="79"/>
        <v>1</v>
      </c>
      <c r="N466" s="643"/>
      <c r="O466" s="24">
        <f t="shared" si="80"/>
        <v>1</v>
      </c>
      <c r="P466" s="643"/>
      <c r="Q466" s="24">
        <f t="shared" si="81"/>
        <v>1</v>
      </c>
      <c r="R466" s="24">
        <f t="shared" si="82"/>
        <v>0</v>
      </c>
      <c r="S466" s="314">
        <f t="shared" si="83"/>
        <v>0</v>
      </c>
    </row>
    <row r="467" spans="1:19">
      <c r="A467" s="147"/>
      <c r="B467" s="55"/>
      <c r="C467" s="24">
        <f t="shared" si="74"/>
        <v>1</v>
      </c>
      <c r="D467" s="643"/>
      <c r="E467" s="24">
        <f t="shared" si="75"/>
        <v>0</v>
      </c>
      <c r="F467" s="643"/>
      <c r="G467" s="24">
        <f t="shared" si="76"/>
        <v>0</v>
      </c>
      <c r="H467" s="643"/>
      <c r="I467" s="24">
        <f t="shared" si="77"/>
        <v>0.1</v>
      </c>
      <c r="J467" s="643"/>
      <c r="K467" s="24">
        <f t="shared" si="78"/>
        <v>1</v>
      </c>
      <c r="L467" s="643"/>
      <c r="M467" s="24">
        <f t="shared" si="79"/>
        <v>1</v>
      </c>
      <c r="N467" s="643"/>
      <c r="O467" s="24">
        <f t="shared" si="80"/>
        <v>1</v>
      </c>
      <c r="P467" s="643"/>
      <c r="Q467" s="24">
        <f t="shared" si="81"/>
        <v>1</v>
      </c>
      <c r="R467" s="24">
        <f t="shared" si="82"/>
        <v>0</v>
      </c>
      <c r="S467" s="314">
        <f t="shared" si="83"/>
        <v>0</v>
      </c>
    </row>
    <row r="468" spans="1:19">
      <c r="A468" s="147"/>
      <c r="B468" s="55"/>
      <c r="C468" s="24">
        <f t="shared" si="74"/>
        <v>1</v>
      </c>
      <c r="D468" s="643"/>
      <c r="E468" s="24">
        <f t="shared" si="75"/>
        <v>0</v>
      </c>
      <c r="F468" s="643"/>
      <c r="G468" s="24">
        <f t="shared" si="76"/>
        <v>0</v>
      </c>
      <c r="H468" s="643"/>
      <c r="I468" s="24">
        <f t="shared" si="77"/>
        <v>0.1</v>
      </c>
      <c r="J468" s="643"/>
      <c r="K468" s="24">
        <f t="shared" si="78"/>
        <v>1</v>
      </c>
      <c r="L468" s="643"/>
      <c r="M468" s="24">
        <f t="shared" si="79"/>
        <v>1</v>
      </c>
      <c r="N468" s="643"/>
      <c r="O468" s="24">
        <f t="shared" si="80"/>
        <v>1</v>
      </c>
      <c r="P468" s="643"/>
      <c r="Q468" s="24">
        <f t="shared" si="81"/>
        <v>1</v>
      </c>
      <c r="R468" s="24">
        <f t="shared" si="82"/>
        <v>0</v>
      </c>
      <c r="S468" s="314">
        <f t="shared" ref="S468:S497" si="84">ROUND(R468*B468/10000,0)</f>
        <v>0</v>
      </c>
    </row>
    <row r="469" spans="1:19">
      <c r="A469" s="147"/>
      <c r="B469" s="55"/>
      <c r="C469" s="24">
        <f t="shared" si="74"/>
        <v>1</v>
      </c>
      <c r="D469" s="643"/>
      <c r="E469" s="24">
        <f t="shared" si="75"/>
        <v>0</v>
      </c>
      <c r="F469" s="643"/>
      <c r="G469" s="24">
        <f t="shared" si="76"/>
        <v>0</v>
      </c>
      <c r="H469" s="643"/>
      <c r="I469" s="24">
        <f t="shared" si="77"/>
        <v>0.1</v>
      </c>
      <c r="J469" s="643"/>
      <c r="K469" s="24">
        <f t="shared" si="78"/>
        <v>1</v>
      </c>
      <c r="L469" s="643"/>
      <c r="M469" s="24">
        <f t="shared" si="79"/>
        <v>1</v>
      </c>
      <c r="N469" s="643"/>
      <c r="O469" s="24">
        <f t="shared" si="80"/>
        <v>1</v>
      </c>
      <c r="P469" s="643"/>
      <c r="Q469" s="24">
        <f t="shared" si="81"/>
        <v>1</v>
      </c>
      <c r="R469" s="24">
        <f t="shared" si="82"/>
        <v>0</v>
      </c>
      <c r="S469" s="314">
        <f t="shared" si="84"/>
        <v>0</v>
      </c>
    </row>
    <row r="470" spans="1:19">
      <c r="A470" s="147"/>
      <c r="B470" s="55"/>
      <c r="C470" s="24">
        <f t="shared" si="74"/>
        <v>1</v>
      </c>
      <c r="D470" s="643"/>
      <c r="E470" s="24">
        <f t="shared" si="75"/>
        <v>0</v>
      </c>
      <c r="F470" s="643"/>
      <c r="G470" s="24">
        <f t="shared" si="76"/>
        <v>0</v>
      </c>
      <c r="H470" s="643"/>
      <c r="I470" s="24">
        <f t="shared" si="77"/>
        <v>0.1</v>
      </c>
      <c r="J470" s="643"/>
      <c r="K470" s="24">
        <f t="shared" si="78"/>
        <v>1</v>
      </c>
      <c r="L470" s="643"/>
      <c r="M470" s="24">
        <f t="shared" si="79"/>
        <v>1</v>
      </c>
      <c r="N470" s="643"/>
      <c r="O470" s="24">
        <f t="shared" si="80"/>
        <v>1</v>
      </c>
      <c r="P470" s="643"/>
      <c r="Q470" s="24">
        <f t="shared" si="81"/>
        <v>1</v>
      </c>
      <c r="R470" s="24">
        <f t="shared" si="82"/>
        <v>0</v>
      </c>
      <c r="S470" s="314">
        <f t="shared" si="84"/>
        <v>0</v>
      </c>
    </row>
    <row r="471" spans="1:19">
      <c r="A471" s="147"/>
      <c r="B471" s="55"/>
      <c r="C471" s="24">
        <f t="shared" si="74"/>
        <v>1</v>
      </c>
      <c r="D471" s="643"/>
      <c r="E471" s="24">
        <f t="shared" si="75"/>
        <v>0</v>
      </c>
      <c r="F471" s="643"/>
      <c r="G471" s="24">
        <f t="shared" si="76"/>
        <v>0</v>
      </c>
      <c r="H471" s="643"/>
      <c r="I471" s="24">
        <f t="shared" si="77"/>
        <v>0.1</v>
      </c>
      <c r="J471" s="643"/>
      <c r="K471" s="24">
        <f t="shared" si="78"/>
        <v>1</v>
      </c>
      <c r="L471" s="643"/>
      <c r="M471" s="24">
        <f t="shared" si="79"/>
        <v>1</v>
      </c>
      <c r="N471" s="643"/>
      <c r="O471" s="24">
        <f t="shared" si="80"/>
        <v>1</v>
      </c>
      <c r="P471" s="643"/>
      <c r="Q471" s="24">
        <f t="shared" si="81"/>
        <v>1</v>
      </c>
      <c r="R471" s="24">
        <f t="shared" si="82"/>
        <v>0</v>
      </c>
      <c r="S471" s="314">
        <f t="shared" si="84"/>
        <v>0</v>
      </c>
    </row>
    <row r="472" spans="1:19">
      <c r="A472" s="147"/>
      <c r="B472" s="55"/>
      <c r="C472" s="24">
        <f t="shared" si="74"/>
        <v>1</v>
      </c>
      <c r="D472" s="643"/>
      <c r="E472" s="24">
        <f t="shared" si="75"/>
        <v>0</v>
      </c>
      <c r="F472" s="643"/>
      <c r="G472" s="24">
        <f t="shared" si="76"/>
        <v>0</v>
      </c>
      <c r="H472" s="643"/>
      <c r="I472" s="24">
        <f t="shared" si="77"/>
        <v>0.1</v>
      </c>
      <c r="J472" s="643"/>
      <c r="K472" s="24">
        <f t="shared" si="78"/>
        <v>1</v>
      </c>
      <c r="L472" s="643"/>
      <c r="M472" s="24">
        <f t="shared" si="79"/>
        <v>1</v>
      </c>
      <c r="N472" s="643"/>
      <c r="O472" s="24">
        <f t="shared" si="80"/>
        <v>1</v>
      </c>
      <c r="P472" s="643"/>
      <c r="Q472" s="24">
        <f t="shared" si="81"/>
        <v>1</v>
      </c>
      <c r="R472" s="24">
        <f t="shared" si="82"/>
        <v>0</v>
      </c>
      <c r="S472" s="314">
        <f t="shared" si="84"/>
        <v>0</v>
      </c>
    </row>
    <row r="473" spans="1:19">
      <c r="A473" s="147"/>
      <c r="B473" s="55"/>
      <c r="C473" s="24">
        <f t="shared" si="74"/>
        <v>1</v>
      </c>
      <c r="D473" s="643"/>
      <c r="E473" s="24">
        <f t="shared" si="75"/>
        <v>0</v>
      </c>
      <c r="F473" s="643"/>
      <c r="G473" s="24">
        <f t="shared" si="76"/>
        <v>0</v>
      </c>
      <c r="H473" s="643"/>
      <c r="I473" s="24">
        <f t="shared" si="77"/>
        <v>0.1</v>
      </c>
      <c r="J473" s="643"/>
      <c r="K473" s="24">
        <f t="shared" si="78"/>
        <v>1</v>
      </c>
      <c r="L473" s="643"/>
      <c r="M473" s="24">
        <f t="shared" si="79"/>
        <v>1</v>
      </c>
      <c r="N473" s="643"/>
      <c r="O473" s="24">
        <f t="shared" si="80"/>
        <v>1</v>
      </c>
      <c r="P473" s="643"/>
      <c r="Q473" s="24">
        <f t="shared" si="81"/>
        <v>1</v>
      </c>
      <c r="R473" s="24">
        <f t="shared" si="82"/>
        <v>0</v>
      </c>
      <c r="S473" s="314">
        <f t="shared" si="84"/>
        <v>0</v>
      </c>
    </row>
    <row r="474" spans="1:19">
      <c r="A474" s="147"/>
      <c r="B474" s="55"/>
      <c r="C474" s="24">
        <f t="shared" ref="C474:C524" si="85">IF(B474="",1,(LOOKUP(B474,$3:$3,$4:$4)-LOOKUP($B$24,$3:$3,$4:$4)+100)/100)</f>
        <v>1</v>
      </c>
      <c r="D474" s="643"/>
      <c r="E474" s="24">
        <f t="shared" ref="E474:E524" si="86">(SUMIF($5:$5,D474,$6:$6)-SUMIF($5:$5,$D$24,$6:$6)+100)/100</f>
        <v>0</v>
      </c>
      <c r="F474" s="643"/>
      <c r="G474" s="24">
        <f t="shared" ref="G474:G524" si="87">(SUMIF($7:$7,F474,$8:$8)-SUMIF($7:$7,$F$24,$8:$8)+100)/100</f>
        <v>0</v>
      </c>
      <c r="H474" s="643"/>
      <c r="I474" s="24">
        <f t="shared" ref="I474:I524" si="88">(SUMIF($9:$9,H474,$10:$10)-SUMIF($9:$9,$H$24,$10:$10)+100)/100</f>
        <v>0.1</v>
      </c>
      <c r="J474" s="643"/>
      <c r="K474" s="24">
        <f t="shared" ref="K474:K524" si="89">(SUMIF($11:$11,J474,$12:$12)-SUMIF($11:$11,$J$24,$12:$12)+100)/100</f>
        <v>1</v>
      </c>
      <c r="L474" s="643"/>
      <c r="M474" s="24">
        <f t="shared" ref="M474:M524" si="90">(SUMIF($13:$13,L474,$14:$14)-SUMIF($13:$13,$L$24,$14:$14)+100)/100</f>
        <v>1</v>
      </c>
      <c r="N474" s="643"/>
      <c r="O474" s="24">
        <f t="shared" ref="O474:O524" si="91">(SUMIF($15:$15,N474,$16:$16)-SUMIF($15:$15,$N$24,$16:$16)+100)/100</f>
        <v>1</v>
      </c>
      <c r="P474" s="643"/>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3"/>
      <c r="E475" s="24">
        <f t="shared" si="86"/>
        <v>0</v>
      </c>
      <c r="F475" s="643"/>
      <c r="G475" s="24">
        <f t="shared" si="87"/>
        <v>0</v>
      </c>
      <c r="H475" s="643"/>
      <c r="I475" s="24">
        <f t="shared" si="88"/>
        <v>0.1</v>
      </c>
      <c r="J475" s="643"/>
      <c r="K475" s="24">
        <f t="shared" si="89"/>
        <v>1</v>
      </c>
      <c r="L475" s="643"/>
      <c r="M475" s="24">
        <f t="shared" si="90"/>
        <v>1</v>
      </c>
      <c r="N475" s="643"/>
      <c r="O475" s="24">
        <f t="shared" si="91"/>
        <v>1</v>
      </c>
      <c r="P475" s="643"/>
      <c r="Q475" s="24">
        <f t="shared" si="92"/>
        <v>1</v>
      </c>
      <c r="R475" s="24">
        <f t="shared" si="93"/>
        <v>0</v>
      </c>
      <c r="S475" s="314">
        <f t="shared" si="84"/>
        <v>0</v>
      </c>
    </row>
    <row r="476" spans="1:19">
      <c r="A476" s="147"/>
      <c r="B476" s="55"/>
      <c r="C476" s="24">
        <f t="shared" si="85"/>
        <v>1</v>
      </c>
      <c r="D476" s="643"/>
      <c r="E476" s="24">
        <f t="shared" si="86"/>
        <v>0</v>
      </c>
      <c r="F476" s="643"/>
      <c r="G476" s="24">
        <f t="shared" si="87"/>
        <v>0</v>
      </c>
      <c r="H476" s="643"/>
      <c r="I476" s="24">
        <f t="shared" si="88"/>
        <v>0.1</v>
      </c>
      <c r="J476" s="643"/>
      <c r="K476" s="24">
        <f t="shared" si="89"/>
        <v>1</v>
      </c>
      <c r="L476" s="643"/>
      <c r="M476" s="24">
        <f t="shared" si="90"/>
        <v>1</v>
      </c>
      <c r="N476" s="643"/>
      <c r="O476" s="24">
        <f t="shared" si="91"/>
        <v>1</v>
      </c>
      <c r="P476" s="643"/>
      <c r="Q476" s="24">
        <f t="shared" si="92"/>
        <v>1</v>
      </c>
      <c r="R476" s="24">
        <f t="shared" si="93"/>
        <v>0</v>
      </c>
      <c r="S476" s="314">
        <f t="shared" si="84"/>
        <v>0</v>
      </c>
    </row>
    <row r="477" spans="1:19">
      <c r="A477" s="147"/>
      <c r="B477" s="55"/>
      <c r="C477" s="24">
        <f t="shared" si="85"/>
        <v>1</v>
      </c>
      <c r="D477" s="643"/>
      <c r="E477" s="24">
        <f t="shared" si="86"/>
        <v>0</v>
      </c>
      <c r="F477" s="643"/>
      <c r="G477" s="24">
        <f t="shared" si="87"/>
        <v>0</v>
      </c>
      <c r="H477" s="643"/>
      <c r="I477" s="24">
        <f t="shared" si="88"/>
        <v>0.1</v>
      </c>
      <c r="J477" s="643"/>
      <c r="K477" s="24">
        <f t="shared" si="89"/>
        <v>1</v>
      </c>
      <c r="L477" s="643"/>
      <c r="M477" s="24">
        <f t="shared" si="90"/>
        <v>1</v>
      </c>
      <c r="N477" s="643"/>
      <c r="O477" s="24">
        <f t="shared" si="91"/>
        <v>1</v>
      </c>
      <c r="P477" s="643"/>
      <c r="Q477" s="24">
        <f t="shared" si="92"/>
        <v>1</v>
      </c>
      <c r="R477" s="24">
        <f t="shared" si="93"/>
        <v>0</v>
      </c>
      <c r="S477" s="314">
        <f t="shared" si="84"/>
        <v>0</v>
      </c>
    </row>
    <row r="478" spans="1:19">
      <c r="A478" s="147"/>
      <c r="B478" s="55"/>
      <c r="C478" s="24">
        <f t="shared" si="85"/>
        <v>1</v>
      </c>
      <c r="D478" s="643"/>
      <c r="E478" s="24">
        <f t="shared" si="86"/>
        <v>0</v>
      </c>
      <c r="F478" s="643"/>
      <c r="G478" s="24">
        <f t="shared" si="87"/>
        <v>0</v>
      </c>
      <c r="H478" s="643"/>
      <c r="I478" s="24">
        <f t="shared" si="88"/>
        <v>0.1</v>
      </c>
      <c r="J478" s="643"/>
      <c r="K478" s="24">
        <f t="shared" si="89"/>
        <v>1</v>
      </c>
      <c r="L478" s="643"/>
      <c r="M478" s="24">
        <f t="shared" si="90"/>
        <v>1</v>
      </c>
      <c r="N478" s="643"/>
      <c r="O478" s="24">
        <f t="shared" si="91"/>
        <v>1</v>
      </c>
      <c r="P478" s="643"/>
      <c r="Q478" s="24">
        <f t="shared" si="92"/>
        <v>1</v>
      </c>
      <c r="R478" s="24">
        <f t="shared" si="93"/>
        <v>0</v>
      </c>
      <c r="S478" s="314">
        <f t="shared" si="84"/>
        <v>0</v>
      </c>
    </row>
    <row r="479" spans="1:19">
      <c r="A479" s="147"/>
      <c r="B479" s="55"/>
      <c r="C479" s="24">
        <f t="shared" si="85"/>
        <v>1</v>
      </c>
      <c r="D479" s="643"/>
      <c r="E479" s="24">
        <f t="shared" si="86"/>
        <v>0</v>
      </c>
      <c r="F479" s="643"/>
      <c r="G479" s="24">
        <f t="shared" si="87"/>
        <v>0</v>
      </c>
      <c r="H479" s="643"/>
      <c r="I479" s="24">
        <f t="shared" si="88"/>
        <v>0.1</v>
      </c>
      <c r="J479" s="643"/>
      <c r="K479" s="24">
        <f t="shared" si="89"/>
        <v>1</v>
      </c>
      <c r="L479" s="643"/>
      <c r="M479" s="24">
        <f t="shared" si="90"/>
        <v>1</v>
      </c>
      <c r="N479" s="643"/>
      <c r="O479" s="24">
        <f t="shared" si="91"/>
        <v>1</v>
      </c>
      <c r="P479" s="643"/>
      <c r="Q479" s="24">
        <f t="shared" si="92"/>
        <v>1</v>
      </c>
      <c r="R479" s="24">
        <f t="shared" si="93"/>
        <v>0</v>
      </c>
      <c r="S479" s="314">
        <f t="shared" si="84"/>
        <v>0</v>
      </c>
    </row>
    <row r="480" spans="1:19">
      <c r="A480" s="147"/>
      <c r="B480" s="55"/>
      <c r="C480" s="24">
        <f t="shared" si="85"/>
        <v>1</v>
      </c>
      <c r="D480" s="643"/>
      <c r="E480" s="24">
        <f t="shared" si="86"/>
        <v>0</v>
      </c>
      <c r="F480" s="643"/>
      <c r="G480" s="24">
        <f t="shared" si="87"/>
        <v>0</v>
      </c>
      <c r="H480" s="643"/>
      <c r="I480" s="24">
        <f t="shared" si="88"/>
        <v>0.1</v>
      </c>
      <c r="J480" s="643"/>
      <c r="K480" s="24">
        <f t="shared" si="89"/>
        <v>1</v>
      </c>
      <c r="L480" s="643"/>
      <c r="M480" s="24">
        <f t="shared" si="90"/>
        <v>1</v>
      </c>
      <c r="N480" s="643"/>
      <c r="O480" s="24">
        <f t="shared" si="91"/>
        <v>1</v>
      </c>
      <c r="P480" s="643"/>
      <c r="Q480" s="24">
        <f t="shared" si="92"/>
        <v>1</v>
      </c>
      <c r="R480" s="24">
        <f t="shared" si="93"/>
        <v>0</v>
      </c>
      <c r="S480" s="314">
        <f t="shared" si="84"/>
        <v>0</v>
      </c>
    </row>
    <row r="481" spans="1:19">
      <c r="A481" s="147"/>
      <c r="B481" s="55"/>
      <c r="C481" s="24">
        <f t="shared" si="85"/>
        <v>1</v>
      </c>
      <c r="D481" s="643"/>
      <c r="E481" s="24">
        <f t="shared" si="86"/>
        <v>0</v>
      </c>
      <c r="F481" s="643"/>
      <c r="G481" s="24">
        <f t="shared" si="87"/>
        <v>0</v>
      </c>
      <c r="H481" s="643"/>
      <c r="I481" s="24">
        <f t="shared" si="88"/>
        <v>0.1</v>
      </c>
      <c r="J481" s="643"/>
      <c r="K481" s="24">
        <f t="shared" si="89"/>
        <v>1</v>
      </c>
      <c r="L481" s="643"/>
      <c r="M481" s="24">
        <f t="shared" si="90"/>
        <v>1</v>
      </c>
      <c r="N481" s="643"/>
      <c r="O481" s="24">
        <f t="shared" si="91"/>
        <v>1</v>
      </c>
      <c r="P481" s="643"/>
      <c r="Q481" s="24">
        <f t="shared" si="92"/>
        <v>1</v>
      </c>
      <c r="R481" s="24">
        <f t="shared" si="93"/>
        <v>0</v>
      </c>
      <c r="S481" s="314">
        <f t="shared" si="84"/>
        <v>0</v>
      </c>
    </row>
    <row r="482" spans="1:19">
      <c r="A482" s="147"/>
      <c r="B482" s="55"/>
      <c r="C482" s="24">
        <f t="shared" si="85"/>
        <v>1</v>
      </c>
      <c r="D482" s="643"/>
      <c r="E482" s="24">
        <f t="shared" si="86"/>
        <v>0</v>
      </c>
      <c r="F482" s="643"/>
      <c r="G482" s="24">
        <f t="shared" si="87"/>
        <v>0</v>
      </c>
      <c r="H482" s="643"/>
      <c r="I482" s="24">
        <f t="shared" si="88"/>
        <v>0.1</v>
      </c>
      <c r="J482" s="643"/>
      <c r="K482" s="24">
        <f t="shared" si="89"/>
        <v>1</v>
      </c>
      <c r="L482" s="643"/>
      <c r="M482" s="24">
        <f t="shared" si="90"/>
        <v>1</v>
      </c>
      <c r="N482" s="643"/>
      <c r="O482" s="24">
        <f t="shared" si="91"/>
        <v>1</v>
      </c>
      <c r="P482" s="643"/>
      <c r="Q482" s="24">
        <f t="shared" si="92"/>
        <v>1</v>
      </c>
      <c r="R482" s="24">
        <f t="shared" si="93"/>
        <v>0</v>
      </c>
      <c r="S482" s="314">
        <f t="shared" si="84"/>
        <v>0</v>
      </c>
    </row>
    <row r="483" spans="1:19">
      <c r="A483" s="147"/>
      <c r="B483" s="55"/>
      <c r="C483" s="24">
        <f t="shared" si="85"/>
        <v>1</v>
      </c>
      <c r="D483" s="643"/>
      <c r="E483" s="24">
        <f t="shared" si="86"/>
        <v>0</v>
      </c>
      <c r="F483" s="643"/>
      <c r="G483" s="24">
        <f t="shared" si="87"/>
        <v>0</v>
      </c>
      <c r="H483" s="643"/>
      <c r="I483" s="24">
        <f t="shared" si="88"/>
        <v>0.1</v>
      </c>
      <c r="J483" s="643"/>
      <c r="K483" s="24">
        <f t="shared" si="89"/>
        <v>1</v>
      </c>
      <c r="L483" s="643"/>
      <c r="M483" s="24">
        <f t="shared" si="90"/>
        <v>1</v>
      </c>
      <c r="N483" s="643"/>
      <c r="O483" s="24">
        <f t="shared" si="91"/>
        <v>1</v>
      </c>
      <c r="P483" s="643"/>
      <c r="Q483" s="24">
        <f t="shared" si="92"/>
        <v>1</v>
      </c>
      <c r="R483" s="24">
        <f t="shared" si="93"/>
        <v>0</v>
      </c>
      <c r="S483" s="314">
        <f t="shared" si="84"/>
        <v>0</v>
      </c>
    </row>
    <row r="484" spans="1:19">
      <c r="A484" s="147"/>
      <c r="B484" s="55"/>
      <c r="C484" s="24">
        <f t="shared" si="85"/>
        <v>1</v>
      </c>
      <c r="D484" s="643"/>
      <c r="E484" s="24">
        <f t="shared" si="86"/>
        <v>0</v>
      </c>
      <c r="F484" s="643"/>
      <c r="G484" s="24">
        <f t="shared" si="87"/>
        <v>0</v>
      </c>
      <c r="H484" s="643"/>
      <c r="I484" s="24">
        <f t="shared" si="88"/>
        <v>0.1</v>
      </c>
      <c r="J484" s="643"/>
      <c r="K484" s="24">
        <f t="shared" si="89"/>
        <v>1</v>
      </c>
      <c r="L484" s="643"/>
      <c r="M484" s="24">
        <f t="shared" si="90"/>
        <v>1</v>
      </c>
      <c r="N484" s="643"/>
      <c r="O484" s="24">
        <f t="shared" si="91"/>
        <v>1</v>
      </c>
      <c r="P484" s="643"/>
      <c r="Q484" s="24">
        <f t="shared" si="92"/>
        <v>1</v>
      </c>
      <c r="R484" s="24">
        <f t="shared" si="93"/>
        <v>0</v>
      </c>
      <c r="S484" s="314">
        <f t="shared" si="84"/>
        <v>0</v>
      </c>
    </row>
    <row r="485" spans="1:19">
      <c r="A485" s="147"/>
      <c r="B485" s="55"/>
      <c r="C485" s="24">
        <f t="shared" si="85"/>
        <v>1</v>
      </c>
      <c r="D485" s="643"/>
      <c r="E485" s="24">
        <f t="shared" si="86"/>
        <v>0</v>
      </c>
      <c r="F485" s="643"/>
      <c r="G485" s="24">
        <f t="shared" si="87"/>
        <v>0</v>
      </c>
      <c r="H485" s="643"/>
      <c r="I485" s="24">
        <f t="shared" si="88"/>
        <v>0.1</v>
      </c>
      <c r="J485" s="643"/>
      <c r="K485" s="24">
        <f t="shared" si="89"/>
        <v>1</v>
      </c>
      <c r="L485" s="643"/>
      <c r="M485" s="24">
        <f t="shared" si="90"/>
        <v>1</v>
      </c>
      <c r="N485" s="643"/>
      <c r="O485" s="24">
        <f t="shared" si="91"/>
        <v>1</v>
      </c>
      <c r="P485" s="643"/>
      <c r="Q485" s="24">
        <f t="shared" si="92"/>
        <v>1</v>
      </c>
      <c r="R485" s="24">
        <f t="shared" si="93"/>
        <v>0</v>
      </c>
      <c r="S485" s="314">
        <f t="shared" si="84"/>
        <v>0</v>
      </c>
    </row>
    <row r="486" spans="1:19">
      <c r="A486" s="147"/>
      <c r="B486" s="55"/>
      <c r="C486" s="24">
        <f t="shared" si="85"/>
        <v>1</v>
      </c>
      <c r="D486" s="643"/>
      <c r="E486" s="24">
        <f t="shared" si="86"/>
        <v>0</v>
      </c>
      <c r="F486" s="643"/>
      <c r="G486" s="24">
        <f t="shared" si="87"/>
        <v>0</v>
      </c>
      <c r="H486" s="643"/>
      <c r="I486" s="24">
        <f t="shared" si="88"/>
        <v>0.1</v>
      </c>
      <c r="J486" s="643"/>
      <c r="K486" s="24">
        <f t="shared" si="89"/>
        <v>1</v>
      </c>
      <c r="L486" s="643"/>
      <c r="M486" s="24">
        <f t="shared" si="90"/>
        <v>1</v>
      </c>
      <c r="N486" s="643"/>
      <c r="O486" s="24">
        <f t="shared" si="91"/>
        <v>1</v>
      </c>
      <c r="P486" s="643"/>
      <c r="Q486" s="24">
        <f t="shared" si="92"/>
        <v>1</v>
      </c>
      <c r="R486" s="24">
        <f t="shared" si="93"/>
        <v>0</v>
      </c>
      <c r="S486" s="314">
        <f t="shared" si="84"/>
        <v>0</v>
      </c>
    </row>
    <row r="487" spans="1:19">
      <c r="A487" s="147"/>
      <c r="B487" s="55"/>
      <c r="C487" s="24">
        <f t="shared" si="85"/>
        <v>1</v>
      </c>
      <c r="D487" s="643"/>
      <c r="E487" s="24">
        <f t="shared" si="86"/>
        <v>0</v>
      </c>
      <c r="F487" s="643"/>
      <c r="G487" s="24">
        <f t="shared" si="87"/>
        <v>0</v>
      </c>
      <c r="H487" s="643"/>
      <c r="I487" s="24">
        <f t="shared" si="88"/>
        <v>0.1</v>
      </c>
      <c r="J487" s="643"/>
      <c r="K487" s="24">
        <f t="shared" si="89"/>
        <v>1</v>
      </c>
      <c r="L487" s="643"/>
      <c r="M487" s="24">
        <f t="shared" si="90"/>
        <v>1</v>
      </c>
      <c r="N487" s="643"/>
      <c r="O487" s="24">
        <f t="shared" si="91"/>
        <v>1</v>
      </c>
      <c r="P487" s="643"/>
      <c r="Q487" s="24">
        <f t="shared" si="92"/>
        <v>1</v>
      </c>
      <c r="R487" s="24">
        <f t="shared" si="93"/>
        <v>0</v>
      </c>
      <c r="S487" s="314">
        <f t="shared" si="84"/>
        <v>0</v>
      </c>
    </row>
    <row r="488" spans="1:19">
      <c r="A488" s="147"/>
      <c r="B488" s="55"/>
      <c r="C488" s="24">
        <f t="shared" si="85"/>
        <v>1</v>
      </c>
      <c r="D488" s="643"/>
      <c r="E488" s="24">
        <f t="shared" si="86"/>
        <v>0</v>
      </c>
      <c r="F488" s="643"/>
      <c r="G488" s="24">
        <f t="shared" si="87"/>
        <v>0</v>
      </c>
      <c r="H488" s="643"/>
      <c r="I488" s="24">
        <f t="shared" si="88"/>
        <v>0.1</v>
      </c>
      <c r="J488" s="643"/>
      <c r="K488" s="24">
        <f t="shared" si="89"/>
        <v>1</v>
      </c>
      <c r="L488" s="643"/>
      <c r="M488" s="24">
        <f t="shared" si="90"/>
        <v>1</v>
      </c>
      <c r="N488" s="643"/>
      <c r="O488" s="24">
        <f t="shared" si="91"/>
        <v>1</v>
      </c>
      <c r="P488" s="643"/>
      <c r="Q488" s="24">
        <f t="shared" si="92"/>
        <v>1</v>
      </c>
      <c r="R488" s="24">
        <f t="shared" si="93"/>
        <v>0</v>
      </c>
      <c r="S488" s="314">
        <f t="shared" si="84"/>
        <v>0</v>
      </c>
    </row>
    <row r="489" spans="1:19">
      <c r="A489" s="147"/>
      <c r="B489" s="55"/>
      <c r="C489" s="24">
        <f t="shared" si="85"/>
        <v>1</v>
      </c>
      <c r="D489" s="643"/>
      <c r="E489" s="24">
        <f t="shared" si="86"/>
        <v>0</v>
      </c>
      <c r="F489" s="643"/>
      <c r="G489" s="24">
        <f t="shared" si="87"/>
        <v>0</v>
      </c>
      <c r="H489" s="643"/>
      <c r="I489" s="24">
        <f t="shared" si="88"/>
        <v>0.1</v>
      </c>
      <c r="J489" s="643"/>
      <c r="K489" s="24">
        <f t="shared" si="89"/>
        <v>1</v>
      </c>
      <c r="L489" s="643"/>
      <c r="M489" s="24">
        <f t="shared" si="90"/>
        <v>1</v>
      </c>
      <c r="N489" s="643"/>
      <c r="O489" s="24">
        <f t="shared" si="91"/>
        <v>1</v>
      </c>
      <c r="P489" s="643"/>
      <c r="Q489" s="24">
        <f t="shared" si="92"/>
        <v>1</v>
      </c>
      <c r="R489" s="24">
        <f t="shared" si="93"/>
        <v>0</v>
      </c>
      <c r="S489" s="314">
        <f t="shared" si="84"/>
        <v>0</v>
      </c>
    </row>
    <row r="490" spans="1:19">
      <c r="A490" s="147"/>
      <c r="B490" s="55"/>
      <c r="C490" s="24">
        <f t="shared" si="85"/>
        <v>1</v>
      </c>
      <c r="D490" s="643"/>
      <c r="E490" s="24">
        <f t="shared" si="86"/>
        <v>0</v>
      </c>
      <c r="F490" s="643"/>
      <c r="G490" s="24">
        <f t="shared" si="87"/>
        <v>0</v>
      </c>
      <c r="H490" s="643"/>
      <c r="I490" s="24">
        <f t="shared" si="88"/>
        <v>0.1</v>
      </c>
      <c r="J490" s="643"/>
      <c r="K490" s="24">
        <f t="shared" si="89"/>
        <v>1</v>
      </c>
      <c r="L490" s="643"/>
      <c r="M490" s="24">
        <f t="shared" si="90"/>
        <v>1</v>
      </c>
      <c r="N490" s="643"/>
      <c r="O490" s="24">
        <f t="shared" si="91"/>
        <v>1</v>
      </c>
      <c r="P490" s="643"/>
      <c r="Q490" s="24">
        <f t="shared" si="92"/>
        <v>1</v>
      </c>
      <c r="R490" s="24">
        <f t="shared" si="93"/>
        <v>0</v>
      </c>
      <c r="S490" s="314">
        <f t="shared" si="84"/>
        <v>0</v>
      </c>
    </row>
    <row r="491" spans="1:19">
      <c r="A491" s="147"/>
      <c r="B491" s="55"/>
      <c r="C491" s="24">
        <f t="shared" si="85"/>
        <v>1</v>
      </c>
      <c r="D491" s="643"/>
      <c r="E491" s="24">
        <f t="shared" si="86"/>
        <v>0</v>
      </c>
      <c r="F491" s="643"/>
      <c r="G491" s="24">
        <f t="shared" si="87"/>
        <v>0</v>
      </c>
      <c r="H491" s="643"/>
      <c r="I491" s="24">
        <f t="shared" si="88"/>
        <v>0.1</v>
      </c>
      <c r="J491" s="643"/>
      <c r="K491" s="24">
        <f t="shared" si="89"/>
        <v>1</v>
      </c>
      <c r="L491" s="643"/>
      <c r="M491" s="24">
        <f t="shared" si="90"/>
        <v>1</v>
      </c>
      <c r="N491" s="643"/>
      <c r="O491" s="24">
        <f t="shared" si="91"/>
        <v>1</v>
      </c>
      <c r="P491" s="643"/>
      <c r="Q491" s="24">
        <f t="shared" si="92"/>
        <v>1</v>
      </c>
      <c r="R491" s="24">
        <f t="shared" si="93"/>
        <v>0</v>
      </c>
      <c r="S491" s="314">
        <f t="shared" si="84"/>
        <v>0</v>
      </c>
    </row>
    <row r="492" spans="1:19">
      <c r="A492" s="147"/>
      <c r="B492" s="55"/>
      <c r="C492" s="24">
        <f t="shared" si="85"/>
        <v>1</v>
      </c>
      <c r="D492" s="643"/>
      <c r="E492" s="24">
        <f t="shared" si="86"/>
        <v>0</v>
      </c>
      <c r="F492" s="643"/>
      <c r="G492" s="24">
        <f t="shared" si="87"/>
        <v>0</v>
      </c>
      <c r="H492" s="643"/>
      <c r="I492" s="24">
        <f t="shared" si="88"/>
        <v>0.1</v>
      </c>
      <c r="J492" s="643"/>
      <c r="K492" s="24">
        <f t="shared" si="89"/>
        <v>1</v>
      </c>
      <c r="L492" s="643"/>
      <c r="M492" s="24">
        <f t="shared" si="90"/>
        <v>1</v>
      </c>
      <c r="N492" s="643"/>
      <c r="O492" s="24">
        <f t="shared" si="91"/>
        <v>1</v>
      </c>
      <c r="P492" s="643"/>
      <c r="Q492" s="24">
        <f t="shared" si="92"/>
        <v>1</v>
      </c>
      <c r="R492" s="24">
        <f t="shared" si="93"/>
        <v>0</v>
      </c>
      <c r="S492" s="314">
        <f t="shared" si="84"/>
        <v>0</v>
      </c>
    </row>
    <row r="493" spans="1:19">
      <c r="A493" s="147"/>
      <c r="B493" s="55"/>
      <c r="C493" s="24">
        <f t="shared" si="85"/>
        <v>1</v>
      </c>
      <c r="D493" s="643"/>
      <c r="E493" s="24">
        <f t="shared" si="86"/>
        <v>0</v>
      </c>
      <c r="F493" s="643"/>
      <c r="G493" s="24">
        <f t="shared" si="87"/>
        <v>0</v>
      </c>
      <c r="H493" s="643"/>
      <c r="I493" s="24">
        <f t="shared" si="88"/>
        <v>0.1</v>
      </c>
      <c r="J493" s="643"/>
      <c r="K493" s="24">
        <f t="shared" si="89"/>
        <v>1</v>
      </c>
      <c r="L493" s="643"/>
      <c r="M493" s="24">
        <f t="shared" si="90"/>
        <v>1</v>
      </c>
      <c r="N493" s="643"/>
      <c r="O493" s="24">
        <f t="shared" si="91"/>
        <v>1</v>
      </c>
      <c r="P493" s="643"/>
      <c r="Q493" s="24">
        <f t="shared" si="92"/>
        <v>1</v>
      </c>
      <c r="R493" s="24">
        <f t="shared" si="93"/>
        <v>0</v>
      </c>
      <c r="S493" s="314">
        <f t="shared" si="84"/>
        <v>0</v>
      </c>
    </row>
    <row r="494" spans="1:19">
      <c r="A494" s="147"/>
      <c r="B494" s="55"/>
      <c r="C494" s="24">
        <f t="shared" si="85"/>
        <v>1</v>
      </c>
      <c r="D494" s="643"/>
      <c r="E494" s="24">
        <f t="shared" si="86"/>
        <v>0</v>
      </c>
      <c r="F494" s="643"/>
      <c r="G494" s="24">
        <f t="shared" si="87"/>
        <v>0</v>
      </c>
      <c r="H494" s="643"/>
      <c r="I494" s="24">
        <f t="shared" si="88"/>
        <v>0.1</v>
      </c>
      <c r="J494" s="643"/>
      <c r="K494" s="24">
        <f t="shared" si="89"/>
        <v>1</v>
      </c>
      <c r="L494" s="643"/>
      <c r="M494" s="24">
        <f t="shared" si="90"/>
        <v>1</v>
      </c>
      <c r="N494" s="643"/>
      <c r="O494" s="24">
        <f t="shared" si="91"/>
        <v>1</v>
      </c>
      <c r="P494" s="643"/>
      <c r="Q494" s="24">
        <f t="shared" si="92"/>
        <v>1</v>
      </c>
      <c r="R494" s="24">
        <f t="shared" si="93"/>
        <v>0</v>
      </c>
      <c r="S494" s="314">
        <f t="shared" si="84"/>
        <v>0</v>
      </c>
    </row>
    <row r="495" spans="1:19">
      <c r="A495" s="147"/>
      <c r="B495" s="55"/>
      <c r="C495" s="24">
        <f t="shared" si="85"/>
        <v>1</v>
      </c>
      <c r="D495" s="643"/>
      <c r="E495" s="24">
        <f t="shared" si="86"/>
        <v>0</v>
      </c>
      <c r="F495" s="643"/>
      <c r="G495" s="24">
        <f t="shared" si="87"/>
        <v>0</v>
      </c>
      <c r="H495" s="643"/>
      <c r="I495" s="24">
        <f t="shared" si="88"/>
        <v>0.1</v>
      </c>
      <c r="J495" s="643"/>
      <c r="K495" s="24">
        <f t="shared" si="89"/>
        <v>1</v>
      </c>
      <c r="L495" s="643"/>
      <c r="M495" s="24">
        <f t="shared" si="90"/>
        <v>1</v>
      </c>
      <c r="N495" s="643"/>
      <c r="O495" s="24">
        <f t="shared" si="91"/>
        <v>1</v>
      </c>
      <c r="P495" s="643"/>
      <c r="Q495" s="24">
        <f t="shared" si="92"/>
        <v>1</v>
      </c>
      <c r="R495" s="24">
        <f t="shared" si="93"/>
        <v>0</v>
      </c>
      <c r="S495" s="314">
        <f t="shared" si="84"/>
        <v>0</v>
      </c>
    </row>
    <row r="496" spans="1:19">
      <c r="A496" s="147"/>
      <c r="B496" s="55"/>
      <c r="C496" s="24">
        <f t="shared" si="85"/>
        <v>1</v>
      </c>
      <c r="D496" s="643"/>
      <c r="E496" s="24">
        <f t="shared" si="86"/>
        <v>0</v>
      </c>
      <c r="F496" s="643"/>
      <c r="G496" s="24">
        <f t="shared" si="87"/>
        <v>0</v>
      </c>
      <c r="H496" s="643"/>
      <c r="I496" s="24">
        <f t="shared" si="88"/>
        <v>0.1</v>
      </c>
      <c r="J496" s="643"/>
      <c r="K496" s="24">
        <f t="shared" si="89"/>
        <v>1</v>
      </c>
      <c r="L496" s="643"/>
      <c r="M496" s="24">
        <f t="shared" si="90"/>
        <v>1</v>
      </c>
      <c r="N496" s="643"/>
      <c r="O496" s="24">
        <f t="shared" si="91"/>
        <v>1</v>
      </c>
      <c r="P496" s="643"/>
      <c r="Q496" s="24">
        <f t="shared" si="92"/>
        <v>1</v>
      </c>
      <c r="R496" s="24">
        <f t="shared" si="93"/>
        <v>0</v>
      </c>
      <c r="S496" s="314">
        <f t="shared" si="84"/>
        <v>0</v>
      </c>
    </row>
    <row r="497" spans="1:19">
      <c r="A497" s="147"/>
      <c r="B497" s="55"/>
      <c r="C497" s="24">
        <f t="shared" si="85"/>
        <v>1</v>
      </c>
      <c r="D497" s="643"/>
      <c r="E497" s="24">
        <f t="shared" si="86"/>
        <v>0</v>
      </c>
      <c r="F497" s="643"/>
      <c r="G497" s="24">
        <f t="shared" si="87"/>
        <v>0</v>
      </c>
      <c r="H497" s="643"/>
      <c r="I497" s="24">
        <f t="shared" si="88"/>
        <v>0.1</v>
      </c>
      <c r="J497" s="643"/>
      <c r="K497" s="24">
        <f t="shared" si="89"/>
        <v>1</v>
      </c>
      <c r="L497" s="643"/>
      <c r="M497" s="24">
        <f t="shared" si="90"/>
        <v>1</v>
      </c>
      <c r="N497" s="643"/>
      <c r="O497" s="24">
        <f t="shared" si="91"/>
        <v>1</v>
      </c>
      <c r="P497" s="643"/>
      <c r="Q497" s="24">
        <f t="shared" si="92"/>
        <v>1</v>
      </c>
      <c r="R497" s="24">
        <f t="shared" si="93"/>
        <v>0</v>
      </c>
      <c r="S497" s="314">
        <f t="shared" si="84"/>
        <v>0</v>
      </c>
    </row>
    <row r="498" spans="1:19">
      <c r="A498" s="147"/>
      <c r="B498" s="55"/>
      <c r="C498" s="24">
        <f t="shared" si="85"/>
        <v>1</v>
      </c>
      <c r="D498" s="643"/>
      <c r="E498" s="24">
        <f t="shared" si="86"/>
        <v>0</v>
      </c>
      <c r="F498" s="643"/>
      <c r="G498" s="24">
        <f t="shared" si="87"/>
        <v>0</v>
      </c>
      <c r="H498" s="643"/>
      <c r="I498" s="24">
        <f t="shared" si="88"/>
        <v>0.1</v>
      </c>
      <c r="J498" s="643"/>
      <c r="K498" s="24">
        <f t="shared" si="89"/>
        <v>1</v>
      </c>
      <c r="L498" s="643"/>
      <c r="M498" s="24">
        <f t="shared" si="90"/>
        <v>1</v>
      </c>
      <c r="N498" s="643"/>
      <c r="O498" s="24">
        <f t="shared" si="91"/>
        <v>1</v>
      </c>
      <c r="P498" s="643"/>
      <c r="Q498" s="24">
        <f t="shared" si="92"/>
        <v>1</v>
      </c>
      <c r="R498" s="24">
        <f t="shared" si="93"/>
        <v>0</v>
      </c>
      <c r="S498" s="314">
        <f t="shared" ref="S498:S524" si="94">ROUND(R498*B498/10000,0)</f>
        <v>0</v>
      </c>
    </row>
    <row r="499" spans="1:19">
      <c r="A499" s="147"/>
      <c r="B499" s="55"/>
      <c r="C499" s="24">
        <f t="shared" si="85"/>
        <v>1</v>
      </c>
      <c r="D499" s="643"/>
      <c r="E499" s="24">
        <f t="shared" si="86"/>
        <v>0</v>
      </c>
      <c r="F499" s="643"/>
      <c r="G499" s="24">
        <f t="shared" si="87"/>
        <v>0</v>
      </c>
      <c r="H499" s="643"/>
      <c r="I499" s="24">
        <f t="shared" si="88"/>
        <v>0.1</v>
      </c>
      <c r="J499" s="643"/>
      <c r="K499" s="24">
        <f t="shared" si="89"/>
        <v>1</v>
      </c>
      <c r="L499" s="643"/>
      <c r="M499" s="24">
        <f t="shared" si="90"/>
        <v>1</v>
      </c>
      <c r="N499" s="643"/>
      <c r="O499" s="24">
        <f t="shared" si="91"/>
        <v>1</v>
      </c>
      <c r="P499" s="643"/>
      <c r="Q499" s="24">
        <f t="shared" si="92"/>
        <v>1</v>
      </c>
      <c r="R499" s="24">
        <f t="shared" si="93"/>
        <v>0</v>
      </c>
      <c r="S499" s="314">
        <f t="shared" si="94"/>
        <v>0</v>
      </c>
    </row>
    <row r="500" spans="1:19">
      <c r="A500" s="147"/>
      <c r="B500" s="55"/>
      <c r="C500" s="24">
        <f t="shared" si="85"/>
        <v>1</v>
      </c>
      <c r="D500" s="643"/>
      <c r="E500" s="24">
        <f t="shared" si="86"/>
        <v>0</v>
      </c>
      <c r="F500" s="643"/>
      <c r="G500" s="24">
        <f t="shared" si="87"/>
        <v>0</v>
      </c>
      <c r="H500" s="643"/>
      <c r="I500" s="24">
        <f t="shared" si="88"/>
        <v>0.1</v>
      </c>
      <c r="J500" s="643"/>
      <c r="K500" s="24">
        <f t="shared" si="89"/>
        <v>1</v>
      </c>
      <c r="L500" s="643"/>
      <c r="M500" s="24">
        <f t="shared" si="90"/>
        <v>1</v>
      </c>
      <c r="N500" s="643"/>
      <c r="O500" s="24">
        <f t="shared" si="91"/>
        <v>1</v>
      </c>
      <c r="P500" s="643"/>
      <c r="Q500" s="24">
        <f t="shared" si="92"/>
        <v>1</v>
      </c>
      <c r="R500" s="24">
        <f t="shared" si="93"/>
        <v>0</v>
      </c>
      <c r="S500" s="314">
        <f t="shared" si="94"/>
        <v>0</v>
      </c>
    </row>
    <row r="501" spans="1:19">
      <c r="A501" s="147"/>
      <c r="B501" s="55"/>
      <c r="C501" s="24">
        <f t="shared" si="85"/>
        <v>1</v>
      </c>
      <c r="D501" s="643"/>
      <c r="E501" s="24">
        <f t="shared" si="86"/>
        <v>0</v>
      </c>
      <c r="F501" s="643"/>
      <c r="G501" s="24">
        <f t="shared" si="87"/>
        <v>0</v>
      </c>
      <c r="H501" s="643"/>
      <c r="I501" s="24">
        <f t="shared" si="88"/>
        <v>0.1</v>
      </c>
      <c r="J501" s="643"/>
      <c r="K501" s="24">
        <f t="shared" si="89"/>
        <v>1</v>
      </c>
      <c r="L501" s="643"/>
      <c r="M501" s="24">
        <f t="shared" si="90"/>
        <v>1</v>
      </c>
      <c r="N501" s="643"/>
      <c r="O501" s="24">
        <f t="shared" si="91"/>
        <v>1</v>
      </c>
      <c r="P501" s="643"/>
      <c r="Q501" s="24">
        <f t="shared" si="92"/>
        <v>1</v>
      </c>
      <c r="R501" s="24">
        <f t="shared" si="93"/>
        <v>0</v>
      </c>
      <c r="S501" s="314">
        <f t="shared" si="94"/>
        <v>0</v>
      </c>
    </row>
    <row r="502" spans="1:19">
      <c r="A502" s="147"/>
      <c r="B502" s="55"/>
      <c r="C502" s="24">
        <f t="shared" si="85"/>
        <v>1</v>
      </c>
      <c r="D502" s="643"/>
      <c r="E502" s="24">
        <f t="shared" si="86"/>
        <v>0</v>
      </c>
      <c r="F502" s="643"/>
      <c r="G502" s="24">
        <f t="shared" si="87"/>
        <v>0</v>
      </c>
      <c r="H502" s="643"/>
      <c r="I502" s="24">
        <f t="shared" si="88"/>
        <v>0.1</v>
      </c>
      <c r="J502" s="643"/>
      <c r="K502" s="24">
        <f t="shared" si="89"/>
        <v>1</v>
      </c>
      <c r="L502" s="643"/>
      <c r="M502" s="24">
        <f t="shared" si="90"/>
        <v>1</v>
      </c>
      <c r="N502" s="643"/>
      <c r="O502" s="24">
        <f t="shared" si="91"/>
        <v>1</v>
      </c>
      <c r="P502" s="643"/>
      <c r="Q502" s="24">
        <f t="shared" si="92"/>
        <v>1</v>
      </c>
      <c r="R502" s="24">
        <f t="shared" si="93"/>
        <v>0</v>
      </c>
      <c r="S502" s="314">
        <f t="shared" si="94"/>
        <v>0</v>
      </c>
    </row>
    <row r="503" spans="1:19">
      <c r="A503" s="147"/>
      <c r="B503" s="55"/>
      <c r="C503" s="24">
        <f t="shared" si="85"/>
        <v>1</v>
      </c>
      <c r="D503" s="643"/>
      <c r="E503" s="24">
        <f t="shared" si="86"/>
        <v>0</v>
      </c>
      <c r="F503" s="643"/>
      <c r="G503" s="24">
        <f t="shared" si="87"/>
        <v>0</v>
      </c>
      <c r="H503" s="643"/>
      <c r="I503" s="24">
        <f t="shared" si="88"/>
        <v>0.1</v>
      </c>
      <c r="J503" s="643"/>
      <c r="K503" s="24">
        <f t="shared" si="89"/>
        <v>1</v>
      </c>
      <c r="L503" s="643"/>
      <c r="M503" s="24">
        <f t="shared" si="90"/>
        <v>1</v>
      </c>
      <c r="N503" s="643"/>
      <c r="O503" s="24">
        <f t="shared" si="91"/>
        <v>1</v>
      </c>
      <c r="P503" s="643"/>
      <c r="Q503" s="24">
        <f t="shared" si="92"/>
        <v>1</v>
      </c>
      <c r="R503" s="24">
        <f t="shared" si="93"/>
        <v>0</v>
      </c>
      <c r="S503" s="314">
        <f t="shared" si="94"/>
        <v>0</v>
      </c>
    </row>
    <row r="504" spans="1:19">
      <c r="A504" s="147"/>
      <c r="B504" s="55"/>
      <c r="C504" s="24">
        <f t="shared" si="85"/>
        <v>1</v>
      </c>
      <c r="D504" s="643"/>
      <c r="E504" s="24">
        <f t="shared" si="86"/>
        <v>0</v>
      </c>
      <c r="F504" s="643"/>
      <c r="G504" s="24">
        <f t="shared" si="87"/>
        <v>0</v>
      </c>
      <c r="H504" s="643"/>
      <c r="I504" s="24">
        <f t="shared" si="88"/>
        <v>0.1</v>
      </c>
      <c r="J504" s="643"/>
      <c r="K504" s="24">
        <f t="shared" si="89"/>
        <v>1</v>
      </c>
      <c r="L504" s="643"/>
      <c r="M504" s="24">
        <f t="shared" si="90"/>
        <v>1</v>
      </c>
      <c r="N504" s="643"/>
      <c r="O504" s="24">
        <f t="shared" si="91"/>
        <v>1</v>
      </c>
      <c r="P504" s="643"/>
      <c r="Q504" s="24">
        <f t="shared" si="92"/>
        <v>1</v>
      </c>
      <c r="R504" s="24">
        <f t="shared" si="93"/>
        <v>0</v>
      </c>
      <c r="S504" s="314">
        <f t="shared" si="94"/>
        <v>0</v>
      </c>
    </row>
    <row r="505" spans="1:19">
      <c r="A505" s="147"/>
      <c r="B505" s="55"/>
      <c r="C505" s="24">
        <f t="shared" si="85"/>
        <v>1</v>
      </c>
      <c r="D505" s="643"/>
      <c r="E505" s="24">
        <f t="shared" si="86"/>
        <v>0</v>
      </c>
      <c r="F505" s="643"/>
      <c r="G505" s="24">
        <f t="shared" si="87"/>
        <v>0</v>
      </c>
      <c r="H505" s="643"/>
      <c r="I505" s="24">
        <f t="shared" si="88"/>
        <v>0.1</v>
      </c>
      <c r="J505" s="643"/>
      <c r="K505" s="24">
        <f t="shared" si="89"/>
        <v>1</v>
      </c>
      <c r="L505" s="643"/>
      <c r="M505" s="24">
        <f t="shared" si="90"/>
        <v>1</v>
      </c>
      <c r="N505" s="643"/>
      <c r="O505" s="24">
        <f t="shared" si="91"/>
        <v>1</v>
      </c>
      <c r="P505" s="643"/>
      <c r="Q505" s="24">
        <f t="shared" si="92"/>
        <v>1</v>
      </c>
      <c r="R505" s="24">
        <f t="shared" si="93"/>
        <v>0</v>
      </c>
      <c r="S505" s="314">
        <f t="shared" si="94"/>
        <v>0</v>
      </c>
    </row>
    <row r="506" spans="1:19">
      <c r="A506" s="147"/>
      <c r="B506" s="55"/>
      <c r="C506" s="24">
        <f t="shared" si="85"/>
        <v>1</v>
      </c>
      <c r="D506" s="643"/>
      <c r="E506" s="24">
        <f t="shared" si="86"/>
        <v>0</v>
      </c>
      <c r="F506" s="643"/>
      <c r="G506" s="24">
        <f t="shared" si="87"/>
        <v>0</v>
      </c>
      <c r="H506" s="643"/>
      <c r="I506" s="24">
        <f t="shared" si="88"/>
        <v>0.1</v>
      </c>
      <c r="J506" s="643"/>
      <c r="K506" s="24">
        <f t="shared" si="89"/>
        <v>1</v>
      </c>
      <c r="L506" s="643"/>
      <c r="M506" s="24">
        <f t="shared" si="90"/>
        <v>1</v>
      </c>
      <c r="N506" s="643"/>
      <c r="O506" s="24">
        <f t="shared" si="91"/>
        <v>1</v>
      </c>
      <c r="P506" s="643"/>
      <c r="Q506" s="24">
        <f t="shared" si="92"/>
        <v>1</v>
      </c>
      <c r="R506" s="24">
        <f t="shared" si="93"/>
        <v>0</v>
      </c>
      <c r="S506" s="314">
        <f t="shared" si="94"/>
        <v>0</v>
      </c>
    </row>
    <row r="507" spans="1:19">
      <c r="A507" s="147"/>
      <c r="B507" s="55"/>
      <c r="C507" s="24">
        <f t="shared" si="85"/>
        <v>1</v>
      </c>
      <c r="D507" s="643"/>
      <c r="E507" s="24">
        <f t="shared" si="86"/>
        <v>0</v>
      </c>
      <c r="F507" s="643"/>
      <c r="G507" s="24">
        <f t="shared" si="87"/>
        <v>0</v>
      </c>
      <c r="H507" s="643"/>
      <c r="I507" s="24">
        <f t="shared" si="88"/>
        <v>0.1</v>
      </c>
      <c r="J507" s="643"/>
      <c r="K507" s="24">
        <f t="shared" si="89"/>
        <v>1</v>
      </c>
      <c r="L507" s="643"/>
      <c r="M507" s="24">
        <f t="shared" si="90"/>
        <v>1</v>
      </c>
      <c r="N507" s="643"/>
      <c r="O507" s="24">
        <f t="shared" si="91"/>
        <v>1</v>
      </c>
      <c r="P507" s="643"/>
      <c r="Q507" s="24">
        <f t="shared" si="92"/>
        <v>1</v>
      </c>
      <c r="R507" s="24">
        <f t="shared" si="93"/>
        <v>0</v>
      </c>
      <c r="S507" s="314">
        <f t="shared" si="94"/>
        <v>0</v>
      </c>
    </row>
    <row r="508" spans="1:19">
      <c r="A508" s="147"/>
      <c r="B508" s="55"/>
      <c r="C508" s="24">
        <f t="shared" si="85"/>
        <v>1</v>
      </c>
      <c r="D508" s="643"/>
      <c r="E508" s="24">
        <f t="shared" si="86"/>
        <v>0</v>
      </c>
      <c r="F508" s="643"/>
      <c r="G508" s="24">
        <f t="shared" si="87"/>
        <v>0</v>
      </c>
      <c r="H508" s="643"/>
      <c r="I508" s="24">
        <f t="shared" si="88"/>
        <v>0.1</v>
      </c>
      <c r="J508" s="643"/>
      <c r="K508" s="24">
        <f t="shared" si="89"/>
        <v>1</v>
      </c>
      <c r="L508" s="643"/>
      <c r="M508" s="24">
        <f t="shared" si="90"/>
        <v>1</v>
      </c>
      <c r="N508" s="643"/>
      <c r="O508" s="24">
        <f t="shared" si="91"/>
        <v>1</v>
      </c>
      <c r="P508" s="643"/>
      <c r="Q508" s="24">
        <f t="shared" si="92"/>
        <v>1</v>
      </c>
      <c r="R508" s="24">
        <f t="shared" si="93"/>
        <v>0</v>
      </c>
      <c r="S508" s="314">
        <f t="shared" si="94"/>
        <v>0</v>
      </c>
    </row>
    <row r="509" spans="1:19">
      <c r="A509" s="147"/>
      <c r="B509" s="55"/>
      <c r="C509" s="24">
        <f t="shared" si="85"/>
        <v>1</v>
      </c>
      <c r="D509" s="643"/>
      <c r="E509" s="24">
        <f t="shared" si="86"/>
        <v>0</v>
      </c>
      <c r="F509" s="643"/>
      <c r="G509" s="24">
        <f t="shared" si="87"/>
        <v>0</v>
      </c>
      <c r="H509" s="643"/>
      <c r="I509" s="24">
        <f t="shared" si="88"/>
        <v>0.1</v>
      </c>
      <c r="J509" s="643"/>
      <c r="K509" s="24">
        <f t="shared" si="89"/>
        <v>1</v>
      </c>
      <c r="L509" s="643"/>
      <c r="M509" s="24">
        <f t="shared" si="90"/>
        <v>1</v>
      </c>
      <c r="N509" s="643"/>
      <c r="O509" s="24">
        <f t="shared" si="91"/>
        <v>1</v>
      </c>
      <c r="P509" s="643"/>
      <c r="Q509" s="24">
        <f t="shared" si="92"/>
        <v>1</v>
      </c>
      <c r="R509" s="24">
        <f t="shared" si="93"/>
        <v>0</v>
      </c>
      <c r="S509" s="314">
        <f t="shared" si="94"/>
        <v>0</v>
      </c>
    </row>
    <row r="510" spans="1:19">
      <c r="A510" s="147"/>
      <c r="B510" s="55"/>
      <c r="C510" s="24">
        <f t="shared" si="85"/>
        <v>1</v>
      </c>
      <c r="D510" s="643"/>
      <c r="E510" s="24">
        <f t="shared" si="86"/>
        <v>0</v>
      </c>
      <c r="F510" s="643"/>
      <c r="G510" s="24">
        <f t="shared" si="87"/>
        <v>0</v>
      </c>
      <c r="H510" s="643"/>
      <c r="I510" s="24">
        <f t="shared" si="88"/>
        <v>0.1</v>
      </c>
      <c r="J510" s="643"/>
      <c r="K510" s="24">
        <f t="shared" si="89"/>
        <v>1</v>
      </c>
      <c r="L510" s="643"/>
      <c r="M510" s="24">
        <f t="shared" si="90"/>
        <v>1</v>
      </c>
      <c r="N510" s="643"/>
      <c r="O510" s="24">
        <f t="shared" si="91"/>
        <v>1</v>
      </c>
      <c r="P510" s="643"/>
      <c r="Q510" s="24">
        <f t="shared" si="92"/>
        <v>1</v>
      </c>
      <c r="R510" s="24">
        <f t="shared" si="93"/>
        <v>0</v>
      </c>
      <c r="S510" s="314">
        <f t="shared" si="94"/>
        <v>0</v>
      </c>
    </row>
    <row r="511" spans="1:19">
      <c r="A511" s="147"/>
      <c r="B511" s="55"/>
      <c r="C511" s="24">
        <f t="shared" si="85"/>
        <v>1</v>
      </c>
      <c r="D511" s="643"/>
      <c r="E511" s="24">
        <f t="shared" si="86"/>
        <v>0</v>
      </c>
      <c r="F511" s="643"/>
      <c r="G511" s="24">
        <f t="shared" si="87"/>
        <v>0</v>
      </c>
      <c r="H511" s="643"/>
      <c r="I511" s="24">
        <f t="shared" si="88"/>
        <v>0.1</v>
      </c>
      <c r="J511" s="643"/>
      <c r="K511" s="24">
        <f t="shared" si="89"/>
        <v>1</v>
      </c>
      <c r="L511" s="643"/>
      <c r="M511" s="24">
        <f t="shared" si="90"/>
        <v>1</v>
      </c>
      <c r="N511" s="643"/>
      <c r="O511" s="24">
        <f t="shared" si="91"/>
        <v>1</v>
      </c>
      <c r="P511" s="643"/>
      <c r="Q511" s="24">
        <f t="shared" si="92"/>
        <v>1</v>
      </c>
      <c r="R511" s="24">
        <f t="shared" si="93"/>
        <v>0</v>
      </c>
      <c r="S511" s="314">
        <f t="shared" si="94"/>
        <v>0</v>
      </c>
    </row>
    <row r="512" spans="1:19">
      <c r="A512" s="147"/>
      <c r="B512" s="55"/>
      <c r="C512" s="24">
        <f t="shared" si="85"/>
        <v>1</v>
      </c>
      <c r="D512" s="643"/>
      <c r="E512" s="24">
        <f t="shared" si="86"/>
        <v>0</v>
      </c>
      <c r="F512" s="643"/>
      <c r="G512" s="24">
        <f t="shared" si="87"/>
        <v>0</v>
      </c>
      <c r="H512" s="643"/>
      <c r="I512" s="24">
        <f t="shared" si="88"/>
        <v>0.1</v>
      </c>
      <c r="J512" s="643"/>
      <c r="K512" s="24">
        <f t="shared" si="89"/>
        <v>1</v>
      </c>
      <c r="L512" s="643"/>
      <c r="M512" s="24">
        <f t="shared" si="90"/>
        <v>1</v>
      </c>
      <c r="N512" s="643"/>
      <c r="O512" s="24">
        <f t="shared" si="91"/>
        <v>1</v>
      </c>
      <c r="P512" s="643"/>
      <c r="Q512" s="24">
        <f t="shared" si="92"/>
        <v>1</v>
      </c>
      <c r="R512" s="24">
        <f t="shared" si="93"/>
        <v>0</v>
      </c>
      <c r="S512" s="314">
        <f t="shared" si="94"/>
        <v>0</v>
      </c>
    </row>
    <row r="513" spans="1:19">
      <c r="A513" s="147"/>
      <c r="B513" s="55"/>
      <c r="C513" s="24">
        <f t="shared" si="85"/>
        <v>1</v>
      </c>
      <c r="D513" s="643"/>
      <c r="E513" s="24">
        <f t="shared" si="86"/>
        <v>0</v>
      </c>
      <c r="F513" s="643"/>
      <c r="G513" s="24">
        <f t="shared" si="87"/>
        <v>0</v>
      </c>
      <c r="H513" s="643"/>
      <c r="I513" s="24">
        <f t="shared" si="88"/>
        <v>0.1</v>
      </c>
      <c r="J513" s="643"/>
      <c r="K513" s="24">
        <f t="shared" si="89"/>
        <v>1</v>
      </c>
      <c r="L513" s="643"/>
      <c r="M513" s="24">
        <f t="shared" si="90"/>
        <v>1</v>
      </c>
      <c r="N513" s="643"/>
      <c r="O513" s="24">
        <f t="shared" si="91"/>
        <v>1</v>
      </c>
      <c r="P513" s="643"/>
      <c r="Q513" s="24">
        <f t="shared" si="92"/>
        <v>1</v>
      </c>
      <c r="R513" s="24">
        <f t="shared" si="93"/>
        <v>0</v>
      </c>
      <c r="S513" s="314">
        <f t="shared" si="94"/>
        <v>0</v>
      </c>
    </row>
    <row r="514" spans="1:19">
      <c r="A514" s="147"/>
      <c r="B514" s="55"/>
      <c r="C514" s="24">
        <f t="shared" si="85"/>
        <v>1</v>
      </c>
      <c r="D514" s="643"/>
      <c r="E514" s="24">
        <f t="shared" si="86"/>
        <v>0</v>
      </c>
      <c r="F514" s="643"/>
      <c r="G514" s="24">
        <f t="shared" si="87"/>
        <v>0</v>
      </c>
      <c r="H514" s="643"/>
      <c r="I514" s="24">
        <f t="shared" si="88"/>
        <v>0.1</v>
      </c>
      <c r="J514" s="643"/>
      <c r="K514" s="24">
        <f t="shared" si="89"/>
        <v>1</v>
      </c>
      <c r="L514" s="643"/>
      <c r="M514" s="24">
        <f t="shared" si="90"/>
        <v>1</v>
      </c>
      <c r="N514" s="643"/>
      <c r="O514" s="24">
        <f t="shared" si="91"/>
        <v>1</v>
      </c>
      <c r="P514" s="643"/>
      <c r="Q514" s="24">
        <f t="shared" si="92"/>
        <v>1</v>
      </c>
      <c r="R514" s="24">
        <f t="shared" si="93"/>
        <v>0</v>
      </c>
      <c r="S514" s="314">
        <f t="shared" si="94"/>
        <v>0</v>
      </c>
    </row>
    <row r="515" spans="1:19">
      <c r="A515" s="147"/>
      <c r="B515" s="55"/>
      <c r="C515" s="24">
        <f t="shared" si="85"/>
        <v>1</v>
      </c>
      <c r="D515" s="643"/>
      <c r="E515" s="24">
        <f t="shared" si="86"/>
        <v>0</v>
      </c>
      <c r="F515" s="643"/>
      <c r="G515" s="24">
        <f t="shared" si="87"/>
        <v>0</v>
      </c>
      <c r="H515" s="643"/>
      <c r="I515" s="24">
        <f t="shared" si="88"/>
        <v>0.1</v>
      </c>
      <c r="J515" s="643"/>
      <c r="K515" s="24">
        <f t="shared" si="89"/>
        <v>1</v>
      </c>
      <c r="L515" s="643"/>
      <c r="M515" s="24">
        <f t="shared" si="90"/>
        <v>1</v>
      </c>
      <c r="N515" s="643"/>
      <c r="O515" s="24">
        <f t="shared" si="91"/>
        <v>1</v>
      </c>
      <c r="P515" s="643"/>
      <c r="Q515" s="24">
        <f t="shared" si="92"/>
        <v>1</v>
      </c>
      <c r="R515" s="24">
        <f t="shared" si="93"/>
        <v>0</v>
      </c>
      <c r="S515" s="314">
        <f t="shared" si="94"/>
        <v>0</v>
      </c>
    </row>
    <row r="516" spans="1:19">
      <c r="A516" s="147"/>
      <c r="B516" s="55"/>
      <c r="C516" s="24">
        <f t="shared" si="85"/>
        <v>1</v>
      </c>
      <c r="D516" s="643"/>
      <c r="E516" s="24">
        <f t="shared" si="86"/>
        <v>0</v>
      </c>
      <c r="F516" s="643"/>
      <c r="G516" s="24">
        <f t="shared" si="87"/>
        <v>0</v>
      </c>
      <c r="H516" s="643"/>
      <c r="I516" s="24">
        <f t="shared" si="88"/>
        <v>0.1</v>
      </c>
      <c r="J516" s="643"/>
      <c r="K516" s="24">
        <f t="shared" si="89"/>
        <v>1</v>
      </c>
      <c r="L516" s="643"/>
      <c r="M516" s="24">
        <f t="shared" si="90"/>
        <v>1</v>
      </c>
      <c r="N516" s="643"/>
      <c r="O516" s="24">
        <f t="shared" si="91"/>
        <v>1</v>
      </c>
      <c r="P516" s="643"/>
      <c r="Q516" s="24">
        <f t="shared" si="92"/>
        <v>1</v>
      </c>
      <c r="R516" s="24">
        <f t="shared" si="93"/>
        <v>0</v>
      </c>
      <c r="S516" s="314">
        <f t="shared" si="94"/>
        <v>0</v>
      </c>
    </row>
    <row r="517" spans="1:19">
      <c r="A517" s="147"/>
      <c r="B517" s="55"/>
      <c r="C517" s="24">
        <f t="shared" si="85"/>
        <v>1</v>
      </c>
      <c r="D517" s="643"/>
      <c r="E517" s="24">
        <f t="shared" si="86"/>
        <v>0</v>
      </c>
      <c r="F517" s="643"/>
      <c r="G517" s="24">
        <f t="shared" si="87"/>
        <v>0</v>
      </c>
      <c r="H517" s="643"/>
      <c r="I517" s="24">
        <f t="shared" si="88"/>
        <v>0.1</v>
      </c>
      <c r="J517" s="643"/>
      <c r="K517" s="24">
        <f t="shared" si="89"/>
        <v>1</v>
      </c>
      <c r="L517" s="643"/>
      <c r="M517" s="24">
        <f t="shared" si="90"/>
        <v>1</v>
      </c>
      <c r="N517" s="643"/>
      <c r="O517" s="24">
        <f t="shared" si="91"/>
        <v>1</v>
      </c>
      <c r="P517" s="643"/>
      <c r="Q517" s="24">
        <f t="shared" si="92"/>
        <v>1</v>
      </c>
      <c r="R517" s="24">
        <f t="shared" si="93"/>
        <v>0</v>
      </c>
      <c r="S517" s="314">
        <f t="shared" si="94"/>
        <v>0</v>
      </c>
    </row>
    <row r="518" spans="1:19">
      <c r="A518" s="147"/>
      <c r="B518" s="55"/>
      <c r="C518" s="24">
        <f t="shared" si="85"/>
        <v>1</v>
      </c>
      <c r="D518" s="643"/>
      <c r="E518" s="24">
        <f t="shared" si="86"/>
        <v>0</v>
      </c>
      <c r="F518" s="643"/>
      <c r="G518" s="24">
        <f t="shared" si="87"/>
        <v>0</v>
      </c>
      <c r="H518" s="643"/>
      <c r="I518" s="24">
        <f t="shared" si="88"/>
        <v>0.1</v>
      </c>
      <c r="J518" s="643"/>
      <c r="K518" s="24">
        <f t="shared" si="89"/>
        <v>1</v>
      </c>
      <c r="L518" s="643"/>
      <c r="M518" s="24">
        <f t="shared" si="90"/>
        <v>1</v>
      </c>
      <c r="N518" s="643"/>
      <c r="O518" s="24">
        <f t="shared" si="91"/>
        <v>1</v>
      </c>
      <c r="P518" s="643"/>
      <c r="Q518" s="24">
        <f t="shared" si="92"/>
        <v>1</v>
      </c>
      <c r="R518" s="24">
        <f t="shared" si="93"/>
        <v>0</v>
      </c>
      <c r="S518" s="314">
        <f t="shared" si="94"/>
        <v>0</v>
      </c>
    </row>
    <row r="519" spans="1:19">
      <c r="A519" s="147"/>
      <c r="B519" s="55"/>
      <c r="C519" s="24">
        <f t="shared" si="85"/>
        <v>1</v>
      </c>
      <c r="D519" s="643"/>
      <c r="E519" s="24">
        <f t="shared" si="86"/>
        <v>0</v>
      </c>
      <c r="F519" s="643"/>
      <c r="G519" s="24">
        <f t="shared" si="87"/>
        <v>0</v>
      </c>
      <c r="H519" s="643"/>
      <c r="I519" s="24">
        <f t="shared" si="88"/>
        <v>0.1</v>
      </c>
      <c r="J519" s="643"/>
      <c r="K519" s="24">
        <f t="shared" si="89"/>
        <v>1</v>
      </c>
      <c r="L519" s="643"/>
      <c r="M519" s="24">
        <f t="shared" si="90"/>
        <v>1</v>
      </c>
      <c r="N519" s="643"/>
      <c r="O519" s="24">
        <f t="shared" si="91"/>
        <v>1</v>
      </c>
      <c r="P519" s="643"/>
      <c r="Q519" s="24">
        <f t="shared" si="92"/>
        <v>1</v>
      </c>
      <c r="R519" s="24">
        <f t="shared" si="93"/>
        <v>0</v>
      </c>
      <c r="S519" s="314">
        <f t="shared" si="94"/>
        <v>0</v>
      </c>
    </row>
    <row r="520" spans="1:19">
      <c r="A520" s="147"/>
      <c r="B520" s="55"/>
      <c r="C520" s="24">
        <f t="shared" si="85"/>
        <v>1</v>
      </c>
      <c r="D520" s="643"/>
      <c r="E520" s="24">
        <f t="shared" si="86"/>
        <v>0</v>
      </c>
      <c r="F520" s="643"/>
      <c r="G520" s="24">
        <f t="shared" si="87"/>
        <v>0</v>
      </c>
      <c r="H520" s="643"/>
      <c r="I520" s="24">
        <f t="shared" si="88"/>
        <v>0.1</v>
      </c>
      <c r="J520" s="643"/>
      <c r="K520" s="24">
        <f t="shared" si="89"/>
        <v>1</v>
      </c>
      <c r="L520" s="643"/>
      <c r="M520" s="24">
        <f t="shared" si="90"/>
        <v>1</v>
      </c>
      <c r="N520" s="643"/>
      <c r="O520" s="24">
        <f t="shared" si="91"/>
        <v>1</v>
      </c>
      <c r="P520" s="643"/>
      <c r="Q520" s="24">
        <f t="shared" si="92"/>
        <v>1</v>
      </c>
      <c r="R520" s="24">
        <f t="shared" si="93"/>
        <v>0</v>
      </c>
      <c r="S520" s="314">
        <f t="shared" si="94"/>
        <v>0</v>
      </c>
    </row>
    <row r="521" spans="1:19">
      <c r="A521" s="147"/>
      <c r="B521" s="55"/>
      <c r="C521" s="24">
        <f t="shared" si="85"/>
        <v>1</v>
      </c>
      <c r="D521" s="643"/>
      <c r="E521" s="24">
        <f t="shared" si="86"/>
        <v>0</v>
      </c>
      <c r="F521" s="643"/>
      <c r="G521" s="24">
        <f t="shared" si="87"/>
        <v>0</v>
      </c>
      <c r="H521" s="643"/>
      <c r="I521" s="24">
        <f t="shared" si="88"/>
        <v>0.1</v>
      </c>
      <c r="J521" s="643"/>
      <c r="K521" s="24">
        <f t="shared" si="89"/>
        <v>1</v>
      </c>
      <c r="L521" s="643"/>
      <c r="M521" s="24">
        <f t="shared" si="90"/>
        <v>1</v>
      </c>
      <c r="N521" s="643"/>
      <c r="O521" s="24">
        <f t="shared" si="91"/>
        <v>1</v>
      </c>
      <c r="P521" s="643"/>
      <c r="Q521" s="24">
        <f t="shared" si="92"/>
        <v>1</v>
      </c>
      <c r="R521" s="24">
        <f t="shared" si="93"/>
        <v>0</v>
      </c>
      <c r="S521" s="314">
        <f t="shared" si="94"/>
        <v>0</v>
      </c>
    </row>
    <row r="522" spans="1:19">
      <c r="A522" s="147"/>
      <c r="B522" s="55"/>
      <c r="C522" s="24">
        <f t="shared" si="85"/>
        <v>1</v>
      </c>
      <c r="D522" s="643"/>
      <c r="E522" s="24">
        <f t="shared" si="86"/>
        <v>0</v>
      </c>
      <c r="F522" s="643"/>
      <c r="G522" s="24">
        <f t="shared" si="87"/>
        <v>0</v>
      </c>
      <c r="H522" s="643"/>
      <c r="I522" s="24">
        <f t="shared" si="88"/>
        <v>0.1</v>
      </c>
      <c r="J522" s="643"/>
      <c r="K522" s="24">
        <f t="shared" si="89"/>
        <v>1</v>
      </c>
      <c r="L522" s="643"/>
      <c r="M522" s="24">
        <f t="shared" si="90"/>
        <v>1</v>
      </c>
      <c r="N522" s="643"/>
      <c r="O522" s="24">
        <f t="shared" si="91"/>
        <v>1</v>
      </c>
      <c r="P522" s="643"/>
      <c r="Q522" s="24">
        <f t="shared" si="92"/>
        <v>1</v>
      </c>
      <c r="R522" s="24">
        <f t="shared" si="93"/>
        <v>0</v>
      </c>
      <c r="S522" s="314">
        <f t="shared" si="94"/>
        <v>0</v>
      </c>
    </row>
    <row r="523" spans="1:19">
      <c r="A523" s="147"/>
      <c r="B523" s="55"/>
      <c r="C523" s="24">
        <f t="shared" si="85"/>
        <v>1</v>
      </c>
      <c r="D523" s="643"/>
      <c r="E523" s="24">
        <f t="shared" si="86"/>
        <v>0</v>
      </c>
      <c r="F523" s="643"/>
      <c r="G523" s="24">
        <f t="shared" si="87"/>
        <v>0</v>
      </c>
      <c r="H523" s="643"/>
      <c r="I523" s="24">
        <f t="shared" si="88"/>
        <v>0.1</v>
      </c>
      <c r="J523" s="643"/>
      <c r="K523" s="24">
        <f t="shared" si="89"/>
        <v>1</v>
      </c>
      <c r="L523" s="643"/>
      <c r="M523" s="24">
        <f t="shared" si="90"/>
        <v>1</v>
      </c>
      <c r="N523" s="643"/>
      <c r="O523" s="24">
        <f t="shared" si="91"/>
        <v>1</v>
      </c>
      <c r="P523" s="643"/>
      <c r="Q523" s="24">
        <f t="shared" si="92"/>
        <v>1</v>
      </c>
      <c r="R523" s="24">
        <f t="shared" si="93"/>
        <v>0</v>
      </c>
      <c r="S523" s="314">
        <f t="shared" si="94"/>
        <v>0</v>
      </c>
    </row>
    <row r="524" spans="1:19">
      <c r="A524" s="147"/>
      <c r="B524" s="55"/>
      <c r="C524" s="24">
        <f t="shared" si="85"/>
        <v>1</v>
      </c>
      <c r="D524" s="643"/>
      <c r="E524" s="24">
        <f t="shared" si="86"/>
        <v>0</v>
      </c>
      <c r="F524" s="643"/>
      <c r="G524" s="24">
        <f t="shared" si="87"/>
        <v>0</v>
      </c>
      <c r="H524" s="643"/>
      <c r="I524" s="24">
        <f t="shared" si="88"/>
        <v>0.1</v>
      </c>
      <c r="J524" s="643"/>
      <c r="K524" s="24">
        <f t="shared" si="89"/>
        <v>1</v>
      </c>
      <c r="L524" s="643"/>
      <c r="M524" s="24">
        <f t="shared" si="90"/>
        <v>1</v>
      </c>
      <c r="N524" s="643"/>
      <c r="O524" s="24">
        <f t="shared" si="91"/>
        <v>1</v>
      </c>
      <c r="P524" s="643"/>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30166</v>
      </c>
      <c r="C2" s="2" t="s">
        <v>133</v>
      </c>
      <c r="D2" s="197"/>
      <c r="E2" s="197"/>
      <c r="F2" s="197"/>
      <c r="G2" s="197"/>
    </row>
    <row r="3" spans="1:7" s="198" customFormat="1" ht="18" customHeight="1" thickBot="1">
      <c r="A3" s="201" t="s">
        <v>85</v>
      </c>
      <c r="B3" s="202">
        <f ca="1">ROUND(B2*10000/'数据-汇总表'!E3,0)</f>
        <v>4339183</v>
      </c>
      <c r="C3" s="2" t="s">
        <v>134</v>
      </c>
      <c r="D3" s="197"/>
      <c r="E3" s="197"/>
      <c r="F3" s="197"/>
      <c r="G3" s="197"/>
    </row>
    <row r="4" spans="1:7" s="206" customFormat="1" ht="15.75">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3" t="s">
        <v>791</v>
      </c>
      <c r="B6" s="213" t="s">
        <v>91</v>
      </c>
      <c r="C6" s="214">
        <v>20000</v>
      </c>
      <c r="D6" s="215"/>
      <c r="E6" s="216"/>
      <c r="F6" s="216"/>
      <c r="G6" s="217"/>
    </row>
    <row r="7" spans="1:7" s="212" customFormat="1" ht="13.5" customHeight="1">
      <c r="A7" s="833" t="s">
        <v>792</v>
      </c>
      <c r="B7" s="213" t="s">
        <v>57</v>
      </c>
      <c r="C7" s="218">
        <f>ROUND(C6*F7,0)</f>
        <v>610</v>
      </c>
      <c r="D7" s="218"/>
      <c r="E7" s="216"/>
      <c r="F7" s="219">
        <f>'数据-取费表'!B48+'数据-取费表'!B49</f>
        <v>3.0499999999999999E-2</v>
      </c>
      <c r="G7" s="217"/>
    </row>
    <row r="8" spans="1:7" s="221" customFormat="1">
      <c r="A8" s="833" t="s">
        <v>793</v>
      </c>
      <c r="B8" s="213" t="s">
        <v>92</v>
      </c>
      <c r="C8" s="218" t="str">
        <f>IF(G8="已包含在土地购买价格中","0",'数据-取费表'!B29)</f>
        <v>0</v>
      </c>
      <c r="D8" s="220"/>
      <c r="E8" s="218"/>
      <c r="F8" s="219"/>
      <c r="G8" s="1" t="s">
        <v>1057</v>
      </c>
    </row>
    <row r="9" spans="1:7" s="212" customFormat="1" ht="13.5" customHeight="1">
      <c r="A9" s="834" t="s">
        <v>800</v>
      </c>
      <c r="B9" s="222" t="s">
        <v>93</v>
      </c>
      <c r="C9" s="223">
        <f>ROUND(D9*E9/10000,0)</f>
        <v>1</v>
      </c>
      <c r="D9" s="897">
        <f>'数据-汇总表'!E5</f>
        <v>69.52</v>
      </c>
      <c r="E9" s="223">
        <f>'数据-取费表'!B27</f>
        <v>160</v>
      </c>
      <c r="F9" s="219"/>
      <c r="G9" s="224"/>
    </row>
    <row r="10" spans="1:7" s="212" customFormat="1" ht="13.5" customHeight="1">
      <c r="A10" s="834" t="s">
        <v>801</v>
      </c>
      <c r="B10" s="222" t="s">
        <v>94</v>
      </c>
      <c r="C10" s="223">
        <f>ROUND(D10*E10/10000,0)</f>
        <v>0</v>
      </c>
      <c r="D10" s="897">
        <f>'数据-汇总表'!E6</f>
        <v>0</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2" t="s">
        <v>1023</v>
      </c>
      <c r="B19" s="208" t="s">
        <v>111</v>
      </c>
      <c r="C19" s="209">
        <f>IF(G19="已包含在土地取得成本中","0",ROUND(D19*E19/10000,0))</f>
        <v>1</v>
      </c>
      <c r="D19" s="210">
        <f>'数据-汇总表'!E3</f>
        <v>69.52</v>
      </c>
      <c r="E19" s="209">
        <f>'数据-取费表'!B31</f>
        <v>200</v>
      </c>
      <c r="F19" s="229"/>
      <c r="G19" s="1" t="s">
        <v>1042</v>
      </c>
    </row>
    <row r="20" spans="1:7" s="212" customFormat="1" ht="13.5" customHeight="1">
      <c r="A20" s="832" t="s">
        <v>1025</v>
      </c>
      <c r="B20" s="208" t="s">
        <v>104</v>
      </c>
      <c r="C20" s="230">
        <f>ROUND((C5+C19)*F20,0)</f>
        <v>618</v>
      </c>
      <c r="D20" s="230"/>
      <c r="E20" s="230"/>
      <c r="F20" s="231">
        <f>'数据-取费表'!B37</f>
        <v>0.03</v>
      </c>
      <c r="G20" s="1129" t="s">
        <v>1036</v>
      </c>
    </row>
    <row r="21" spans="1:7" s="212" customFormat="1" ht="13.5" customHeight="1">
      <c r="A21" s="832" t="s">
        <v>1027</v>
      </c>
      <c r="B21" s="208" t="s">
        <v>105</v>
      </c>
      <c r="C21" s="233">
        <f>F21</f>
        <v>0.03</v>
      </c>
      <c r="D21" s="234" t="s">
        <v>126</v>
      </c>
      <c r="E21" s="230"/>
      <c r="F21" s="231">
        <f>'数据-取费表'!B38</f>
        <v>0.03</v>
      </c>
      <c r="G21" s="232" t="s">
        <v>106</v>
      </c>
    </row>
    <row r="22" spans="1:7" s="212" customFormat="1" ht="13.5" customHeight="1">
      <c r="A22" s="832" t="s">
        <v>786</v>
      </c>
      <c r="B22" s="208" t="s">
        <v>107</v>
      </c>
      <c r="C22" s="1166">
        <f ca="1">ROUND(SUM(C23:C25),0)</f>
        <v>1958</v>
      </c>
      <c r="D22" s="233">
        <f ca="1">C26</f>
        <v>1.4E-3</v>
      </c>
      <c r="E22" s="234" t="s">
        <v>126</v>
      </c>
      <c r="F22" s="235">
        <f ca="1">'数据-取费表'!B40</f>
        <v>6.1500000000000006E-2</v>
      </c>
      <c r="G22" s="1129" t="str">
        <f>IF('数据-取费表'!B22&lt;=1,"单利计息","复利计息")</f>
        <v>复利计息</v>
      </c>
    </row>
    <row r="23" spans="1:7" s="212" customFormat="1" ht="13.5" customHeight="1">
      <c r="A23" s="835" t="s">
        <v>794</v>
      </c>
      <c r="B23" s="213" t="s">
        <v>1029</v>
      </c>
      <c r="C23" s="1167">
        <f ca="1">ROUND(IF('数据-取费表'!B22&lt;=1,C5*F22*'数据-取费表'!B23,C5*(POWER((1+F22),'数据-取费表'!B23)-1)),0)</f>
        <v>1930</v>
      </c>
      <c r="D23" s="236"/>
      <c r="E23" s="236"/>
      <c r="F23" s="237"/>
      <c r="G23" s="238" t="s">
        <v>108</v>
      </c>
    </row>
    <row r="24" spans="1:7" s="212" customFormat="1" ht="13.5" customHeight="1">
      <c r="A24" s="835" t="s">
        <v>792</v>
      </c>
      <c r="B24" s="213" t="s">
        <v>1024</v>
      </c>
      <c r="C24" s="1167">
        <f ca="1">ROUND(IF('数据-取费表'!B22&lt;=1,C19*F22*('数据-取费表'!B19/2+'数据-取费表'!B21),C19*(POWER((1+F22),('数据-取费表'!B19/2+'数据-取费表'!B21))-1)),0)</f>
        <v>0</v>
      </c>
      <c r="D24" s="236"/>
      <c r="E24" s="236"/>
      <c r="F24" s="237"/>
      <c r="G24" s="238" t="s">
        <v>109</v>
      </c>
    </row>
    <row r="25" spans="1:7" s="212" customFormat="1" ht="24">
      <c r="A25" s="835" t="s">
        <v>793</v>
      </c>
      <c r="B25" s="213" t="s">
        <v>1026</v>
      </c>
      <c r="C25" s="1167">
        <f ca="1">ROUND(IF('数据-取费表'!B22&lt;=1,C20*F22*'数据-取费表'!B23/2,C20*(POWER((1+F22),'数据-取费表'!B23/2)-1)),0)</f>
        <v>28</v>
      </c>
      <c r="D25" s="236"/>
      <c r="E25" s="239"/>
      <c r="F25" s="237"/>
      <c r="G25" s="240" t="s">
        <v>110</v>
      </c>
    </row>
    <row r="26" spans="1:7" s="212" customFormat="1">
      <c r="A26" s="835" t="s">
        <v>795</v>
      </c>
      <c r="B26" s="213" t="s">
        <v>1028</v>
      </c>
      <c r="C26" s="236">
        <f ca="1">ROUND(IF('数据-取费表'!B22&lt;=1,F21*F22*'数据-取费表'!B23/2,F21*(POWER((1+F22),'数据-取费表'!B23/2)-1)),4)</f>
        <v>1.4E-3</v>
      </c>
      <c r="D26" s="236"/>
      <c r="E26" s="239"/>
      <c r="F26" s="237"/>
      <c r="G26" s="241"/>
    </row>
    <row r="27" spans="1:7" s="212" customFormat="1" ht="24.75">
      <c r="A27" s="832" t="s">
        <v>787</v>
      </c>
      <c r="B27" s="242" t="s">
        <v>112</v>
      </c>
      <c r="C27" s="243">
        <f>C28</f>
        <v>4246</v>
      </c>
      <c r="D27" s="233">
        <f>C29</f>
        <v>6.0000000000000001E-3</v>
      </c>
      <c r="E27" s="234" t="s">
        <v>126</v>
      </c>
      <c r="F27" s="244">
        <f>'数据-取费表'!Q16</f>
        <v>0.2</v>
      </c>
      <c r="G27" s="245" t="s">
        <v>1037</v>
      </c>
    </row>
    <row r="28" spans="1:7" s="212" customFormat="1" ht="13.5" customHeight="1">
      <c r="A28" s="835" t="s">
        <v>794</v>
      </c>
      <c r="B28" s="246" t="s">
        <v>1030</v>
      </c>
      <c r="C28" s="247">
        <f>ROUND((C5+C19+C20)*F27*'数据-取费表'!B21/'数据-取费表'!B20,0)</f>
        <v>4246</v>
      </c>
      <c r="D28" s="233"/>
      <c r="E28" s="234"/>
      <c r="F28" s="244"/>
      <c r="G28" s="245"/>
    </row>
    <row r="29" spans="1:7" s="212" customFormat="1" ht="13.5" customHeight="1">
      <c r="A29" s="835" t="s">
        <v>792</v>
      </c>
      <c r="B29" s="246" t="s">
        <v>1031</v>
      </c>
      <c r="C29" s="236">
        <f>ROUND(C21*F27*'数据-取费表'!B21/'数据-取费表'!B20,4)</f>
        <v>6.0000000000000001E-3</v>
      </c>
      <c r="D29" s="233"/>
      <c r="E29" s="234"/>
      <c r="F29" s="244"/>
      <c r="G29" s="245"/>
    </row>
    <row r="30" spans="1:7" s="212" customFormat="1" ht="13.5" customHeight="1">
      <c r="A30" s="832" t="s">
        <v>788</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30139</v>
      </c>
      <c r="D31" s="228"/>
      <c r="E31" s="209"/>
      <c r="F31" s="248"/>
      <c r="G31" s="232" t="s">
        <v>1038</v>
      </c>
    </row>
    <row r="32" spans="1:7" s="206" customFormat="1" ht="15.75">
      <c r="A32" s="250" t="s">
        <v>114</v>
      </c>
      <c r="B32" s="251"/>
      <c r="C32" s="251"/>
      <c r="D32" s="251"/>
      <c r="E32" s="251"/>
      <c r="F32" s="251"/>
      <c r="G32" s="252"/>
    </row>
    <row r="33" spans="1:7" s="212" customFormat="1" ht="13.5" customHeight="1">
      <c r="A33" s="253" t="s">
        <v>782</v>
      </c>
      <c r="B33" s="208" t="s">
        <v>115</v>
      </c>
      <c r="C33" s="254">
        <f>SUM(C34:C38)</f>
        <v>26</v>
      </c>
      <c r="D33" s="230"/>
      <c r="E33" s="210"/>
      <c r="F33" s="239"/>
      <c r="G33" s="232"/>
    </row>
    <row r="34" spans="1:7" s="256" customFormat="1" ht="13.5" customHeight="1">
      <c r="A34" s="835" t="s">
        <v>794</v>
      </c>
      <c r="B34" s="213" t="s">
        <v>59</v>
      </c>
      <c r="C34" s="218">
        <f>IF(F34=100%,'数据-取费表'!M16-SUMIF('数据-取费表'!C:C,"公共配套",'数据-取费表'!M:M),'数据-取费表'!O16-SUMIF('数据-取费表'!C:C,"公共配套",'数据-取费表'!O:O))</f>
        <v>24</v>
      </c>
      <c r="D34" s="215"/>
      <c r="E34" s="218"/>
      <c r="F34" s="255">
        <f>IF('数据-取费表'!B24=0,1,'数据-取费表'!N16)</f>
        <v>1</v>
      </c>
      <c r="G34" s="217" t="s">
        <v>116</v>
      </c>
    </row>
    <row r="35" spans="1:7" ht="13.5" customHeight="1">
      <c r="A35" s="835" t="s">
        <v>796</v>
      </c>
      <c r="B35" s="213" t="s">
        <v>60</v>
      </c>
      <c r="C35" s="218">
        <f>ROUND(C34*F35,0)</f>
        <v>1</v>
      </c>
      <c r="D35" s="218"/>
      <c r="E35" s="218"/>
      <c r="F35" s="257">
        <f>'数据-取费表'!B33</f>
        <v>0.03</v>
      </c>
      <c r="G35" s="217" t="s">
        <v>117</v>
      </c>
    </row>
    <row r="36" spans="1:7" ht="24">
      <c r="A36" s="835"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5" t="s">
        <v>798</v>
      </c>
      <c r="B37" s="213" t="s">
        <v>118</v>
      </c>
      <c r="C37" s="247">
        <f>ROUND(E37*D37*F34/10000,0)</f>
        <v>1</v>
      </c>
      <c r="D37" s="215">
        <f>'数据-汇总表'!E3</f>
        <v>69.52</v>
      </c>
      <c r="E37" s="247">
        <f>'数据-取费表'!B35</f>
        <v>200</v>
      </c>
      <c r="F37" s="257"/>
      <c r="G37" s="259" t="s">
        <v>119</v>
      </c>
    </row>
    <row r="38" spans="1:7" ht="13.5" customHeight="1">
      <c r="A38" s="835" t="s">
        <v>799</v>
      </c>
      <c r="B38" s="213" t="s">
        <v>63</v>
      </c>
      <c r="C38" s="218">
        <f>ROUND(C34*F38,0)</f>
        <v>0</v>
      </c>
      <c r="D38" s="218"/>
      <c r="E38" s="218"/>
      <c r="F38" s="257">
        <f>'数据-取费表'!B36</f>
        <v>1.4999999999999999E-2</v>
      </c>
      <c r="G38" s="217" t="s">
        <v>117</v>
      </c>
    </row>
    <row r="39" spans="1:7" s="212" customFormat="1" ht="13.5" customHeight="1">
      <c r="A39" s="832" t="s">
        <v>783</v>
      </c>
      <c r="B39" s="208" t="s">
        <v>104</v>
      </c>
      <c r="C39" s="230">
        <f>ROUND(C33*F20,0)</f>
        <v>1</v>
      </c>
      <c r="D39" s="230"/>
      <c r="E39" s="230"/>
      <c r="F39" s="231"/>
      <c r="G39" s="1129" t="s">
        <v>1039</v>
      </c>
    </row>
    <row r="40" spans="1:7" s="212" customFormat="1" ht="13.5" customHeight="1">
      <c r="A40" s="832" t="s">
        <v>784</v>
      </c>
      <c r="B40" s="208" t="s">
        <v>105</v>
      </c>
      <c r="C40" s="260">
        <f>F21</f>
        <v>0.03</v>
      </c>
      <c r="D40" s="234" t="s">
        <v>129</v>
      </c>
      <c r="E40" s="230"/>
      <c r="F40" s="231"/>
      <c r="G40" s="232" t="s">
        <v>120</v>
      </c>
    </row>
    <row r="41" spans="1:7" s="212" customFormat="1" ht="13.5" customHeight="1">
      <c r="A41" s="832" t="s">
        <v>785</v>
      </c>
      <c r="B41" s="208" t="s">
        <v>107</v>
      </c>
      <c r="C41" s="230">
        <f ca="1">ROUND(SUM(C42:C43),0)</f>
        <v>1</v>
      </c>
      <c r="D41" s="233">
        <f ca="1">C44</f>
        <v>1.4E-3</v>
      </c>
      <c r="E41" s="234" t="s">
        <v>129</v>
      </c>
      <c r="F41" s="235"/>
      <c r="G41" s="1129" t="str">
        <f>IF('数据-取费表'!B22&lt;=1,"单利计息","复利计息")</f>
        <v>复利计息</v>
      </c>
    </row>
    <row r="42" spans="1:7" ht="13.5" customHeight="1">
      <c r="A42" s="835" t="s">
        <v>794</v>
      </c>
      <c r="B42" s="213" t="s">
        <v>1029</v>
      </c>
      <c r="C42" s="236">
        <f ca="1">ROUND(IF('数据-取费表'!B22&lt;=1,C33*F22*'数据-取费表'!B21/2,C33*(POWER((1+F22),'数据-取费表'!B21/2)-1)),0)</f>
        <v>1</v>
      </c>
      <c r="D42" s="236"/>
      <c r="E42" s="236"/>
      <c r="F42" s="237"/>
      <c r="G42" s="3347" t="s">
        <v>121</v>
      </c>
    </row>
    <row r="43" spans="1:7" ht="13.5" customHeight="1">
      <c r="A43" s="835" t="s">
        <v>792</v>
      </c>
      <c r="B43" s="213" t="s">
        <v>1032</v>
      </c>
      <c r="C43" s="236">
        <f ca="1">ROUND(IF('数据-取费表'!B22&lt;=1,C39*F22*'数据-取费表'!B21/2,C39*(POWER((1+F22),'数据-取费表'!B21/2)-1)),0)</f>
        <v>0</v>
      </c>
      <c r="D43" s="236"/>
      <c r="E43" s="236"/>
      <c r="F43" s="237"/>
      <c r="G43" s="3348"/>
    </row>
    <row r="44" spans="1:7" ht="13.5" customHeight="1">
      <c r="A44" s="835" t="s">
        <v>793</v>
      </c>
      <c r="B44" s="213" t="s">
        <v>1034</v>
      </c>
      <c r="C44" s="236">
        <f ca="1">ROUND(IF('数据-取费表'!B22&lt;=1,C40*F22*'数据-取费表'!B21/2,C40*(POWER((1+F22),'数据-取费表'!B21/2)-1)),4)</f>
        <v>1.4E-3</v>
      </c>
      <c r="D44" s="236"/>
      <c r="E44" s="236"/>
      <c r="F44" s="237"/>
      <c r="G44" s="3349"/>
    </row>
    <row r="45" spans="1:7" s="212" customFormat="1" ht="13.5" customHeight="1">
      <c r="A45" s="832" t="s">
        <v>786</v>
      </c>
      <c r="B45" s="242" t="s">
        <v>112</v>
      </c>
      <c r="C45" s="243">
        <f>C46</f>
        <v>5</v>
      </c>
      <c r="D45" s="233">
        <f>C47</f>
        <v>6.0000000000000001E-3</v>
      </c>
      <c r="E45" s="234" t="s">
        <v>129</v>
      </c>
      <c r="F45" s="244"/>
      <c r="G45" s="245" t="s">
        <v>1040</v>
      </c>
    </row>
    <row r="46" spans="1:7" s="212" customFormat="1" ht="13.5" customHeight="1">
      <c r="A46" s="835" t="s">
        <v>794</v>
      </c>
      <c r="B46" s="246" t="s">
        <v>1033</v>
      </c>
      <c r="C46" s="247">
        <f>ROUND((C33+C39)*F27,0)</f>
        <v>5</v>
      </c>
      <c r="D46" s="261"/>
      <c r="E46" s="234"/>
      <c r="F46" s="244"/>
      <c r="G46" s="245"/>
    </row>
    <row r="47" spans="1:7" s="212" customFormat="1" ht="13.5" customHeight="1">
      <c r="A47" s="835" t="s">
        <v>792</v>
      </c>
      <c r="B47" s="246" t="s">
        <v>1035</v>
      </c>
      <c r="C47" s="236">
        <f>ROUND(C40*F27,4)</f>
        <v>6.0000000000000001E-3</v>
      </c>
      <c r="D47" s="261"/>
      <c r="E47" s="234"/>
      <c r="F47" s="244"/>
      <c r="G47" s="245"/>
    </row>
    <row r="48" spans="1:7" s="212" customFormat="1" ht="13.5" customHeight="1">
      <c r="A48" s="832" t="s">
        <v>787</v>
      </c>
      <c r="B48" s="208" t="s">
        <v>122</v>
      </c>
      <c r="C48" s="260">
        <f>F30</f>
        <v>5.5000000000000007E-2</v>
      </c>
      <c r="D48" s="234" t="s">
        <v>130</v>
      </c>
      <c r="E48" s="230"/>
      <c r="F48" s="235"/>
      <c r="G48" s="232" t="s">
        <v>123</v>
      </c>
    </row>
    <row r="49" spans="1:7" ht="16.5" customHeight="1">
      <c r="A49" s="832" t="s">
        <v>788</v>
      </c>
      <c r="B49" s="208" t="s">
        <v>131</v>
      </c>
      <c r="C49" s="230">
        <f ca="1">ROUND((C33+C39+C41+C45)/(1-C40-D41-D45-C48/(1+'数据-取费表'!B42)),0)</f>
        <v>36</v>
      </c>
      <c r="D49" s="230"/>
      <c r="E49" s="230"/>
      <c r="F49" s="262"/>
      <c r="G49" s="232" t="s">
        <v>1041</v>
      </c>
    </row>
    <row r="50" spans="1:7" s="256" customFormat="1" ht="24">
      <c r="A50" s="832" t="s">
        <v>789</v>
      </c>
      <c r="B50" s="208" t="s">
        <v>124</v>
      </c>
      <c r="C50" s="230"/>
      <c r="D50" s="230"/>
      <c r="E50" s="230"/>
      <c r="F50" s="262">
        <f>IF('数据-取费表'!B24=0,'数据-取费表'!N16,1)</f>
        <v>0.76</v>
      </c>
      <c r="G50" s="245" t="s">
        <v>125</v>
      </c>
    </row>
    <row r="51" spans="1:7" ht="16.5" customHeight="1">
      <c r="A51" s="832" t="s">
        <v>790</v>
      </c>
      <c r="B51" s="208" t="s">
        <v>132</v>
      </c>
      <c r="C51" s="230">
        <f ca="1">ROUND(C49*F50,0)</f>
        <v>27</v>
      </c>
      <c r="D51" s="230"/>
      <c r="E51" s="230"/>
      <c r="F51" s="262"/>
      <c r="G51" s="232" t="s">
        <v>64</v>
      </c>
    </row>
    <row r="52" spans="1:7" s="206" customFormat="1" ht="16.5" thickBot="1">
      <c r="A52" s="263" t="s">
        <v>65</v>
      </c>
      <c r="B52" s="264"/>
      <c r="C52" s="265">
        <f ca="1">C31+C51</f>
        <v>30166</v>
      </c>
      <c r="D52" s="264"/>
      <c r="E52" s="264"/>
      <c r="F52" s="264"/>
      <c r="G52" s="266"/>
    </row>
    <row r="55" spans="1:7" ht="15">
      <c r="B55" s="268" t="s">
        <v>66</v>
      </c>
      <c r="C55" s="269"/>
    </row>
    <row r="56" spans="1:7">
      <c r="B56" s="271" t="s">
        <v>67</v>
      </c>
      <c r="C56" s="272">
        <f ca="1">ROUND(C51/C52,3)</f>
        <v>1E-3</v>
      </c>
    </row>
    <row r="57" spans="1:7">
      <c r="B57" s="271" t="s">
        <v>68</v>
      </c>
      <c r="C57" s="273">
        <f ca="1">1-C56</f>
        <v>0.999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49" customWidth="1"/>
    <col min="2" max="5" width="10.25" style="708" customWidth="1"/>
    <col min="6" max="6" width="9" style="708"/>
    <col min="7" max="8" width="9" style="722"/>
    <col min="9" max="16384" width="9" style="708"/>
  </cols>
  <sheetData>
    <row r="1" spans="1:19">
      <c r="A1" s="3484" t="s">
        <v>156</v>
      </c>
      <c r="B1" s="3484"/>
      <c r="C1" s="3484"/>
      <c r="D1" s="3484"/>
      <c r="E1" s="3484"/>
      <c r="F1" s="3484"/>
      <c r="H1" s="724" t="s">
        <v>157</v>
      </c>
      <c r="I1" s="725" t="s">
        <v>158</v>
      </c>
      <c r="J1" s="725" t="s">
        <v>159</v>
      </c>
      <c r="K1" s="725" t="s">
        <v>160</v>
      </c>
      <c r="L1" s="725" t="s">
        <v>161</v>
      </c>
      <c r="M1" s="725" t="s">
        <v>162</v>
      </c>
      <c r="N1" s="725" t="s">
        <v>163</v>
      </c>
      <c r="O1" s="725" t="s">
        <v>164</v>
      </c>
      <c r="P1" s="725" t="s">
        <v>165</v>
      </c>
      <c r="Q1" s="725" t="s">
        <v>166</v>
      </c>
      <c r="R1" s="725" t="s">
        <v>167</v>
      </c>
      <c r="S1" s="726" t="s">
        <v>168</v>
      </c>
    </row>
    <row r="2" spans="1:19" ht="14.25" thickBot="1">
      <c r="A2" s="3485" t="s">
        <v>169</v>
      </c>
      <c r="B2" s="3485"/>
      <c r="C2" s="3485"/>
      <c r="D2" s="3485"/>
      <c r="E2" s="3485"/>
      <c r="F2" s="3485"/>
      <c r="H2" s="727" t="s">
        <v>170</v>
      </c>
      <c r="I2" s="728" t="s">
        <v>171</v>
      </c>
      <c r="J2" s="728" t="s">
        <v>172</v>
      </c>
      <c r="K2" s="728" t="s">
        <v>173</v>
      </c>
      <c r="L2" s="728" t="s">
        <v>174</v>
      </c>
      <c r="M2" s="728" t="s">
        <v>175</v>
      </c>
      <c r="N2" s="728" t="s">
        <v>176</v>
      </c>
      <c r="O2" s="728" t="s">
        <v>177</v>
      </c>
      <c r="P2" s="728" t="s">
        <v>178</v>
      </c>
      <c r="Q2" s="728" t="s">
        <v>179</v>
      </c>
      <c r="R2" s="728" t="s">
        <v>180</v>
      </c>
      <c r="S2" s="728" t="s">
        <v>181</v>
      </c>
    </row>
    <row r="3" spans="1:19" s="723" customFormat="1" ht="19.5" customHeight="1">
      <c r="A3" s="3486" t="s">
        <v>182</v>
      </c>
      <c r="B3" s="729"/>
      <c r="C3" s="730" t="s">
        <v>183</v>
      </c>
      <c r="D3" s="730" t="s">
        <v>184</v>
      </c>
      <c r="E3" s="730" t="s">
        <v>751</v>
      </c>
      <c r="F3" s="730" t="s">
        <v>186</v>
      </c>
      <c r="G3" s="731"/>
      <c r="H3" s="727" t="s">
        <v>187</v>
      </c>
      <c r="I3" s="728" t="s">
        <v>188</v>
      </c>
      <c r="J3" s="728" t="s">
        <v>189</v>
      </c>
      <c r="K3" s="728" t="s">
        <v>190</v>
      </c>
      <c r="L3" s="728" t="s">
        <v>191</v>
      </c>
      <c r="M3" s="728" t="s">
        <v>192</v>
      </c>
      <c r="N3" s="728" t="s">
        <v>193</v>
      </c>
      <c r="O3" s="728" t="s">
        <v>194</v>
      </c>
      <c r="P3" s="728" t="s">
        <v>195</v>
      </c>
      <c r="Q3" s="728" t="s">
        <v>196</v>
      </c>
      <c r="R3" s="728" t="s">
        <v>197</v>
      </c>
      <c r="S3" s="728" t="s">
        <v>198</v>
      </c>
    </row>
    <row r="4" spans="1:19" s="723" customFormat="1" ht="19.5" customHeight="1" thickBot="1">
      <c r="A4" s="3487"/>
      <c r="B4" s="732" t="s">
        <v>199</v>
      </c>
      <c r="C4" s="732" t="s">
        <v>200</v>
      </c>
      <c r="D4" s="732" t="s">
        <v>200</v>
      </c>
      <c r="E4" s="732" t="s">
        <v>200</v>
      </c>
      <c r="F4" s="733" t="s">
        <v>200</v>
      </c>
      <c r="G4" s="731"/>
      <c r="H4" s="727" t="s">
        <v>201</v>
      </c>
      <c r="I4" s="728" t="s">
        <v>138</v>
      </c>
      <c r="J4" s="728" t="s">
        <v>202</v>
      </c>
      <c r="K4" s="728" t="s">
        <v>203</v>
      </c>
      <c r="L4" s="728" t="s">
        <v>204</v>
      </c>
      <c r="M4" s="728" t="s">
        <v>205</v>
      </c>
      <c r="N4" s="728" t="s">
        <v>206</v>
      </c>
      <c r="O4" s="728" t="s">
        <v>207</v>
      </c>
      <c r="P4" s="728" t="s">
        <v>208</v>
      </c>
      <c r="Q4" s="728" t="s">
        <v>209</v>
      </c>
      <c r="R4" s="728" t="s">
        <v>210</v>
      </c>
      <c r="S4" s="728" t="s">
        <v>211</v>
      </c>
    </row>
    <row r="5" spans="1:19" ht="14.25" customHeight="1" thickBot="1">
      <c r="A5" s="734" t="s">
        <v>816</v>
      </c>
      <c r="B5" s="735" t="s">
        <v>817</v>
      </c>
      <c r="C5" s="735">
        <v>29530</v>
      </c>
      <c r="D5" s="735">
        <v>28130</v>
      </c>
      <c r="E5" s="735">
        <v>27930</v>
      </c>
      <c r="F5" s="736">
        <v>11300</v>
      </c>
      <c r="G5" s="731"/>
      <c r="H5" s="727" t="s">
        <v>213</v>
      </c>
      <c r="I5" s="728" t="s">
        <v>214</v>
      </c>
      <c r="J5" s="728" t="s">
        <v>215</v>
      </c>
      <c r="K5" s="728" t="s">
        <v>216</v>
      </c>
      <c r="L5" s="728" t="s">
        <v>217</v>
      </c>
      <c r="M5" s="728" t="s">
        <v>218</v>
      </c>
      <c r="N5" s="728" t="s">
        <v>219</v>
      </c>
      <c r="O5" s="728" t="s">
        <v>220</v>
      </c>
      <c r="P5" s="728" t="s">
        <v>221</v>
      </c>
      <c r="Q5" s="728" t="s">
        <v>222</v>
      </c>
      <c r="R5" s="728" t="s">
        <v>223</v>
      </c>
      <c r="S5" s="728" t="s">
        <v>224</v>
      </c>
    </row>
    <row r="6" spans="1:19" ht="14.25" customHeight="1" thickBot="1">
      <c r="A6" s="734" t="s">
        <v>212</v>
      </c>
      <c r="B6" s="728" t="s">
        <v>187</v>
      </c>
      <c r="C6" s="728">
        <v>30290</v>
      </c>
      <c r="D6" s="728">
        <v>29210</v>
      </c>
      <c r="E6" s="728">
        <v>28860</v>
      </c>
      <c r="F6" s="737">
        <v>12600</v>
      </c>
      <c r="G6" s="731"/>
      <c r="H6" s="727" t="s">
        <v>225</v>
      </c>
      <c r="I6" s="728" t="s">
        <v>226</v>
      </c>
      <c r="J6" s="728" t="s">
        <v>227</v>
      </c>
      <c r="K6" s="728" t="s">
        <v>228</v>
      </c>
      <c r="L6" s="728" t="s">
        <v>229</v>
      </c>
      <c r="M6" s="728" t="s">
        <v>230</v>
      </c>
      <c r="N6" s="728" t="s">
        <v>231</v>
      </c>
      <c r="O6" s="728" t="s">
        <v>232</v>
      </c>
      <c r="P6" s="728" t="s">
        <v>233</v>
      </c>
      <c r="Q6" s="728" t="s">
        <v>234</v>
      </c>
      <c r="R6" s="728" t="s">
        <v>235</v>
      </c>
      <c r="S6" s="728" t="s">
        <v>236</v>
      </c>
    </row>
    <row r="7" spans="1:19" ht="14.25" customHeight="1" thickBot="1">
      <c r="A7" s="734" t="s">
        <v>212</v>
      </c>
      <c r="B7" s="738" t="s">
        <v>201</v>
      </c>
      <c r="C7" s="728">
        <v>29350</v>
      </c>
      <c r="D7" s="728">
        <v>28410</v>
      </c>
      <c r="E7" s="728">
        <v>27990</v>
      </c>
      <c r="F7" s="737">
        <v>12300</v>
      </c>
      <c r="G7" s="731"/>
      <c r="I7" s="728" t="s">
        <v>237</v>
      </c>
      <c r="J7" s="728" t="s">
        <v>238</v>
      </c>
      <c r="K7" s="728" t="s">
        <v>239</v>
      </c>
      <c r="L7" s="728" t="s">
        <v>240</v>
      </c>
      <c r="M7" s="728" t="s">
        <v>241</v>
      </c>
      <c r="N7" s="728" t="s">
        <v>242</v>
      </c>
      <c r="O7" s="728" t="s">
        <v>243</v>
      </c>
      <c r="P7" s="728" t="s">
        <v>244</v>
      </c>
      <c r="Q7" s="728" t="s">
        <v>245</v>
      </c>
      <c r="R7" s="728" t="s">
        <v>246</v>
      </c>
      <c r="S7" s="738" t="s">
        <v>247</v>
      </c>
    </row>
    <row r="8" spans="1:19" ht="14.25" customHeight="1" thickBot="1">
      <c r="A8" s="734" t="s">
        <v>212</v>
      </c>
      <c r="B8" s="728" t="s">
        <v>213</v>
      </c>
      <c r="C8" s="728">
        <v>30890</v>
      </c>
      <c r="D8" s="728">
        <v>29780</v>
      </c>
      <c r="E8" s="728">
        <v>29270</v>
      </c>
      <c r="F8" s="737">
        <v>11600</v>
      </c>
      <c r="G8" s="731"/>
      <c r="I8" s="728" t="s">
        <v>248</v>
      </c>
      <c r="J8" s="728" t="s">
        <v>249</v>
      </c>
      <c r="K8" s="728" t="s">
        <v>250</v>
      </c>
      <c r="L8" s="728" t="s">
        <v>251</v>
      </c>
      <c r="M8" s="728" t="s">
        <v>252</v>
      </c>
      <c r="N8" s="728" t="s">
        <v>253</v>
      </c>
      <c r="O8" s="728" t="s">
        <v>254</v>
      </c>
      <c r="P8" s="728" t="s">
        <v>255</v>
      </c>
      <c r="Q8" s="728" t="s">
        <v>256</v>
      </c>
      <c r="R8" s="728" t="s">
        <v>257</v>
      </c>
      <c r="S8" s="728" t="s">
        <v>258</v>
      </c>
    </row>
    <row r="9" spans="1:19" ht="14.25" customHeight="1" thickBot="1">
      <c r="A9" s="734" t="s">
        <v>212</v>
      </c>
      <c r="B9" s="739" t="s">
        <v>225</v>
      </c>
      <c r="C9" s="740">
        <v>28140</v>
      </c>
      <c r="D9" s="740"/>
      <c r="E9" s="740"/>
      <c r="F9" s="741"/>
      <c r="G9" s="731"/>
      <c r="I9" s="728" t="s">
        <v>259</v>
      </c>
      <c r="J9" s="728" t="s">
        <v>260</v>
      </c>
      <c r="K9" s="728" t="s">
        <v>261</v>
      </c>
      <c r="L9" s="728" t="s">
        <v>262</v>
      </c>
      <c r="M9" s="728" t="s">
        <v>263</v>
      </c>
      <c r="N9" s="728" t="s">
        <v>264</v>
      </c>
      <c r="O9" s="728" t="s">
        <v>265</v>
      </c>
      <c r="P9" s="728" t="s">
        <v>266</v>
      </c>
      <c r="Q9" s="728" t="s">
        <v>267</v>
      </c>
      <c r="R9" s="728" t="s">
        <v>268</v>
      </c>
    </row>
    <row r="10" spans="1:19" ht="14.25" customHeight="1" thickBot="1">
      <c r="A10" s="734" t="s">
        <v>269</v>
      </c>
      <c r="B10" s="735" t="s">
        <v>270</v>
      </c>
      <c r="C10" s="735">
        <v>27450</v>
      </c>
      <c r="D10" s="735">
        <v>26180</v>
      </c>
      <c r="E10" s="735">
        <v>25980</v>
      </c>
      <c r="F10" s="736">
        <v>8910</v>
      </c>
      <c r="G10" s="731"/>
      <c r="I10" s="728" t="s">
        <v>271</v>
      </c>
      <c r="J10" s="728" t="s">
        <v>272</v>
      </c>
      <c r="K10" s="728" t="s">
        <v>273</v>
      </c>
      <c r="L10" s="728" t="s">
        <v>274</v>
      </c>
      <c r="M10" s="728" t="s">
        <v>275</v>
      </c>
      <c r="N10" s="728" t="s">
        <v>276</v>
      </c>
      <c r="O10" s="728" t="s">
        <v>277</v>
      </c>
      <c r="P10" s="728" t="s">
        <v>278</v>
      </c>
      <c r="Q10" s="728" t="s">
        <v>279</v>
      </c>
      <c r="R10" s="728" t="s">
        <v>280</v>
      </c>
    </row>
    <row r="11" spans="1:19" ht="14.25" customHeight="1" thickBot="1">
      <c r="A11" s="734" t="s">
        <v>269</v>
      </c>
      <c r="B11" s="738" t="s">
        <v>188</v>
      </c>
      <c r="C11" s="728">
        <v>22950</v>
      </c>
      <c r="D11" s="728">
        <v>22630</v>
      </c>
      <c r="E11" s="728">
        <v>22030</v>
      </c>
      <c r="F11" s="742">
        <v>8330</v>
      </c>
      <c r="G11" s="731"/>
      <c r="I11" s="728" t="s">
        <v>281</v>
      </c>
      <c r="J11" s="728" t="s">
        <v>282</v>
      </c>
      <c r="K11" s="728" t="s">
        <v>283</v>
      </c>
      <c r="L11" s="728" t="s">
        <v>284</v>
      </c>
      <c r="M11" s="728" t="s">
        <v>285</v>
      </c>
      <c r="N11" s="728" t="s">
        <v>286</v>
      </c>
      <c r="O11" s="728" t="s">
        <v>287</v>
      </c>
      <c r="P11" s="728" t="s">
        <v>288</v>
      </c>
      <c r="Q11" s="728" t="s">
        <v>289</v>
      </c>
      <c r="R11" s="728" t="s">
        <v>290</v>
      </c>
    </row>
    <row r="12" spans="1:19" ht="14.25" customHeight="1" thickBot="1">
      <c r="A12" s="734" t="s">
        <v>269</v>
      </c>
      <c r="B12" s="738" t="s">
        <v>138</v>
      </c>
      <c r="C12" s="728">
        <v>24940</v>
      </c>
      <c r="D12" s="728">
        <v>23180</v>
      </c>
      <c r="E12" s="728">
        <v>22910</v>
      </c>
      <c r="F12" s="742">
        <v>7180</v>
      </c>
      <c r="G12" s="731"/>
      <c r="I12" s="728" t="s">
        <v>291</v>
      </c>
      <c r="J12" s="728" t="s">
        <v>292</v>
      </c>
      <c r="K12" s="728" t="s">
        <v>293</v>
      </c>
      <c r="L12" s="728" t="s">
        <v>294</v>
      </c>
      <c r="M12" s="728" t="s">
        <v>295</v>
      </c>
      <c r="N12" s="728" t="s">
        <v>296</v>
      </c>
      <c r="O12" s="728" t="s">
        <v>297</v>
      </c>
      <c r="P12" s="728" t="s">
        <v>298</v>
      </c>
      <c r="Q12" s="728" t="s">
        <v>299</v>
      </c>
      <c r="R12" s="728" t="s">
        <v>300</v>
      </c>
    </row>
    <row r="13" spans="1:19" ht="14.25" customHeight="1" thickBot="1">
      <c r="A13" s="734" t="s">
        <v>269</v>
      </c>
      <c r="B13" s="738" t="s">
        <v>214</v>
      </c>
      <c r="C13" s="728">
        <v>24140</v>
      </c>
      <c r="D13" s="728">
        <v>22270</v>
      </c>
      <c r="E13" s="728">
        <v>21950</v>
      </c>
      <c r="F13" s="742">
        <v>7600</v>
      </c>
      <c r="G13" s="731"/>
      <c r="I13" s="728" t="s">
        <v>301</v>
      </c>
      <c r="J13" s="728" t="s">
        <v>302</v>
      </c>
      <c r="K13" s="728" t="s">
        <v>303</v>
      </c>
      <c r="L13" s="728" t="s">
        <v>304</v>
      </c>
      <c r="M13" s="728" t="s">
        <v>305</v>
      </c>
      <c r="N13" s="728" t="s">
        <v>306</v>
      </c>
      <c r="O13" s="728" t="s">
        <v>307</v>
      </c>
      <c r="P13" s="728" t="s">
        <v>308</v>
      </c>
      <c r="Q13" s="728" t="s">
        <v>309</v>
      </c>
      <c r="R13" s="728" t="s">
        <v>310</v>
      </c>
    </row>
    <row r="14" spans="1:19" ht="14.25" customHeight="1" thickBot="1">
      <c r="A14" s="734" t="s">
        <v>269</v>
      </c>
      <c r="B14" s="738" t="s">
        <v>226</v>
      </c>
      <c r="C14" s="728">
        <v>25600</v>
      </c>
      <c r="D14" s="728">
        <v>22260</v>
      </c>
      <c r="E14" s="728">
        <v>22110</v>
      </c>
      <c r="F14" s="742">
        <v>7630</v>
      </c>
      <c r="G14" s="731"/>
      <c r="I14" s="728" t="s">
        <v>311</v>
      </c>
      <c r="J14" s="728" t="s">
        <v>312</v>
      </c>
      <c r="K14" s="728" t="s">
        <v>313</v>
      </c>
      <c r="L14" s="728" t="s">
        <v>314</v>
      </c>
      <c r="M14" s="728" t="s">
        <v>315</v>
      </c>
      <c r="N14" s="728" t="s">
        <v>316</v>
      </c>
      <c r="O14" s="728" t="s">
        <v>317</v>
      </c>
      <c r="P14" s="728" t="s">
        <v>318</v>
      </c>
      <c r="Q14" s="728" t="s">
        <v>319</v>
      </c>
      <c r="R14" s="728" t="s">
        <v>320</v>
      </c>
    </row>
    <row r="15" spans="1:19" ht="14.25" customHeight="1" thickBot="1">
      <c r="A15" s="734" t="s">
        <v>269</v>
      </c>
      <c r="B15" s="738" t="s">
        <v>237</v>
      </c>
      <c r="C15" s="728">
        <v>24760</v>
      </c>
      <c r="D15" s="728">
        <v>24440</v>
      </c>
      <c r="E15" s="728">
        <v>24130</v>
      </c>
      <c r="F15" s="742">
        <v>9480</v>
      </c>
      <c r="G15" s="731"/>
      <c r="I15" s="728" t="s">
        <v>322</v>
      </c>
      <c r="J15" s="728" t="s">
        <v>323</v>
      </c>
      <c r="K15" s="728" t="s">
        <v>324</v>
      </c>
      <c r="L15" s="728" t="s">
        <v>325</v>
      </c>
      <c r="M15" s="728" t="s">
        <v>326</v>
      </c>
      <c r="N15" s="728" t="s">
        <v>327</v>
      </c>
      <c r="O15" s="728" t="s">
        <v>328</v>
      </c>
      <c r="P15" s="728" t="s">
        <v>329</v>
      </c>
      <c r="Q15" s="728" t="s">
        <v>330</v>
      </c>
      <c r="R15" s="728" t="s">
        <v>331</v>
      </c>
    </row>
    <row r="16" spans="1:19" ht="14.25" customHeight="1" thickBot="1">
      <c r="A16" s="734" t="s">
        <v>269</v>
      </c>
      <c r="B16" s="738" t="s">
        <v>248</v>
      </c>
      <c r="C16" s="728">
        <v>22220</v>
      </c>
      <c r="D16" s="728">
        <v>22310</v>
      </c>
      <c r="E16" s="728">
        <v>22000</v>
      </c>
      <c r="F16" s="742">
        <v>8900</v>
      </c>
      <c r="G16" s="731"/>
      <c r="I16" s="728" t="s">
        <v>333</v>
      </c>
      <c r="J16" s="728" t="s">
        <v>334</v>
      </c>
      <c r="K16" s="728" t="s">
        <v>335</v>
      </c>
      <c r="L16" s="728" t="s">
        <v>336</v>
      </c>
      <c r="M16" s="728" t="s">
        <v>337</v>
      </c>
      <c r="N16" s="728" t="s">
        <v>338</v>
      </c>
      <c r="O16" s="728" t="s">
        <v>339</v>
      </c>
      <c r="P16" s="728" t="s">
        <v>340</v>
      </c>
      <c r="Q16" s="728" t="s">
        <v>341</v>
      </c>
      <c r="R16" s="728" t="s">
        <v>342</v>
      </c>
    </row>
    <row r="17" spans="1:18" ht="14.25" customHeight="1" thickBot="1">
      <c r="A17" s="734" t="s">
        <v>269</v>
      </c>
      <c r="B17" s="738" t="s">
        <v>259</v>
      </c>
      <c r="C17" s="728">
        <v>24700</v>
      </c>
      <c r="D17" s="728">
        <v>25150</v>
      </c>
      <c r="E17" s="728">
        <v>24700</v>
      </c>
      <c r="F17" s="743"/>
      <c r="G17" s="731"/>
      <c r="I17" s="728" t="s">
        <v>343</v>
      </c>
      <c r="J17" s="728" t="s">
        <v>344</v>
      </c>
      <c r="K17" s="728" t="s">
        <v>345</v>
      </c>
      <c r="L17" s="728" t="s">
        <v>346</v>
      </c>
      <c r="M17" s="728" t="s">
        <v>347</v>
      </c>
      <c r="N17" s="728" t="s">
        <v>348</v>
      </c>
      <c r="O17" s="728" t="s">
        <v>349</v>
      </c>
      <c r="P17" s="728" t="s">
        <v>350</v>
      </c>
      <c r="Q17" s="728" t="s">
        <v>351</v>
      </c>
      <c r="R17" s="728" t="s">
        <v>352</v>
      </c>
    </row>
    <row r="18" spans="1:18" ht="14.25" customHeight="1" thickBot="1">
      <c r="A18" s="734" t="s">
        <v>269</v>
      </c>
      <c r="B18" s="738" t="s">
        <v>271</v>
      </c>
      <c r="C18" s="728">
        <v>22350</v>
      </c>
      <c r="D18" s="728">
        <v>24340</v>
      </c>
      <c r="E18" s="728">
        <v>24100</v>
      </c>
      <c r="F18" s="743"/>
      <c r="G18" s="731"/>
      <c r="I18" s="728" t="s">
        <v>353</v>
      </c>
      <c r="J18" s="728" t="s">
        <v>354</v>
      </c>
      <c r="K18" s="728" t="s">
        <v>355</v>
      </c>
      <c r="L18" s="728" t="s">
        <v>356</v>
      </c>
      <c r="M18" s="728" t="s">
        <v>357</v>
      </c>
      <c r="N18" s="728" t="s">
        <v>358</v>
      </c>
      <c r="O18" s="728" t="s">
        <v>359</v>
      </c>
      <c r="P18" s="728" t="s">
        <v>360</v>
      </c>
      <c r="Q18" s="728" t="s">
        <v>361</v>
      </c>
      <c r="R18" s="728" t="s">
        <v>362</v>
      </c>
    </row>
    <row r="19" spans="1:18" ht="14.25" customHeight="1" thickBot="1">
      <c r="A19" s="734" t="s">
        <v>269</v>
      </c>
      <c r="B19" s="738" t="s">
        <v>281</v>
      </c>
      <c r="C19" s="728">
        <v>23430</v>
      </c>
      <c r="D19" s="728">
        <v>21580</v>
      </c>
      <c r="E19" s="728">
        <v>21350</v>
      </c>
      <c r="F19" s="743"/>
      <c r="G19" s="731"/>
      <c r="I19" s="728" t="s">
        <v>363</v>
      </c>
      <c r="J19" s="728" t="s">
        <v>364</v>
      </c>
      <c r="K19" s="728" t="s">
        <v>365</v>
      </c>
      <c r="L19" s="728" t="s">
        <v>366</v>
      </c>
      <c r="M19" s="728" t="s">
        <v>367</v>
      </c>
      <c r="N19" s="728" t="s">
        <v>368</v>
      </c>
      <c r="O19" s="728" t="s">
        <v>369</v>
      </c>
      <c r="P19" s="728" t="s">
        <v>370</v>
      </c>
      <c r="Q19" s="728" t="s">
        <v>371</v>
      </c>
      <c r="R19" s="728" t="s">
        <v>372</v>
      </c>
    </row>
    <row r="20" spans="1:18" ht="14.25" customHeight="1" thickBot="1">
      <c r="A20" s="734" t="s">
        <v>269</v>
      </c>
      <c r="B20" s="738" t="s">
        <v>291</v>
      </c>
      <c r="C20" s="728">
        <v>27660</v>
      </c>
      <c r="D20" s="728">
        <v>24240</v>
      </c>
      <c r="E20" s="728">
        <v>24020</v>
      </c>
      <c r="F20" s="743"/>
      <c r="I20" s="728" t="s">
        <v>373</v>
      </c>
      <c r="J20" s="728" t="s">
        <v>374</v>
      </c>
      <c r="K20" s="728" t="s">
        <v>375</v>
      </c>
      <c r="L20" s="728" t="s">
        <v>376</v>
      </c>
      <c r="M20" s="728" t="s">
        <v>377</v>
      </c>
      <c r="N20" s="728" t="s">
        <v>378</v>
      </c>
      <c r="O20" s="728" t="s">
        <v>379</v>
      </c>
      <c r="P20" s="728" t="s">
        <v>380</v>
      </c>
      <c r="Q20" s="728" t="s">
        <v>381</v>
      </c>
      <c r="R20" s="728" t="s">
        <v>382</v>
      </c>
    </row>
    <row r="21" spans="1:18" ht="14.25" customHeight="1" thickBot="1">
      <c r="A21" s="734" t="s">
        <v>269</v>
      </c>
      <c r="B21" s="738" t="s">
        <v>301</v>
      </c>
      <c r="C21" s="728">
        <v>24720</v>
      </c>
      <c r="D21" s="728">
        <v>21670</v>
      </c>
      <c r="E21" s="728">
        <v>21510</v>
      </c>
      <c r="F21" s="743"/>
      <c r="J21" s="728" t="s">
        <v>383</v>
      </c>
      <c r="K21" s="728" t="s">
        <v>384</v>
      </c>
      <c r="L21" s="728" t="s">
        <v>385</v>
      </c>
      <c r="M21" s="728" t="s">
        <v>386</v>
      </c>
      <c r="N21" s="728" t="s">
        <v>387</v>
      </c>
      <c r="O21" s="728" t="s">
        <v>388</v>
      </c>
      <c r="P21" s="728" t="s">
        <v>389</v>
      </c>
      <c r="Q21" s="728" t="s">
        <v>390</v>
      </c>
      <c r="R21" s="728" t="s">
        <v>391</v>
      </c>
    </row>
    <row r="22" spans="1:18" ht="14.25" customHeight="1" thickBot="1">
      <c r="A22" s="734" t="s">
        <v>269</v>
      </c>
      <c r="B22" s="738" t="s">
        <v>392</v>
      </c>
      <c r="C22" s="728">
        <v>26530</v>
      </c>
      <c r="D22" s="728">
        <v>22980</v>
      </c>
      <c r="E22" s="728">
        <v>22650</v>
      </c>
      <c r="F22" s="743"/>
      <c r="K22" s="728" t="s">
        <v>393</v>
      </c>
      <c r="L22" s="728" t="s">
        <v>394</v>
      </c>
      <c r="M22" s="728" t="s">
        <v>395</v>
      </c>
      <c r="N22" s="728" t="s">
        <v>396</v>
      </c>
      <c r="O22" s="728" t="s">
        <v>397</v>
      </c>
      <c r="P22" s="728" t="s">
        <v>398</v>
      </c>
      <c r="Q22" s="728" t="s">
        <v>399</v>
      </c>
      <c r="R22" s="738" t="s">
        <v>400</v>
      </c>
    </row>
    <row r="23" spans="1:18" ht="14.25" customHeight="1" thickBot="1">
      <c r="A23" s="734" t="s">
        <v>269</v>
      </c>
      <c r="B23" s="738" t="s">
        <v>322</v>
      </c>
      <c r="C23" s="728">
        <v>24700</v>
      </c>
      <c r="D23" s="728">
        <v>27290</v>
      </c>
      <c r="E23" s="728">
        <v>26710</v>
      </c>
      <c r="F23" s="743"/>
      <c r="K23" s="728" t="s">
        <v>401</v>
      </c>
      <c r="L23" s="728" t="s">
        <v>402</v>
      </c>
      <c r="M23" s="728" t="s">
        <v>403</v>
      </c>
      <c r="N23" s="728" t="s">
        <v>404</v>
      </c>
      <c r="O23" s="728" t="s">
        <v>405</v>
      </c>
      <c r="P23" s="728" t="s">
        <v>406</v>
      </c>
      <c r="Q23" s="728" t="s">
        <v>407</v>
      </c>
    </row>
    <row r="24" spans="1:18" ht="14.25" customHeight="1" thickBot="1">
      <c r="A24" s="734" t="s">
        <v>269</v>
      </c>
      <c r="B24" s="738" t="s">
        <v>333</v>
      </c>
      <c r="C24" s="728">
        <v>23070</v>
      </c>
      <c r="D24" s="728">
        <v>24130</v>
      </c>
      <c r="E24" s="728">
        <v>23860</v>
      </c>
      <c r="F24" s="743"/>
      <c r="K24" s="728" t="s">
        <v>408</v>
      </c>
      <c r="L24" s="728" t="s">
        <v>409</v>
      </c>
      <c r="M24" s="728" t="s">
        <v>410</v>
      </c>
      <c r="N24" s="728" t="s">
        <v>411</v>
      </c>
      <c r="O24" s="728" t="s">
        <v>412</v>
      </c>
      <c r="P24" s="728" t="s">
        <v>413</v>
      </c>
      <c r="Q24" s="728" t="s">
        <v>414</v>
      </c>
    </row>
    <row r="25" spans="1:18" ht="14.25" customHeight="1" thickBot="1">
      <c r="A25" s="734" t="s">
        <v>269</v>
      </c>
      <c r="B25" s="738" t="s">
        <v>343</v>
      </c>
      <c r="C25" s="728">
        <v>27550</v>
      </c>
      <c r="D25" s="728">
        <v>25850</v>
      </c>
      <c r="E25" s="728">
        <v>25340</v>
      </c>
      <c r="F25" s="743"/>
      <c r="K25" s="728" t="s">
        <v>415</v>
      </c>
      <c r="L25" s="728" t="s">
        <v>416</v>
      </c>
      <c r="M25" s="728" t="s">
        <v>417</v>
      </c>
      <c r="N25" s="728" t="s">
        <v>418</v>
      </c>
      <c r="O25" s="728" t="s">
        <v>419</v>
      </c>
      <c r="P25" s="728" t="s">
        <v>420</v>
      </c>
      <c r="Q25" s="728" t="s">
        <v>421</v>
      </c>
    </row>
    <row r="26" spans="1:18" ht="14.25" customHeight="1" thickBot="1">
      <c r="A26" s="734" t="s">
        <v>269</v>
      </c>
      <c r="B26" s="738" t="s">
        <v>353</v>
      </c>
      <c r="C26" s="728"/>
      <c r="D26" s="728">
        <v>23900</v>
      </c>
      <c r="E26" s="728">
        <v>23590</v>
      </c>
      <c r="F26" s="743"/>
      <c r="K26" s="728" t="s">
        <v>422</v>
      </c>
      <c r="L26" s="728" t="s">
        <v>423</v>
      </c>
      <c r="M26" s="728" t="s">
        <v>424</v>
      </c>
      <c r="N26" s="728" t="s">
        <v>425</v>
      </c>
      <c r="O26" s="728" t="s">
        <v>426</v>
      </c>
      <c r="P26" s="728" t="s">
        <v>427</v>
      </c>
      <c r="Q26" s="728" t="s">
        <v>428</v>
      </c>
    </row>
    <row r="27" spans="1:18" ht="14.25" customHeight="1" thickBot="1">
      <c r="A27" s="734" t="s">
        <v>269</v>
      </c>
      <c r="B27" s="738" t="s">
        <v>363</v>
      </c>
      <c r="C27" s="728"/>
      <c r="D27" s="728">
        <v>22850</v>
      </c>
      <c r="E27" s="728">
        <v>21920</v>
      </c>
      <c r="F27" s="743"/>
      <c r="K27" s="728" t="s">
        <v>429</v>
      </c>
      <c r="L27" s="728" t="s">
        <v>430</v>
      </c>
      <c r="M27" s="728" t="s">
        <v>431</v>
      </c>
      <c r="N27" s="728" t="s">
        <v>432</v>
      </c>
      <c r="O27" s="728" t="s">
        <v>433</v>
      </c>
      <c r="P27" s="728" t="s">
        <v>434</v>
      </c>
      <c r="Q27" s="728" t="s">
        <v>435</v>
      </c>
    </row>
    <row r="28" spans="1:18" ht="14.25" customHeight="1" thickBot="1">
      <c r="A28" s="744" t="s">
        <v>269</v>
      </c>
      <c r="B28" s="739" t="s">
        <v>373</v>
      </c>
      <c r="C28" s="740"/>
      <c r="D28" s="740">
        <v>26610</v>
      </c>
      <c r="E28" s="740">
        <v>26370</v>
      </c>
      <c r="F28" s="741"/>
      <c r="K28" s="728" t="s">
        <v>436</v>
      </c>
      <c r="L28" s="728" t="s">
        <v>437</v>
      </c>
      <c r="M28" s="728" t="s">
        <v>438</v>
      </c>
      <c r="N28" s="728" t="s">
        <v>439</v>
      </c>
      <c r="O28" s="728" t="s">
        <v>440</v>
      </c>
      <c r="P28" s="728" t="s">
        <v>441</v>
      </c>
    </row>
    <row r="29" spans="1:18" ht="14.25" customHeight="1" thickBot="1">
      <c r="A29" s="734" t="s">
        <v>442</v>
      </c>
      <c r="B29" s="735" t="s">
        <v>443</v>
      </c>
      <c r="C29" s="735">
        <v>22090</v>
      </c>
      <c r="D29" s="735">
        <v>21860</v>
      </c>
      <c r="E29" s="735">
        <v>19380</v>
      </c>
      <c r="F29" s="736">
        <v>6610</v>
      </c>
      <c r="L29" s="728" t="s">
        <v>444</v>
      </c>
      <c r="M29" s="728" t="s">
        <v>445</v>
      </c>
      <c r="N29" s="728" t="s">
        <v>446</v>
      </c>
      <c r="O29" s="728" t="s">
        <v>447</v>
      </c>
      <c r="P29" s="728" t="s">
        <v>448</v>
      </c>
    </row>
    <row r="30" spans="1:18" ht="14.25" customHeight="1" thickBot="1">
      <c r="A30" s="734" t="s">
        <v>442</v>
      </c>
      <c r="B30" s="738" t="s">
        <v>189</v>
      </c>
      <c r="C30" s="728">
        <v>21380</v>
      </c>
      <c r="D30" s="728">
        <v>19930</v>
      </c>
      <c r="E30" s="728">
        <v>19860</v>
      </c>
      <c r="F30" s="742">
        <v>6010</v>
      </c>
      <c r="L30" s="728" t="s">
        <v>449</v>
      </c>
      <c r="M30" s="728" t="s">
        <v>450</v>
      </c>
      <c r="N30" s="728" t="s">
        <v>451</v>
      </c>
      <c r="O30" s="728" t="s">
        <v>1021</v>
      </c>
      <c r="P30" s="728" t="s">
        <v>452</v>
      </c>
    </row>
    <row r="31" spans="1:18" ht="14.25" customHeight="1" thickBot="1">
      <c r="A31" s="734" t="s">
        <v>442</v>
      </c>
      <c r="B31" s="738" t="s">
        <v>202</v>
      </c>
      <c r="C31" s="728">
        <v>21670</v>
      </c>
      <c r="D31" s="728">
        <v>20660</v>
      </c>
      <c r="E31" s="728">
        <v>20290</v>
      </c>
      <c r="F31" s="742">
        <v>5840</v>
      </c>
      <c r="L31" s="728" t="s">
        <v>453</v>
      </c>
      <c r="M31" s="728" t="s">
        <v>454</v>
      </c>
      <c r="N31" s="728" t="s">
        <v>455</v>
      </c>
      <c r="O31" s="728" t="s">
        <v>456</v>
      </c>
      <c r="P31" s="728" t="s">
        <v>457</v>
      </c>
    </row>
    <row r="32" spans="1:18" ht="14.25" customHeight="1" thickBot="1">
      <c r="A32" s="734" t="s">
        <v>442</v>
      </c>
      <c r="B32" s="738" t="s">
        <v>215</v>
      </c>
      <c r="C32" s="728">
        <v>22280</v>
      </c>
      <c r="D32" s="728">
        <v>21800</v>
      </c>
      <c r="E32" s="728">
        <v>17650</v>
      </c>
      <c r="F32" s="742">
        <v>4690</v>
      </c>
      <c r="L32" s="728" t="s">
        <v>458</v>
      </c>
      <c r="M32" s="728" t="s">
        <v>459</v>
      </c>
      <c r="N32" s="728" t="s">
        <v>460</v>
      </c>
      <c r="O32" s="728" t="s">
        <v>461</v>
      </c>
      <c r="P32" s="728" t="s">
        <v>462</v>
      </c>
    </row>
    <row r="33" spans="1:16" ht="14.25" customHeight="1" thickBot="1">
      <c r="A33" s="734" t="s">
        <v>442</v>
      </c>
      <c r="B33" s="738" t="s">
        <v>227</v>
      </c>
      <c r="C33" s="728">
        <v>22130</v>
      </c>
      <c r="D33" s="728">
        <v>20460</v>
      </c>
      <c r="E33" s="728">
        <v>18500</v>
      </c>
      <c r="F33" s="742">
        <v>5340</v>
      </c>
      <c r="L33" s="728" t="s">
        <v>463</v>
      </c>
      <c r="M33" s="728" t="s">
        <v>464</v>
      </c>
      <c r="N33" s="728" t="s">
        <v>465</v>
      </c>
      <c r="O33" s="728" t="s">
        <v>466</v>
      </c>
      <c r="P33" s="728" t="s">
        <v>467</v>
      </c>
    </row>
    <row r="34" spans="1:16" ht="14.25" customHeight="1" thickBot="1">
      <c r="A34" s="734" t="s">
        <v>442</v>
      </c>
      <c r="B34" s="738" t="s">
        <v>238</v>
      </c>
      <c r="C34" s="728">
        <v>22070</v>
      </c>
      <c r="D34" s="728">
        <v>20110</v>
      </c>
      <c r="E34" s="728">
        <v>18830</v>
      </c>
      <c r="F34" s="742">
        <v>5190</v>
      </c>
      <c r="L34" s="728" t="s">
        <v>468</v>
      </c>
      <c r="M34" s="728" t="s">
        <v>469</v>
      </c>
      <c r="N34" s="728" t="s">
        <v>470</v>
      </c>
      <c r="O34" s="728" t="s">
        <v>471</v>
      </c>
      <c r="P34" s="728" t="s">
        <v>472</v>
      </c>
    </row>
    <row r="35" spans="1:16" ht="14.25" customHeight="1" thickBot="1">
      <c r="A35" s="734" t="s">
        <v>442</v>
      </c>
      <c r="B35" s="738" t="s">
        <v>249</v>
      </c>
      <c r="C35" s="728">
        <v>22240</v>
      </c>
      <c r="D35" s="728">
        <v>19550</v>
      </c>
      <c r="E35" s="728">
        <v>19220</v>
      </c>
      <c r="F35" s="742">
        <v>5800</v>
      </c>
      <c r="L35" s="728" t="s">
        <v>473</v>
      </c>
      <c r="M35" s="728" t="s">
        <v>474</v>
      </c>
      <c r="N35" s="728" t="s">
        <v>475</v>
      </c>
      <c r="O35" s="728" t="s">
        <v>476</v>
      </c>
      <c r="P35" s="728" t="s">
        <v>477</v>
      </c>
    </row>
    <row r="36" spans="1:16" ht="14.25" customHeight="1" thickBot="1">
      <c r="A36" s="734" t="s">
        <v>442</v>
      </c>
      <c r="B36" s="738" t="s">
        <v>260</v>
      </c>
      <c r="C36" s="728">
        <v>19750</v>
      </c>
      <c r="D36" s="728">
        <v>19790</v>
      </c>
      <c r="E36" s="728">
        <v>18510</v>
      </c>
      <c r="F36" s="742">
        <v>6520</v>
      </c>
      <c r="M36" s="728" t="s">
        <v>478</v>
      </c>
      <c r="N36" s="728" t="s">
        <v>479</v>
      </c>
      <c r="O36" s="728" t="s">
        <v>480</v>
      </c>
      <c r="P36" s="728" t="s">
        <v>481</v>
      </c>
    </row>
    <row r="37" spans="1:16" ht="14.25" customHeight="1" thickBot="1">
      <c r="A37" s="734" t="s">
        <v>442</v>
      </c>
      <c r="B37" s="738" t="s">
        <v>272</v>
      </c>
      <c r="C37" s="728">
        <v>22380</v>
      </c>
      <c r="D37" s="728">
        <v>18530</v>
      </c>
      <c r="E37" s="728">
        <v>17930</v>
      </c>
      <c r="F37" s="742">
        <v>6270</v>
      </c>
      <c r="M37" s="728" t="s">
        <v>482</v>
      </c>
      <c r="N37" s="728" t="s">
        <v>483</v>
      </c>
      <c r="O37" s="728" t="s">
        <v>484</v>
      </c>
      <c r="P37" s="728" t="s">
        <v>485</v>
      </c>
    </row>
    <row r="38" spans="1:16" ht="14.25" customHeight="1" thickBot="1">
      <c r="A38" s="734" t="s">
        <v>442</v>
      </c>
      <c r="B38" s="738" t="s">
        <v>282</v>
      </c>
      <c r="C38" s="728">
        <v>20200</v>
      </c>
      <c r="D38" s="728">
        <v>20070</v>
      </c>
      <c r="E38" s="728">
        <v>19950</v>
      </c>
      <c r="F38" s="742"/>
      <c r="M38" s="728" t="s">
        <v>486</v>
      </c>
      <c r="N38" s="728" t="s">
        <v>487</v>
      </c>
      <c r="O38" s="728" t="s">
        <v>488</v>
      </c>
      <c r="P38" s="728" t="s">
        <v>489</v>
      </c>
    </row>
    <row r="39" spans="1:16" ht="14.25" customHeight="1" thickBot="1">
      <c r="A39" s="734" t="s">
        <v>442</v>
      </c>
      <c r="B39" s="738" t="s">
        <v>292</v>
      </c>
      <c r="C39" s="728">
        <v>19300</v>
      </c>
      <c r="D39" s="728">
        <v>20360</v>
      </c>
      <c r="E39" s="728">
        <v>20230</v>
      </c>
      <c r="F39" s="742"/>
      <c r="M39" s="728" t="s">
        <v>490</v>
      </c>
      <c r="N39" s="728" t="s">
        <v>491</v>
      </c>
      <c r="O39" s="728" t="s">
        <v>492</v>
      </c>
      <c r="P39" s="728" t="s">
        <v>493</v>
      </c>
    </row>
    <row r="40" spans="1:16" ht="14.25" customHeight="1" thickBot="1">
      <c r="A40" s="734" t="s">
        <v>442</v>
      </c>
      <c r="B40" s="738" t="s">
        <v>302</v>
      </c>
      <c r="C40" s="728">
        <v>20210</v>
      </c>
      <c r="D40" s="728">
        <v>19060</v>
      </c>
      <c r="E40" s="728">
        <v>18890</v>
      </c>
      <c r="F40" s="742"/>
      <c r="M40" s="728" t="s">
        <v>494</v>
      </c>
      <c r="N40" s="728" t="s">
        <v>495</v>
      </c>
      <c r="O40" s="728" t="s">
        <v>496</v>
      </c>
      <c r="P40" s="728" t="s">
        <v>497</v>
      </c>
    </row>
    <row r="41" spans="1:16" ht="14.25" customHeight="1" thickBot="1">
      <c r="A41" s="734" t="s">
        <v>442</v>
      </c>
      <c r="B41" s="738" t="s">
        <v>312</v>
      </c>
      <c r="C41" s="728">
        <v>20560</v>
      </c>
      <c r="D41" s="728">
        <v>21040</v>
      </c>
      <c r="E41" s="728">
        <v>20740</v>
      </c>
      <c r="F41" s="742"/>
      <c r="M41" s="738" t="s">
        <v>498</v>
      </c>
      <c r="N41" s="738" t="s">
        <v>499</v>
      </c>
      <c r="P41" s="738" t="s">
        <v>500</v>
      </c>
    </row>
    <row r="42" spans="1:16" ht="14.25" customHeight="1" thickBot="1">
      <c r="A42" s="734" t="s">
        <v>442</v>
      </c>
      <c r="B42" s="738" t="s">
        <v>323</v>
      </c>
      <c r="C42" s="728">
        <v>19280</v>
      </c>
      <c r="D42" s="728">
        <v>22940</v>
      </c>
      <c r="E42" s="728">
        <v>22500</v>
      </c>
      <c r="F42" s="742"/>
      <c r="M42" s="728" t="s">
        <v>501</v>
      </c>
      <c r="N42" s="728" t="s">
        <v>502</v>
      </c>
      <c r="P42" s="728" t="s">
        <v>503</v>
      </c>
    </row>
    <row r="43" spans="1:16" ht="14.25" customHeight="1" thickBot="1">
      <c r="A43" s="734" t="s">
        <v>442</v>
      </c>
      <c r="B43" s="738" t="s">
        <v>334</v>
      </c>
      <c r="C43" s="728">
        <v>21520</v>
      </c>
      <c r="D43" s="728">
        <v>19230</v>
      </c>
      <c r="E43" s="728">
        <v>18540</v>
      </c>
      <c r="F43" s="742"/>
      <c r="M43" s="728" t="s">
        <v>504</v>
      </c>
      <c r="N43" s="728" t="s">
        <v>505</v>
      </c>
      <c r="P43" s="728" t="s">
        <v>506</v>
      </c>
    </row>
    <row r="44" spans="1:16" ht="14.25" customHeight="1" thickBot="1">
      <c r="A44" s="734" t="s">
        <v>442</v>
      </c>
      <c r="B44" s="738" t="s">
        <v>344</v>
      </c>
      <c r="C44" s="728">
        <v>23260</v>
      </c>
      <c r="D44" s="728">
        <v>21180</v>
      </c>
      <c r="E44" s="728">
        <v>20730</v>
      </c>
      <c r="F44" s="742"/>
      <c r="M44" s="728" t="s">
        <v>507</v>
      </c>
      <c r="N44" s="728" t="s">
        <v>508</v>
      </c>
      <c r="P44" s="728" t="s">
        <v>509</v>
      </c>
    </row>
    <row r="45" spans="1:16" ht="14.25" customHeight="1" thickBot="1">
      <c r="A45" s="734" t="s">
        <v>442</v>
      </c>
      <c r="B45" s="738" t="s">
        <v>354</v>
      </c>
      <c r="C45" s="728">
        <v>19610</v>
      </c>
      <c r="D45" s="728">
        <v>18090</v>
      </c>
      <c r="E45" s="728">
        <v>17970</v>
      </c>
      <c r="F45" s="742"/>
      <c r="M45" s="728" t="s">
        <v>510</v>
      </c>
      <c r="N45" s="728" t="s">
        <v>511</v>
      </c>
      <c r="P45" s="728" t="s">
        <v>512</v>
      </c>
    </row>
    <row r="46" spans="1:16" ht="14.25" customHeight="1" thickBot="1">
      <c r="A46" s="734" t="s">
        <v>442</v>
      </c>
      <c r="B46" s="738" t="s">
        <v>364</v>
      </c>
      <c r="C46" s="728">
        <v>21660</v>
      </c>
      <c r="D46" s="728">
        <v>19190</v>
      </c>
      <c r="E46" s="728">
        <v>19790</v>
      </c>
      <c r="F46" s="742"/>
      <c r="M46" s="728" t="s">
        <v>513</v>
      </c>
      <c r="N46" s="728" t="s">
        <v>514</v>
      </c>
      <c r="P46" s="728" t="s">
        <v>515</v>
      </c>
    </row>
    <row r="47" spans="1:16" ht="14.25" customHeight="1" thickBot="1">
      <c r="A47" s="734" t="s">
        <v>442</v>
      </c>
      <c r="B47" s="738" t="s">
        <v>374</v>
      </c>
      <c r="C47" s="728">
        <v>18220</v>
      </c>
      <c r="D47" s="728"/>
      <c r="E47" s="728">
        <v>17220</v>
      </c>
      <c r="F47" s="742"/>
      <c r="M47" s="728" t="s">
        <v>516</v>
      </c>
      <c r="N47" s="728" t="s">
        <v>517</v>
      </c>
    </row>
    <row r="48" spans="1:16" ht="14.25" customHeight="1" thickBot="1">
      <c r="A48" s="734" t="s">
        <v>442</v>
      </c>
      <c r="B48" s="739" t="s">
        <v>383</v>
      </c>
      <c r="C48" s="740">
        <v>19430</v>
      </c>
      <c r="D48" s="740"/>
      <c r="E48" s="740">
        <v>17830</v>
      </c>
      <c r="F48" s="745"/>
      <c r="M48" s="728" t="s">
        <v>518</v>
      </c>
      <c r="N48" s="728" t="s">
        <v>519</v>
      </c>
    </row>
    <row r="49" spans="1:14" ht="14.25" customHeight="1" thickBot="1">
      <c r="A49" s="734" t="s">
        <v>137</v>
      </c>
      <c r="B49" s="735" t="s">
        <v>520</v>
      </c>
      <c r="C49" s="735">
        <v>17090</v>
      </c>
      <c r="D49" s="735">
        <v>16950</v>
      </c>
      <c r="E49" s="735">
        <v>16310</v>
      </c>
      <c r="F49" s="736">
        <v>4540</v>
      </c>
      <c r="M49" s="728" t="s">
        <v>521</v>
      </c>
      <c r="N49" s="728" t="s">
        <v>522</v>
      </c>
    </row>
    <row r="50" spans="1:14" ht="14.25" customHeight="1" thickBot="1">
      <c r="A50" s="734" t="s">
        <v>137</v>
      </c>
      <c r="B50" s="728" t="s">
        <v>190</v>
      </c>
      <c r="C50" s="728">
        <v>19040</v>
      </c>
      <c r="D50" s="728">
        <v>16960</v>
      </c>
      <c r="E50" s="728">
        <v>14800</v>
      </c>
      <c r="F50" s="742">
        <v>3940</v>
      </c>
    </row>
    <row r="51" spans="1:14" ht="14.25" customHeight="1" thickBot="1">
      <c r="A51" s="734" t="s">
        <v>137</v>
      </c>
      <c r="B51" s="728" t="s">
        <v>203</v>
      </c>
      <c r="C51" s="728">
        <v>17040</v>
      </c>
      <c r="D51" s="728">
        <v>16930</v>
      </c>
      <c r="E51" s="728">
        <v>15030</v>
      </c>
      <c r="F51" s="742">
        <v>4120</v>
      </c>
    </row>
    <row r="52" spans="1:14" ht="14.25" customHeight="1" thickBot="1">
      <c r="A52" s="734" t="s">
        <v>137</v>
      </c>
      <c r="B52" s="728" t="s">
        <v>216</v>
      </c>
      <c r="C52" s="728">
        <v>17110</v>
      </c>
      <c r="D52" s="728">
        <v>17750</v>
      </c>
      <c r="E52" s="728">
        <v>17310</v>
      </c>
      <c r="F52" s="742">
        <v>3220</v>
      </c>
    </row>
    <row r="53" spans="1:14" ht="14.25" customHeight="1" thickBot="1">
      <c r="A53" s="734" t="s">
        <v>137</v>
      </c>
      <c r="B53" s="728" t="s">
        <v>228</v>
      </c>
      <c r="C53" s="728">
        <v>17810</v>
      </c>
      <c r="D53" s="728">
        <v>17260</v>
      </c>
      <c r="E53" s="728">
        <v>17090</v>
      </c>
      <c r="F53" s="742">
        <v>3520</v>
      </c>
    </row>
    <row r="54" spans="1:14" ht="14.25" customHeight="1" thickBot="1">
      <c r="A54" s="734" t="s">
        <v>137</v>
      </c>
      <c r="B54" s="728" t="s">
        <v>239</v>
      </c>
      <c r="C54" s="728">
        <v>17410</v>
      </c>
      <c r="D54" s="728">
        <v>16780</v>
      </c>
      <c r="E54" s="728">
        <v>16370</v>
      </c>
      <c r="F54" s="742">
        <v>3410</v>
      </c>
    </row>
    <row r="55" spans="1:14" ht="14.25" customHeight="1" thickBot="1">
      <c r="A55" s="734" t="s">
        <v>137</v>
      </c>
      <c r="B55" s="728" t="s">
        <v>250</v>
      </c>
      <c r="C55" s="728">
        <v>16930</v>
      </c>
      <c r="D55" s="728">
        <v>14720</v>
      </c>
      <c r="E55" s="728">
        <v>15000</v>
      </c>
      <c r="F55" s="742">
        <v>3710</v>
      </c>
    </row>
    <row r="56" spans="1:14" ht="14.25" customHeight="1" thickBot="1">
      <c r="A56" s="734" t="s">
        <v>137</v>
      </c>
      <c r="B56" s="728" t="s">
        <v>261</v>
      </c>
      <c r="C56" s="728">
        <v>14930</v>
      </c>
      <c r="D56" s="728">
        <v>15850</v>
      </c>
      <c r="E56" s="728">
        <v>14320</v>
      </c>
      <c r="F56" s="742">
        <v>3960</v>
      </c>
    </row>
    <row r="57" spans="1:14" ht="14.25" customHeight="1" thickBot="1">
      <c r="A57" s="734" t="s">
        <v>137</v>
      </c>
      <c r="B57" s="728" t="s">
        <v>273</v>
      </c>
      <c r="C57" s="728">
        <v>16160</v>
      </c>
      <c r="D57" s="728">
        <v>16190</v>
      </c>
      <c r="E57" s="728">
        <v>15650</v>
      </c>
      <c r="F57" s="742">
        <v>4200</v>
      </c>
    </row>
    <row r="58" spans="1:14" ht="14.25" customHeight="1" thickBot="1">
      <c r="A58" s="734" t="s">
        <v>137</v>
      </c>
      <c r="B58" s="728" t="s">
        <v>283</v>
      </c>
      <c r="C58" s="728">
        <v>16360</v>
      </c>
      <c r="D58" s="728">
        <v>14050</v>
      </c>
      <c r="E58" s="728">
        <v>16070</v>
      </c>
      <c r="F58" s="742">
        <v>3990</v>
      </c>
    </row>
    <row r="59" spans="1:14" ht="14.25" customHeight="1" thickBot="1">
      <c r="A59" s="734" t="s">
        <v>137</v>
      </c>
      <c r="B59" s="728" t="s">
        <v>293</v>
      </c>
      <c r="C59" s="728">
        <v>14160</v>
      </c>
      <c r="D59" s="728">
        <v>16620</v>
      </c>
      <c r="E59" s="728">
        <v>13940</v>
      </c>
      <c r="F59" s="742">
        <v>4260</v>
      </c>
    </row>
    <row r="60" spans="1:14" ht="14.25" customHeight="1" thickBot="1">
      <c r="A60" s="734" t="s">
        <v>137</v>
      </c>
      <c r="B60" s="728" t="s">
        <v>303</v>
      </c>
      <c r="C60" s="728">
        <v>16750</v>
      </c>
      <c r="D60" s="728">
        <v>13910</v>
      </c>
      <c r="E60" s="728">
        <v>16550</v>
      </c>
      <c r="F60" s="742">
        <v>4550</v>
      </c>
    </row>
    <row r="61" spans="1:14" ht="14.25" customHeight="1" thickBot="1">
      <c r="A61" s="734" t="s">
        <v>137</v>
      </c>
      <c r="B61" s="728" t="s">
        <v>313</v>
      </c>
      <c r="C61" s="728">
        <v>14000</v>
      </c>
      <c r="D61" s="728">
        <v>14550</v>
      </c>
      <c r="E61" s="728">
        <v>13860</v>
      </c>
      <c r="F61" s="746"/>
    </row>
    <row r="62" spans="1:14" ht="14.25" customHeight="1" thickBot="1">
      <c r="A62" s="734" t="s">
        <v>137</v>
      </c>
      <c r="B62" s="728" t="s">
        <v>324</v>
      </c>
      <c r="C62" s="728">
        <v>14660</v>
      </c>
      <c r="D62" s="728">
        <v>17450</v>
      </c>
      <c r="E62" s="728">
        <v>14470</v>
      </c>
      <c r="F62" s="746"/>
    </row>
    <row r="63" spans="1:14" ht="14.25" customHeight="1" thickBot="1">
      <c r="A63" s="734" t="s">
        <v>137</v>
      </c>
      <c r="B63" s="728" t="s">
        <v>335</v>
      </c>
      <c r="C63" s="728">
        <v>17610</v>
      </c>
      <c r="D63" s="728">
        <v>16500</v>
      </c>
      <c r="E63" s="728">
        <v>17330</v>
      </c>
      <c r="F63" s="746"/>
    </row>
    <row r="64" spans="1:14" ht="14.25" customHeight="1" thickBot="1">
      <c r="A64" s="734" t="s">
        <v>137</v>
      </c>
      <c r="B64" s="728" t="s">
        <v>345</v>
      </c>
      <c r="C64" s="728">
        <v>16590</v>
      </c>
      <c r="D64" s="728">
        <v>15130</v>
      </c>
      <c r="E64" s="728">
        <v>16420</v>
      </c>
      <c r="F64" s="746"/>
    </row>
    <row r="65" spans="1:6" s="722" customFormat="1" ht="14.25" customHeight="1" thickBot="1">
      <c r="A65" s="734" t="s">
        <v>137</v>
      </c>
      <c r="B65" s="728" t="s">
        <v>355</v>
      </c>
      <c r="C65" s="728">
        <v>15220</v>
      </c>
      <c r="D65" s="728">
        <v>14660</v>
      </c>
      <c r="E65" s="728">
        <v>15060</v>
      </c>
      <c r="F65" s="742"/>
    </row>
    <row r="66" spans="1:6" s="722" customFormat="1" ht="14.25" customHeight="1" thickBot="1">
      <c r="A66" s="734" t="s">
        <v>137</v>
      </c>
      <c r="B66" s="728" t="s">
        <v>365</v>
      </c>
      <c r="C66" s="728">
        <v>14720</v>
      </c>
      <c r="D66" s="728">
        <v>15970</v>
      </c>
      <c r="E66" s="728">
        <v>14610</v>
      </c>
      <c r="F66" s="742"/>
    </row>
    <row r="67" spans="1:6" s="722" customFormat="1" ht="14.25" customHeight="1" thickBot="1">
      <c r="A67" s="734" t="s">
        <v>137</v>
      </c>
      <c r="B67" s="728" t="s">
        <v>375</v>
      </c>
      <c r="C67" s="728">
        <v>16080</v>
      </c>
      <c r="D67" s="728">
        <v>14840</v>
      </c>
      <c r="E67" s="728">
        <v>15630</v>
      </c>
      <c r="F67" s="742"/>
    </row>
    <row r="68" spans="1:6" s="722" customFormat="1" ht="14.25" customHeight="1" thickBot="1">
      <c r="A68" s="734" t="s">
        <v>137</v>
      </c>
      <c r="B68" s="728" t="s">
        <v>384</v>
      </c>
      <c r="C68" s="728">
        <v>14940</v>
      </c>
      <c r="D68" s="728">
        <v>18000</v>
      </c>
      <c r="E68" s="728">
        <v>14040</v>
      </c>
      <c r="F68" s="742"/>
    </row>
    <row r="69" spans="1:6" s="722" customFormat="1" ht="14.25" customHeight="1" thickBot="1">
      <c r="A69" s="734" t="s">
        <v>137</v>
      </c>
      <c r="B69" s="728" t="s">
        <v>393</v>
      </c>
      <c r="C69" s="728">
        <v>18810</v>
      </c>
      <c r="D69" s="728">
        <v>15100</v>
      </c>
      <c r="E69" s="728">
        <v>14710</v>
      </c>
      <c r="F69" s="742"/>
    </row>
    <row r="70" spans="1:6" s="722" customFormat="1" ht="14.25" customHeight="1" thickBot="1">
      <c r="A70" s="734" t="s">
        <v>137</v>
      </c>
      <c r="B70" s="728" t="s">
        <v>401</v>
      </c>
      <c r="C70" s="728">
        <v>18270</v>
      </c>
      <c r="D70" s="728"/>
      <c r="E70" s="728"/>
      <c r="F70" s="742"/>
    </row>
    <row r="71" spans="1:6" s="722" customFormat="1" ht="14.25" customHeight="1" thickBot="1">
      <c r="A71" s="734" t="s">
        <v>137</v>
      </c>
      <c r="B71" s="728" t="s">
        <v>408</v>
      </c>
      <c r="C71" s="728">
        <v>15230</v>
      </c>
      <c r="D71" s="728"/>
      <c r="E71" s="728"/>
      <c r="F71" s="742"/>
    </row>
    <row r="72" spans="1:6" s="722" customFormat="1" ht="14.25" customHeight="1" thickBot="1">
      <c r="A72" s="734" t="s">
        <v>137</v>
      </c>
      <c r="B72" s="728" t="s">
        <v>415</v>
      </c>
      <c r="C72" s="728"/>
      <c r="D72" s="728"/>
      <c r="E72" s="728"/>
      <c r="F72" s="742">
        <v>4120</v>
      </c>
    </row>
    <row r="73" spans="1:6" s="722" customFormat="1" ht="14.25" customHeight="1" thickBot="1">
      <c r="A73" s="734" t="s">
        <v>137</v>
      </c>
      <c r="B73" s="728" t="s">
        <v>422</v>
      </c>
      <c r="C73" s="728"/>
      <c r="D73" s="728"/>
      <c r="E73" s="728"/>
      <c r="F73" s="742">
        <v>3930</v>
      </c>
    </row>
    <row r="74" spans="1:6" s="722" customFormat="1" ht="14.25" customHeight="1" thickBot="1">
      <c r="A74" s="734" t="s">
        <v>137</v>
      </c>
      <c r="B74" s="728" t="s">
        <v>429</v>
      </c>
      <c r="C74" s="728"/>
      <c r="D74" s="728"/>
      <c r="E74" s="728"/>
      <c r="F74" s="742">
        <v>4060</v>
      </c>
    </row>
    <row r="75" spans="1:6" s="722" customFormat="1" ht="14.25" customHeight="1" thickBot="1">
      <c r="A75" s="734" t="s">
        <v>137</v>
      </c>
      <c r="B75" s="740" t="s">
        <v>436</v>
      </c>
      <c r="C75" s="740"/>
      <c r="D75" s="740"/>
      <c r="E75" s="740"/>
      <c r="F75" s="745">
        <v>3750</v>
      </c>
    </row>
    <row r="76" spans="1:6" s="722" customFormat="1" ht="14.25" customHeight="1" thickBot="1">
      <c r="A76" s="734" t="s">
        <v>523</v>
      </c>
      <c r="B76" s="735" t="s">
        <v>524</v>
      </c>
      <c r="C76" s="735">
        <v>14690</v>
      </c>
      <c r="D76" s="735">
        <v>14640</v>
      </c>
      <c r="E76" s="735">
        <v>14590</v>
      </c>
      <c r="F76" s="736">
        <v>3060</v>
      </c>
    </row>
    <row r="77" spans="1:6" s="722" customFormat="1" ht="14.25" customHeight="1" thickBot="1">
      <c r="A77" s="734" t="s">
        <v>523</v>
      </c>
      <c r="B77" s="728" t="s">
        <v>191</v>
      </c>
      <c r="C77" s="728">
        <v>12550</v>
      </c>
      <c r="D77" s="728">
        <v>12480</v>
      </c>
      <c r="E77" s="728">
        <v>12450</v>
      </c>
      <c r="F77" s="742">
        <v>2590</v>
      </c>
    </row>
    <row r="78" spans="1:6" s="722" customFormat="1" ht="14.25" customHeight="1" thickBot="1">
      <c r="A78" s="734" t="s">
        <v>523</v>
      </c>
      <c r="B78" s="728" t="s">
        <v>204</v>
      </c>
      <c r="C78" s="728">
        <v>14360</v>
      </c>
      <c r="D78" s="728">
        <v>14320</v>
      </c>
      <c r="E78" s="728">
        <v>12510</v>
      </c>
      <c r="F78" s="742">
        <v>2700</v>
      </c>
    </row>
    <row r="79" spans="1:6" s="722" customFormat="1" ht="14.25" customHeight="1" thickBot="1">
      <c r="A79" s="734" t="s">
        <v>523</v>
      </c>
      <c r="B79" s="728" t="s">
        <v>217</v>
      </c>
      <c r="C79" s="728">
        <v>12590</v>
      </c>
      <c r="D79" s="728">
        <v>12540</v>
      </c>
      <c r="E79" s="728">
        <v>12350</v>
      </c>
      <c r="F79" s="742">
        <v>2740</v>
      </c>
    </row>
    <row r="80" spans="1:6" s="722" customFormat="1" ht="14.25" customHeight="1" thickBot="1">
      <c r="A80" s="734" t="s">
        <v>523</v>
      </c>
      <c r="B80" s="728" t="s">
        <v>229</v>
      </c>
      <c r="C80" s="728">
        <v>12450</v>
      </c>
      <c r="D80" s="728">
        <v>12370</v>
      </c>
      <c r="E80" s="728">
        <v>10790</v>
      </c>
      <c r="F80" s="742">
        <v>2290</v>
      </c>
    </row>
    <row r="81" spans="1:6" s="722" customFormat="1" ht="14.25" customHeight="1" thickBot="1">
      <c r="A81" s="734" t="s">
        <v>523</v>
      </c>
      <c r="B81" s="728" t="s">
        <v>240</v>
      </c>
      <c r="C81" s="728">
        <v>14210</v>
      </c>
      <c r="D81" s="728">
        <v>14150</v>
      </c>
      <c r="E81" s="728">
        <v>12730</v>
      </c>
      <c r="F81" s="742">
        <v>2240</v>
      </c>
    </row>
    <row r="82" spans="1:6" s="722" customFormat="1" ht="14.25" customHeight="1" thickBot="1">
      <c r="A82" s="734" t="s">
        <v>523</v>
      </c>
      <c r="B82" s="728" t="s">
        <v>251</v>
      </c>
      <c r="C82" s="728">
        <v>10860</v>
      </c>
      <c r="D82" s="728">
        <v>10820</v>
      </c>
      <c r="E82" s="728">
        <v>14720</v>
      </c>
      <c r="F82" s="742">
        <v>2490</v>
      </c>
    </row>
    <row r="83" spans="1:6" s="722" customFormat="1" ht="14.25" customHeight="1" thickBot="1">
      <c r="A83" s="734" t="s">
        <v>523</v>
      </c>
      <c r="B83" s="728" t="s">
        <v>262</v>
      </c>
      <c r="C83" s="728">
        <v>12810</v>
      </c>
      <c r="D83" s="728">
        <v>12760</v>
      </c>
      <c r="E83" s="728">
        <v>14830</v>
      </c>
      <c r="F83" s="742">
        <v>2450</v>
      </c>
    </row>
    <row r="84" spans="1:6" s="722" customFormat="1" ht="14.25" customHeight="1" thickBot="1">
      <c r="A84" s="734" t="s">
        <v>523</v>
      </c>
      <c r="B84" s="728" t="s">
        <v>274</v>
      </c>
      <c r="C84" s="728">
        <v>14950</v>
      </c>
      <c r="D84" s="728">
        <v>14810</v>
      </c>
      <c r="E84" s="728">
        <v>12590</v>
      </c>
      <c r="F84" s="742">
        <v>2540</v>
      </c>
    </row>
    <row r="85" spans="1:6" s="722" customFormat="1" ht="14.25" customHeight="1" thickBot="1">
      <c r="A85" s="734" t="s">
        <v>523</v>
      </c>
      <c r="B85" s="728" t="s">
        <v>284</v>
      </c>
      <c r="C85" s="728">
        <v>14960</v>
      </c>
      <c r="D85" s="728">
        <v>14890</v>
      </c>
      <c r="E85" s="728">
        <v>12840</v>
      </c>
      <c r="F85" s="742">
        <v>2840</v>
      </c>
    </row>
    <row r="86" spans="1:6" s="722" customFormat="1" ht="14.25" customHeight="1" thickBot="1">
      <c r="A86" s="734" t="s">
        <v>523</v>
      </c>
      <c r="B86" s="728" t="s">
        <v>294</v>
      </c>
      <c r="C86" s="728">
        <v>12730</v>
      </c>
      <c r="D86" s="728">
        <v>12660</v>
      </c>
      <c r="E86" s="728">
        <v>13310</v>
      </c>
      <c r="F86" s="742">
        <v>3140</v>
      </c>
    </row>
    <row r="87" spans="1:6" s="722" customFormat="1" ht="14.25" customHeight="1" thickBot="1">
      <c r="A87" s="734" t="s">
        <v>523</v>
      </c>
      <c r="B87" s="728" t="s">
        <v>304</v>
      </c>
      <c r="C87" s="728">
        <v>12940</v>
      </c>
      <c r="D87" s="728">
        <v>12890</v>
      </c>
      <c r="E87" s="728">
        <v>11580</v>
      </c>
      <c r="F87" s="746"/>
    </row>
    <row r="88" spans="1:6" s="722" customFormat="1" ht="14.25" customHeight="1" thickBot="1">
      <c r="A88" s="734" t="s">
        <v>523</v>
      </c>
      <c r="B88" s="728" t="s">
        <v>314</v>
      </c>
      <c r="C88" s="728">
        <v>13430</v>
      </c>
      <c r="D88" s="728">
        <v>13360</v>
      </c>
      <c r="E88" s="728">
        <v>12790</v>
      </c>
      <c r="F88" s="746"/>
    </row>
    <row r="89" spans="1:6" s="722" customFormat="1" ht="14.25" customHeight="1" thickBot="1">
      <c r="A89" s="734" t="s">
        <v>523</v>
      </c>
      <c r="B89" s="728" t="s">
        <v>325</v>
      </c>
      <c r="C89" s="728">
        <v>11680</v>
      </c>
      <c r="D89" s="728">
        <v>11630</v>
      </c>
      <c r="E89" s="728">
        <v>11320</v>
      </c>
      <c r="F89" s="746"/>
    </row>
    <row r="90" spans="1:6" s="722" customFormat="1" ht="14.25" customHeight="1" thickBot="1">
      <c r="A90" s="734" t="s">
        <v>523</v>
      </c>
      <c r="B90" s="728" t="s">
        <v>336</v>
      </c>
      <c r="C90" s="728">
        <v>12890</v>
      </c>
      <c r="D90" s="728">
        <v>12820</v>
      </c>
      <c r="E90" s="728">
        <v>12710</v>
      </c>
      <c r="F90" s="746"/>
    </row>
    <row r="91" spans="1:6" s="722" customFormat="1" ht="14.25" customHeight="1" thickBot="1">
      <c r="A91" s="734" t="s">
        <v>523</v>
      </c>
      <c r="B91" s="728" t="s">
        <v>346</v>
      </c>
      <c r="C91" s="728">
        <v>11410</v>
      </c>
      <c r="D91" s="728">
        <v>11360</v>
      </c>
      <c r="E91" s="728">
        <v>12670</v>
      </c>
      <c r="F91" s="746"/>
    </row>
    <row r="92" spans="1:6" s="722" customFormat="1" ht="14.25" customHeight="1" thickBot="1">
      <c r="A92" s="734" t="s">
        <v>523</v>
      </c>
      <c r="B92" s="728" t="s">
        <v>356</v>
      </c>
      <c r="C92" s="728">
        <v>12770</v>
      </c>
      <c r="D92" s="728">
        <v>12740</v>
      </c>
      <c r="E92" s="728">
        <v>11970</v>
      </c>
      <c r="F92" s="746"/>
    </row>
    <row r="93" spans="1:6" s="722" customFormat="1" ht="14.25" customHeight="1" thickBot="1">
      <c r="A93" s="734" t="s">
        <v>523</v>
      </c>
      <c r="B93" s="728" t="s">
        <v>366</v>
      </c>
      <c r="C93" s="728">
        <v>12740</v>
      </c>
      <c r="D93" s="728">
        <v>12700</v>
      </c>
      <c r="E93" s="728">
        <v>12540</v>
      </c>
      <c r="F93" s="746"/>
    </row>
    <row r="94" spans="1:6" s="722" customFormat="1" ht="14.25" customHeight="1" thickBot="1">
      <c r="A94" s="734" t="s">
        <v>523</v>
      </c>
      <c r="B94" s="728" t="s">
        <v>376</v>
      </c>
      <c r="C94" s="728">
        <v>12020</v>
      </c>
      <c r="D94" s="728">
        <v>11990</v>
      </c>
      <c r="E94" s="728">
        <v>13110</v>
      </c>
      <c r="F94" s="746"/>
    </row>
    <row r="95" spans="1:6" s="722" customFormat="1" ht="14.25" customHeight="1" thickBot="1">
      <c r="A95" s="734" t="s">
        <v>523</v>
      </c>
      <c r="B95" s="728" t="s">
        <v>385</v>
      </c>
      <c r="C95" s="728">
        <v>12620</v>
      </c>
      <c r="D95" s="728">
        <v>12580</v>
      </c>
      <c r="E95" s="728">
        <v>13160</v>
      </c>
      <c r="F95" s="742"/>
    </row>
    <row r="96" spans="1:6" s="722" customFormat="1" ht="14.25" customHeight="1" thickBot="1">
      <c r="A96" s="734" t="s">
        <v>523</v>
      </c>
      <c r="B96" s="728" t="s">
        <v>394</v>
      </c>
      <c r="C96" s="728">
        <v>13200</v>
      </c>
      <c r="D96" s="728">
        <v>13150</v>
      </c>
      <c r="E96" s="728">
        <v>12900</v>
      </c>
      <c r="F96" s="742"/>
    </row>
    <row r="97" spans="1:6" s="722" customFormat="1" ht="14.25" customHeight="1" thickBot="1">
      <c r="A97" s="734" t="s">
        <v>523</v>
      </c>
      <c r="B97" s="728" t="s">
        <v>402</v>
      </c>
      <c r="C97" s="728">
        <v>13270</v>
      </c>
      <c r="D97" s="728">
        <v>13210</v>
      </c>
      <c r="E97" s="728">
        <v>11080</v>
      </c>
      <c r="F97" s="742"/>
    </row>
    <row r="98" spans="1:6" s="722" customFormat="1" ht="14.25" customHeight="1" thickBot="1">
      <c r="A98" s="734" t="s">
        <v>523</v>
      </c>
      <c r="B98" s="728" t="s">
        <v>409</v>
      </c>
      <c r="C98" s="728">
        <v>13010</v>
      </c>
      <c r="D98" s="728">
        <v>12930</v>
      </c>
      <c r="E98" s="728">
        <v>12840</v>
      </c>
      <c r="F98" s="742"/>
    </row>
    <row r="99" spans="1:6" s="722" customFormat="1" ht="14.25" customHeight="1" thickBot="1">
      <c r="A99" s="734" t="s">
        <v>523</v>
      </c>
      <c r="B99" s="728" t="s">
        <v>416</v>
      </c>
      <c r="C99" s="728">
        <v>11190</v>
      </c>
      <c r="D99" s="728">
        <v>11130</v>
      </c>
      <c r="E99" s="728"/>
      <c r="F99" s="742"/>
    </row>
    <row r="100" spans="1:6" s="722" customFormat="1" ht="14.25" customHeight="1" thickBot="1">
      <c r="A100" s="734" t="s">
        <v>523</v>
      </c>
      <c r="B100" s="728" t="s">
        <v>423</v>
      </c>
      <c r="C100" s="728">
        <v>14280</v>
      </c>
      <c r="D100" s="728">
        <v>14180</v>
      </c>
      <c r="E100" s="728"/>
      <c r="F100" s="742"/>
    </row>
    <row r="101" spans="1:6" s="722" customFormat="1" ht="14.25" customHeight="1" thickBot="1">
      <c r="A101" s="734" t="s">
        <v>523</v>
      </c>
      <c r="B101" s="728" t="s">
        <v>430</v>
      </c>
      <c r="C101" s="728">
        <v>12960</v>
      </c>
      <c r="D101" s="728">
        <v>12890</v>
      </c>
      <c r="E101" s="728"/>
      <c r="F101" s="742"/>
    </row>
    <row r="102" spans="1:6" s="722" customFormat="1" ht="14.25" customHeight="1" thickBot="1">
      <c r="A102" s="734" t="s">
        <v>523</v>
      </c>
      <c r="B102" s="728" t="s">
        <v>437</v>
      </c>
      <c r="C102" s="728"/>
      <c r="D102" s="728"/>
      <c r="E102" s="728"/>
      <c r="F102" s="742">
        <v>3100</v>
      </c>
    </row>
    <row r="103" spans="1:6" s="722" customFormat="1" ht="14.25" customHeight="1" thickBot="1">
      <c r="A103" s="734" t="s">
        <v>523</v>
      </c>
      <c r="B103" s="728" t="s">
        <v>444</v>
      </c>
      <c r="C103" s="728"/>
      <c r="D103" s="728"/>
      <c r="E103" s="728"/>
      <c r="F103" s="742">
        <v>2320</v>
      </c>
    </row>
    <row r="104" spans="1:6" s="722" customFormat="1" ht="14.25" customHeight="1" thickBot="1">
      <c r="A104" s="734" t="s">
        <v>523</v>
      </c>
      <c r="B104" s="728" t="s">
        <v>449</v>
      </c>
      <c r="C104" s="728"/>
      <c r="D104" s="728"/>
      <c r="E104" s="728"/>
      <c r="F104" s="742">
        <v>2320</v>
      </c>
    </row>
    <row r="105" spans="1:6" s="722" customFormat="1" ht="14.25" customHeight="1" thickBot="1">
      <c r="A105" s="734" t="s">
        <v>523</v>
      </c>
      <c r="B105" s="728" t="s">
        <v>453</v>
      </c>
      <c r="C105" s="728"/>
      <c r="D105" s="728"/>
      <c r="E105" s="728"/>
      <c r="F105" s="742">
        <v>2320</v>
      </c>
    </row>
    <row r="106" spans="1:6" s="722" customFormat="1" ht="14.25" customHeight="1" thickBot="1">
      <c r="A106" s="734" t="s">
        <v>523</v>
      </c>
      <c r="B106" s="728" t="s">
        <v>458</v>
      </c>
      <c r="C106" s="728"/>
      <c r="D106" s="728"/>
      <c r="E106" s="728"/>
      <c r="F106" s="742">
        <v>2320</v>
      </c>
    </row>
    <row r="107" spans="1:6" s="722" customFormat="1" ht="14.25" customHeight="1" thickBot="1">
      <c r="A107" s="734" t="s">
        <v>523</v>
      </c>
      <c r="B107" s="728" t="s">
        <v>463</v>
      </c>
      <c r="C107" s="728"/>
      <c r="D107" s="728"/>
      <c r="E107" s="728"/>
      <c r="F107" s="742">
        <v>2280</v>
      </c>
    </row>
    <row r="108" spans="1:6" s="722" customFormat="1" ht="14.25" customHeight="1" thickBot="1">
      <c r="A108" s="734" t="s">
        <v>523</v>
      </c>
      <c r="B108" s="728" t="s">
        <v>468</v>
      </c>
      <c r="C108" s="728"/>
      <c r="D108" s="728"/>
      <c r="E108" s="728"/>
      <c r="F108" s="742">
        <v>2280</v>
      </c>
    </row>
    <row r="109" spans="1:6" s="722" customFormat="1" ht="14.25" customHeight="1" thickBot="1">
      <c r="A109" s="734" t="s">
        <v>523</v>
      </c>
      <c r="B109" s="740" t="s">
        <v>473</v>
      </c>
      <c r="C109" s="740"/>
      <c r="D109" s="740"/>
      <c r="E109" s="740"/>
      <c r="F109" s="745">
        <v>2280</v>
      </c>
    </row>
    <row r="110" spans="1:6" s="722" customFormat="1" ht="14.25" customHeight="1" thickBot="1">
      <c r="A110" s="734" t="s">
        <v>56</v>
      </c>
      <c r="B110" s="735" t="s">
        <v>525</v>
      </c>
      <c r="C110" s="735">
        <v>10520</v>
      </c>
      <c r="D110" s="735">
        <v>10490</v>
      </c>
      <c r="E110" s="735">
        <v>10760</v>
      </c>
      <c r="F110" s="736">
        <v>2160</v>
      </c>
    </row>
    <row r="111" spans="1:6" s="722" customFormat="1" ht="14.25" customHeight="1" thickBot="1">
      <c r="A111" s="734" t="s">
        <v>56</v>
      </c>
      <c r="B111" s="728" t="s">
        <v>192</v>
      </c>
      <c r="C111" s="728">
        <v>10090</v>
      </c>
      <c r="D111" s="728">
        <v>10060</v>
      </c>
      <c r="E111" s="728">
        <v>10300</v>
      </c>
      <c r="F111" s="742">
        <v>2010</v>
      </c>
    </row>
    <row r="112" spans="1:6" s="722" customFormat="1" ht="14.25" customHeight="1" thickBot="1">
      <c r="A112" s="734" t="s">
        <v>56</v>
      </c>
      <c r="B112" s="728" t="s">
        <v>205</v>
      </c>
      <c r="C112" s="728">
        <v>9910</v>
      </c>
      <c r="D112" s="728">
        <v>9850</v>
      </c>
      <c r="E112" s="728">
        <v>9960</v>
      </c>
      <c r="F112" s="742">
        <v>2090</v>
      </c>
    </row>
    <row r="113" spans="1:6" s="722" customFormat="1" ht="14.25" customHeight="1" thickBot="1">
      <c r="A113" s="734" t="s">
        <v>56</v>
      </c>
      <c r="B113" s="728" t="s">
        <v>218</v>
      </c>
      <c r="C113" s="728">
        <v>11430</v>
      </c>
      <c r="D113" s="728">
        <v>11400</v>
      </c>
      <c r="E113" s="728">
        <v>11710</v>
      </c>
      <c r="F113" s="742">
        <v>2050</v>
      </c>
    </row>
    <row r="114" spans="1:6" s="722" customFormat="1" ht="14.25" customHeight="1" thickBot="1">
      <c r="A114" s="734" t="s">
        <v>56</v>
      </c>
      <c r="B114" s="728" t="s">
        <v>230</v>
      </c>
      <c r="C114" s="728">
        <v>11390</v>
      </c>
      <c r="D114" s="728">
        <v>11350</v>
      </c>
      <c r="E114" s="728">
        <v>11640</v>
      </c>
      <c r="F114" s="742">
        <v>1620</v>
      </c>
    </row>
    <row r="115" spans="1:6" s="722" customFormat="1" ht="14.25" customHeight="1" thickBot="1">
      <c r="A115" s="734" t="s">
        <v>56</v>
      </c>
      <c r="B115" s="728" t="s">
        <v>241</v>
      </c>
      <c r="C115" s="728">
        <v>9930</v>
      </c>
      <c r="D115" s="728">
        <v>9900</v>
      </c>
      <c r="E115" s="728">
        <v>10160</v>
      </c>
      <c r="F115" s="742">
        <v>1580</v>
      </c>
    </row>
    <row r="116" spans="1:6" s="722" customFormat="1" ht="14.25" customHeight="1" thickBot="1">
      <c r="A116" s="734" t="s">
        <v>56</v>
      </c>
      <c r="B116" s="728" t="s">
        <v>252</v>
      </c>
      <c r="C116" s="728">
        <v>9150</v>
      </c>
      <c r="D116" s="728">
        <v>9120</v>
      </c>
      <c r="E116" s="728">
        <v>9380</v>
      </c>
      <c r="F116" s="742">
        <v>1750</v>
      </c>
    </row>
    <row r="117" spans="1:6" s="722" customFormat="1" ht="14.25" customHeight="1" thickBot="1">
      <c r="A117" s="734" t="s">
        <v>56</v>
      </c>
      <c r="B117" s="728" t="s">
        <v>263</v>
      </c>
      <c r="C117" s="728">
        <v>10680</v>
      </c>
      <c r="D117" s="728">
        <v>10650</v>
      </c>
      <c r="E117" s="728">
        <v>10970</v>
      </c>
      <c r="F117" s="742">
        <v>1730</v>
      </c>
    </row>
    <row r="118" spans="1:6" s="722" customFormat="1" ht="14.25" customHeight="1" thickBot="1">
      <c r="A118" s="734" t="s">
        <v>56</v>
      </c>
      <c r="B118" s="728" t="s">
        <v>275</v>
      </c>
      <c r="C118" s="728">
        <v>10080</v>
      </c>
      <c r="D118" s="728">
        <v>10050</v>
      </c>
      <c r="E118" s="728">
        <v>10350</v>
      </c>
      <c r="F118" s="742">
        <v>1920</v>
      </c>
    </row>
    <row r="119" spans="1:6" s="722" customFormat="1" ht="14.25" customHeight="1" thickBot="1">
      <c r="A119" s="734" t="s">
        <v>56</v>
      </c>
      <c r="B119" s="728" t="s">
        <v>285</v>
      </c>
      <c r="C119" s="728">
        <v>9450</v>
      </c>
      <c r="D119" s="728">
        <v>9410</v>
      </c>
      <c r="E119" s="728">
        <v>9680</v>
      </c>
      <c r="F119" s="742">
        <v>1880</v>
      </c>
    </row>
    <row r="120" spans="1:6" s="722" customFormat="1" ht="14.25" customHeight="1" thickBot="1">
      <c r="A120" s="734" t="s">
        <v>56</v>
      </c>
      <c r="B120" s="728" t="s">
        <v>295</v>
      </c>
      <c r="C120" s="728">
        <v>8730</v>
      </c>
      <c r="D120" s="728">
        <v>8700</v>
      </c>
      <c r="E120" s="728">
        <v>8950</v>
      </c>
      <c r="F120" s="742">
        <v>1830</v>
      </c>
    </row>
    <row r="121" spans="1:6" s="722" customFormat="1" ht="14.25" customHeight="1" thickBot="1">
      <c r="A121" s="734" t="s">
        <v>56</v>
      </c>
      <c r="B121" s="728" t="s">
        <v>305</v>
      </c>
      <c r="C121" s="728">
        <v>10070</v>
      </c>
      <c r="D121" s="728">
        <v>10040</v>
      </c>
      <c r="E121" s="728">
        <v>10270</v>
      </c>
      <c r="F121" s="742">
        <v>1960</v>
      </c>
    </row>
    <row r="122" spans="1:6" s="722" customFormat="1" ht="14.25" customHeight="1" thickBot="1">
      <c r="A122" s="734" t="s">
        <v>56</v>
      </c>
      <c r="B122" s="728" t="s">
        <v>315</v>
      </c>
      <c r="C122" s="728">
        <v>10500</v>
      </c>
      <c r="D122" s="728">
        <v>10470</v>
      </c>
      <c r="E122" s="728">
        <v>10780</v>
      </c>
      <c r="F122" s="742">
        <v>2180</v>
      </c>
    </row>
    <row r="123" spans="1:6" s="722" customFormat="1" ht="14.25" customHeight="1" thickBot="1">
      <c r="A123" s="734" t="s">
        <v>56</v>
      </c>
      <c r="B123" s="728" t="s">
        <v>326</v>
      </c>
      <c r="C123" s="728">
        <v>10390</v>
      </c>
      <c r="D123" s="728">
        <v>10360</v>
      </c>
      <c r="E123" s="728">
        <v>10660</v>
      </c>
      <c r="F123" s="742">
        <v>2040</v>
      </c>
    </row>
    <row r="124" spans="1:6" s="722" customFormat="1" ht="14.25" customHeight="1" thickBot="1">
      <c r="A124" s="734" t="s">
        <v>56</v>
      </c>
      <c r="B124" s="728" t="s">
        <v>337</v>
      </c>
      <c r="C124" s="728">
        <v>10390</v>
      </c>
      <c r="D124" s="728">
        <v>10360</v>
      </c>
      <c r="E124" s="728">
        <v>10680</v>
      </c>
      <c r="F124" s="746"/>
    </row>
    <row r="125" spans="1:6" s="722" customFormat="1" ht="14.25" customHeight="1" thickBot="1">
      <c r="A125" s="734" t="s">
        <v>56</v>
      </c>
      <c r="B125" s="728" t="s">
        <v>347</v>
      </c>
      <c r="C125" s="728">
        <v>10440</v>
      </c>
      <c r="D125" s="728">
        <v>10410</v>
      </c>
      <c r="E125" s="728">
        <v>10710</v>
      </c>
      <c r="F125" s="746"/>
    </row>
    <row r="126" spans="1:6" s="722" customFormat="1" ht="14.25" customHeight="1" thickBot="1">
      <c r="A126" s="734" t="s">
        <v>56</v>
      </c>
      <c r="B126" s="728" t="s">
        <v>357</v>
      </c>
      <c r="C126" s="728">
        <v>10780</v>
      </c>
      <c r="D126" s="728">
        <v>10750</v>
      </c>
      <c r="E126" s="728">
        <v>11080</v>
      </c>
      <c r="F126" s="746"/>
    </row>
    <row r="127" spans="1:6" s="722" customFormat="1" ht="14.25" customHeight="1" thickBot="1">
      <c r="A127" s="734" t="s">
        <v>56</v>
      </c>
      <c r="B127" s="728" t="s">
        <v>367</v>
      </c>
      <c r="C127" s="728">
        <v>10100</v>
      </c>
      <c r="D127" s="728">
        <v>10070</v>
      </c>
      <c r="E127" s="728">
        <v>10350</v>
      </c>
      <c r="F127" s="746"/>
    </row>
    <row r="128" spans="1:6" s="722" customFormat="1" ht="14.25" customHeight="1" thickBot="1">
      <c r="A128" s="734" t="s">
        <v>56</v>
      </c>
      <c r="B128" s="728" t="s">
        <v>377</v>
      </c>
      <c r="C128" s="728">
        <v>9200</v>
      </c>
      <c r="D128" s="728">
        <v>9160</v>
      </c>
      <c r="E128" s="728">
        <v>9660</v>
      </c>
      <c r="F128" s="746"/>
    </row>
    <row r="129" spans="1:6" s="722" customFormat="1" ht="14.25" customHeight="1" thickBot="1">
      <c r="A129" s="734" t="s">
        <v>56</v>
      </c>
      <c r="B129" s="728" t="s">
        <v>386</v>
      </c>
      <c r="C129" s="728">
        <v>10340</v>
      </c>
      <c r="D129" s="728">
        <v>10310</v>
      </c>
      <c r="E129" s="728">
        <v>10580</v>
      </c>
      <c r="F129" s="746"/>
    </row>
    <row r="130" spans="1:6" s="722" customFormat="1" ht="14.25" customHeight="1" thickBot="1">
      <c r="A130" s="734" t="s">
        <v>56</v>
      </c>
      <c r="B130" s="728" t="s">
        <v>395</v>
      </c>
      <c r="C130" s="728">
        <v>9680</v>
      </c>
      <c r="D130" s="728">
        <v>9660</v>
      </c>
      <c r="E130" s="728">
        <v>9950</v>
      </c>
      <c r="F130" s="746"/>
    </row>
    <row r="131" spans="1:6" s="722" customFormat="1" ht="14.25" customHeight="1" thickBot="1">
      <c r="A131" s="734" t="s">
        <v>56</v>
      </c>
      <c r="B131" s="728" t="s">
        <v>403</v>
      </c>
      <c r="C131" s="728">
        <v>9540</v>
      </c>
      <c r="D131" s="728">
        <v>9510</v>
      </c>
      <c r="E131" s="728">
        <v>9790</v>
      </c>
      <c r="F131" s="746"/>
    </row>
    <row r="132" spans="1:6" s="722" customFormat="1" ht="14.25" customHeight="1" thickBot="1">
      <c r="A132" s="734" t="s">
        <v>56</v>
      </c>
      <c r="B132" s="728" t="s">
        <v>410</v>
      </c>
      <c r="C132" s="728">
        <v>9320</v>
      </c>
      <c r="D132" s="728">
        <v>9290</v>
      </c>
      <c r="E132" s="728">
        <v>9570</v>
      </c>
      <c r="F132" s="746"/>
    </row>
    <row r="133" spans="1:6" s="722" customFormat="1" ht="14.25" customHeight="1" thickBot="1">
      <c r="A133" s="734" t="s">
        <v>56</v>
      </c>
      <c r="B133" s="728" t="s">
        <v>417</v>
      </c>
      <c r="C133" s="728">
        <v>10310</v>
      </c>
      <c r="D133" s="728">
        <v>10280</v>
      </c>
      <c r="E133" s="728">
        <v>10530</v>
      </c>
      <c r="F133" s="746"/>
    </row>
    <row r="134" spans="1:6" s="722" customFormat="1" ht="14.25" customHeight="1" thickBot="1">
      <c r="A134" s="734" t="s">
        <v>56</v>
      </c>
      <c r="B134" s="728" t="s">
        <v>424</v>
      </c>
      <c r="C134" s="728">
        <v>10370</v>
      </c>
      <c r="D134" s="728">
        <v>10310</v>
      </c>
      <c r="E134" s="728">
        <v>10240</v>
      </c>
      <c r="F134" s="742">
        <v>2060</v>
      </c>
    </row>
    <row r="135" spans="1:6" s="722" customFormat="1" ht="14.25" customHeight="1" thickBot="1">
      <c r="A135" s="734" t="s">
        <v>56</v>
      </c>
      <c r="B135" s="728" t="s">
        <v>431</v>
      </c>
      <c r="C135" s="728">
        <v>9300</v>
      </c>
      <c r="D135" s="728">
        <v>9270</v>
      </c>
      <c r="E135" s="728">
        <v>9350</v>
      </c>
      <c r="F135" s="746"/>
    </row>
    <row r="136" spans="1:6" s="722" customFormat="1" ht="14.25" customHeight="1" thickBot="1">
      <c r="A136" s="734" t="s">
        <v>56</v>
      </c>
      <c r="B136" s="728" t="s">
        <v>438</v>
      </c>
      <c r="C136" s="728">
        <v>10160</v>
      </c>
      <c r="D136" s="728">
        <v>10110</v>
      </c>
      <c r="E136" s="728">
        <v>10080</v>
      </c>
      <c r="F136" s="746"/>
    </row>
    <row r="137" spans="1:6" s="722" customFormat="1" ht="14.25" customHeight="1" thickBot="1">
      <c r="A137" s="734" t="s">
        <v>56</v>
      </c>
      <c r="B137" s="728" t="s">
        <v>445</v>
      </c>
      <c r="C137" s="728">
        <v>9200</v>
      </c>
      <c r="D137" s="728">
        <v>9170</v>
      </c>
      <c r="E137" s="728">
        <v>9450</v>
      </c>
      <c r="F137" s="746"/>
    </row>
    <row r="138" spans="1:6" s="722" customFormat="1" ht="14.25" customHeight="1" thickBot="1">
      <c r="A138" s="734" t="s">
        <v>56</v>
      </c>
      <c r="B138" s="728" t="s">
        <v>450</v>
      </c>
      <c r="C138" s="728">
        <v>9690</v>
      </c>
      <c r="D138" s="728">
        <v>9660</v>
      </c>
      <c r="E138" s="728">
        <v>9840</v>
      </c>
      <c r="F138" s="746"/>
    </row>
    <row r="139" spans="1:6" s="722" customFormat="1" ht="14.25" customHeight="1" thickBot="1">
      <c r="A139" s="734" t="s">
        <v>56</v>
      </c>
      <c r="B139" s="728" t="s">
        <v>454</v>
      </c>
      <c r="C139" s="728">
        <v>10290</v>
      </c>
      <c r="D139" s="728">
        <v>10260</v>
      </c>
      <c r="E139" s="728">
        <v>10550</v>
      </c>
      <c r="F139" s="742">
        <v>1700</v>
      </c>
    </row>
    <row r="140" spans="1:6" s="722" customFormat="1" ht="14.25" customHeight="1" thickBot="1">
      <c r="A140" s="734" t="s">
        <v>56</v>
      </c>
      <c r="B140" s="728" t="s">
        <v>459</v>
      </c>
      <c r="C140" s="728">
        <v>9740</v>
      </c>
      <c r="D140" s="728">
        <v>9710</v>
      </c>
      <c r="E140" s="728">
        <v>10000</v>
      </c>
      <c r="F140" s="742">
        <v>2000</v>
      </c>
    </row>
    <row r="141" spans="1:6" s="722" customFormat="1" ht="14.25" customHeight="1" thickBot="1">
      <c r="A141" s="734" t="s">
        <v>56</v>
      </c>
      <c r="B141" s="728" t="s">
        <v>464</v>
      </c>
      <c r="C141" s="728">
        <v>9810</v>
      </c>
      <c r="D141" s="728">
        <v>9770</v>
      </c>
      <c r="E141" s="728">
        <v>10060</v>
      </c>
      <c r="F141" s="746"/>
    </row>
    <row r="142" spans="1:6" s="722" customFormat="1" ht="14.25" customHeight="1" thickBot="1">
      <c r="A142" s="734" t="s">
        <v>56</v>
      </c>
      <c r="B142" s="728" t="s">
        <v>469</v>
      </c>
      <c r="C142" s="728">
        <v>9300</v>
      </c>
      <c r="D142" s="728">
        <v>9270</v>
      </c>
      <c r="E142" s="728">
        <v>9530</v>
      </c>
      <c r="F142" s="746"/>
    </row>
    <row r="143" spans="1:6" s="722" customFormat="1" ht="14.25" customHeight="1" thickBot="1">
      <c r="A143" s="734" t="s">
        <v>56</v>
      </c>
      <c r="B143" s="728" t="s">
        <v>474</v>
      </c>
      <c r="C143" s="728">
        <v>10080</v>
      </c>
      <c r="D143" s="728">
        <v>10050</v>
      </c>
      <c r="E143" s="728">
        <v>10340</v>
      </c>
      <c r="F143" s="746"/>
    </row>
    <row r="144" spans="1:6" s="722" customFormat="1" ht="14.25" customHeight="1" thickBot="1">
      <c r="A144" s="734" t="s">
        <v>56</v>
      </c>
      <c r="B144" s="728" t="s">
        <v>478</v>
      </c>
      <c r="C144" s="728">
        <v>9820</v>
      </c>
      <c r="D144" s="728">
        <v>9750</v>
      </c>
      <c r="E144" s="728">
        <v>9900</v>
      </c>
      <c r="F144" s="746"/>
    </row>
    <row r="145" spans="1:6" s="722" customFormat="1" ht="14.25" customHeight="1" thickBot="1">
      <c r="A145" s="734" t="s">
        <v>56</v>
      </c>
      <c r="B145" s="728" t="s">
        <v>482</v>
      </c>
      <c r="C145" s="728"/>
      <c r="D145" s="728"/>
      <c r="E145" s="728"/>
      <c r="F145" s="742">
        <v>1740</v>
      </c>
    </row>
    <row r="146" spans="1:6" s="722" customFormat="1" ht="14.25" customHeight="1" thickBot="1">
      <c r="A146" s="734" t="s">
        <v>56</v>
      </c>
      <c r="B146" s="728" t="s">
        <v>486</v>
      </c>
      <c r="C146" s="728"/>
      <c r="D146" s="728"/>
      <c r="E146" s="728"/>
      <c r="F146" s="742">
        <v>1740</v>
      </c>
    </row>
    <row r="147" spans="1:6" s="722" customFormat="1" ht="14.25" customHeight="1" thickBot="1">
      <c r="A147" s="734" t="s">
        <v>56</v>
      </c>
      <c r="B147" s="728" t="s">
        <v>490</v>
      </c>
      <c r="C147" s="728"/>
      <c r="D147" s="728"/>
      <c r="E147" s="728"/>
      <c r="F147" s="742">
        <v>1740</v>
      </c>
    </row>
    <row r="148" spans="1:6" s="722" customFormat="1" ht="14.25" customHeight="1" thickBot="1">
      <c r="A148" s="734" t="s">
        <v>56</v>
      </c>
      <c r="B148" s="728" t="s">
        <v>494</v>
      </c>
      <c r="C148" s="728"/>
      <c r="D148" s="728"/>
      <c r="E148" s="728"/>
      <c r="F148" s="742">
        <v>1740</v>
      </c>
    </row>
    <row r="149" spans="1:6" s="722" customFormat="1" ht="14.25" customHeight="1" thickBot="1">
      <c r="A149" s="734" t="s">
        <v>56</v>
      </c>
      <c r="B149" s="728" t="s">
        <v>498</v>
      </c>
      <c r="C149" s="728"/>
      <c r="D149" s="728"/>
      <c r="E149" s="728"/>
      <c r="F149" s="742">
        <v>1740</v>
      </c>
    </row>
    <row r="150" spans="1:6" s="722" customFormat="1" ht="14.25" customHeight="1" thickBot="1">
      <c r="A150" s="734" t="s">
        <v>56</v>
      </c>
      <c r="B150" s="728" t="s">
        <v>501</v>
      </c>
      <c r="C150" s="728"/>
      <c r="D150" s="728"/>
      <c r="E150" s="728"/>
      <c r="F150" s="742">
        <v>1610</v>
      </c>
    </row>
    <row r="151" spans="1:6" s="722" customFormat="1" ht="14.25" customHeight="1" thickBot="1">
      <c r="A151" s="734" t="s">
        <v>56</v>
      </c>
      <c r="B151" s="728" t="s">
        <v>504</v>
      </c>
      <c r="C151" s="728"/>
      <c r="D151" s="728"/>
      <c r="E151" s="728"/>
      <c r="F151" s="742">
        <v>1610</v>
      </c>
    </row>
    <row r="152" spans="1:6" s="722" customFormat="1" ht="14.25" customHeight="1" thickBot="1">
      <c r="A152" s="734" t="s">
        <v>56</v>
      </c>
      <c r="B152" s="728" t="s">
        <v>507</v>
      </c>
      <c r="C152" s="728"/>
      <c r="D152" s="728"/>
      <c r="E152" s="728"/>
      <c r="F152" s="742">
        <v>1610</v>
      </c>
    </row>
    <row r="153" spans="1:6" s="722" customFormat="1" ht="14.25" customHeight="1" thickBot="1">
      <c r="A153" s="734" t="s">
        <v>56</v>
      </c>
      <c r="B153" s="728" t="s">
        <v>510</v>
      </c>
      <c r="C153" s="728"/>
      <c r="D153" s="728"/>
      <c r="E153" s="728"/>
      <c r="F153" s="742">
        <v>1610</v>
      </c>
    </row>
    <row r="154" spans="1:6" s="722" customFormat="1" ht="14.25" customHeight="1" thickBot="1">
      <c r="A154" s="734" t="s">
        <v>56</v>
      </c>
      <c r="B154" s="728" t="s">
        <v>513</v>
      </c>
      <c r="C154" s="728"/>
      <c r="D154" s="728"/>
      <c r="E154" s="728"/>
      <c r="F154" s="742">
        <v>1610</v>
      </c>
    </row>
    <row r="155" spans="1:6" s="722" customFormat="1" ht="14.25" customHeight="1" thickBot="1">
      <c r="A155" s="734" t="s">
        <v>56</v>
      </c>
      <c r="B155" s="728" t="s">
        <v>516</v>
      </c>
      <c r="C155" s="728"/>
      <c r="D155" s="728"/>
      <c r="E155" s="728"/>
      <c r="F155" s="742">
        <v>1800</v>
      </c>
    </row>
    <row r="156" spans="1:6" s="722" customFormat="1" ht="14.25" customHeight="1" thickBot="1">
      <c r="A156" s="734" t="s">
        <v>56</v>
      </c>
      <c r="B156" s="728" t="s">
        <v>518</v>
      </c>
      <c r="C156" s="728"/>
      <c r="D156" s="728"/>
      <c r="E156" s="728"/>
      <c r="F156" s="742">
        <v>1910</v>
      </c>
    </row>
    <row r="157" spans="1:6" s="722" customFormat="1" ht="14.25" customHeight="1" thickBot="1">
      <c r="A157" s="734" t="s">
        <v>56</v>
      </c>
      <c r="B157" s="740" t="s">
        <v>521</v>
      </c>
      <c r="C157" s="740"/>
      <c r="D157" s="740"/>
      <c r="E157" s="740"/>
      <c r="F157" s="745">
        <v>1500</v>
      </c>
    </row>
    <row r="158" spans="1:6" s="722" customFormat="1" ht="14.25" customHeight="1" thickBot="1">
      <c r="A158" s="734" t="s">
        <v>526</v>
      </c>
      <c r="B158" s="735" t="s">
        <v>527</v>
      </c>
      <c r="C158" s="735">
        <v>8170</v>
      </c>
      <c r="D158" s="735">
        <v>8140</v>
      </c>
      <c r="E158" s="735">
        <v>8590</v>
      </c>
      <c r="F158" s="736">
        <v>1450</v>
      </c>
    </row>
    <row r="159" spans="1:6" s="722" customFormat="1" ht="14.25" customHeight="1" thickBot="1">
      <c r="A159" s="734" t="s">
        <v>526</v>
      </c>
      <c r="B159" s="728" t="s">
        <v>193</v>
      </c>
      <c r="C159" s="728">
        <v>7410</v>
      </c>
      <c r="D159" s="728">
        <v>7370</v>
      </c>
      <c r="E159" s="728">
        <v>8030</v>
      </c>
      <c r="F159" s="742">
        <v>1510</v>
      </c>
    </row>
    <row r="160" spans="1:6" s="722" customFormat="1" ht="14.25" customHeight="1" thickBot="1">
      <c r="A160" s="734" t="s">
        <v>526</v>
      </c>
      <c r="B160" s="728" t="s">
        <v>206</v>
      </c>
      <c r="C160" s="728">
        <v>7240</v>
      </c>
      <c r="D160" s="728">
        <v>7210</v>
      </c>
      <c r="E160" s="728">
        <v>7860</v>
      </c>
      <c r="F160" s="742">
        <v>1370</v>
      </c>
    </row>
    <row r="161" spans="1:6" s="722" customFormat="1" ht="14.25" customHeight="1" thickBot="1">
      <c r="A161" s="734" t="s">
        <v>526</v>
      </c>
      <c r="B161" s="728" t="s">
        <v>219</v>
      </c>
      <c r="C161" s="728">
        <v>7720</v>
      </c>
      <c r="D161" s="728">
        <v>7690</v>
      </c>
      <c r="E161" s="728">
        <v>8200</v>
      </c>
      <c r="F161" s="742">
        <v>1190</v>
      </c>
    </row>
    <row r="162" spans="1:6" s="722" customFormat="1" ht="14.25" customHeight="1" thickBot="1">
      <c r="A162" s="734" t="s">
        <v>526</v>
      </c>
      <c r="B162" s="728" t="s">
        <v>231</v>
      </c>
      <c r="C162" s="728">
        <v>6900</v>
      </c>
      <c r="D162" s="728">
        <v>6870</v>
      </c>
      <c r="E162" s="728">
        <v>7500</v>
      </c>
      <c r="F162" s="742">
        <v>1390</v>
      </c>
    </row>
    <row r="163" spans="1:6" s="722" customFormat="1" ht="14.25" customHeight="1" thickBot="1">
      <c r="A163" s="734" t="s">
        <v>526</v>
      </c>
      <c r="B163" s="728" t="s">
        <v>242</v>
      </c>
      <c r="C163" s="728">
        <v>7120</v>
      </c>
      <c r="D163" s="728">
        <v>7090</v>
      </c>
      <c r="E163" s="728">
        <v>7690</v>
      </c>
      <c r="F163" s="742">
        <v>1230</v>
      </c>
    </row>
    <row r="164" spans="1:6" s="722" customFormat="1" ht="14.25" customHeight="1" thickBot="1">
      <c r="A164" s="734" t="s">
        <v>526</v>
      </c>
      <c r="B164" s="728" t="s">
        <v>253</v>
      </c>
      <c r="C164" s="728">
        <v>6560</v>
      </c>
      <c r="D164" s="728">
        <v>6530</v>
      </c>
      <c r="E164" s="728">
        <v>7110</v>
      </c>
      <c r="F164" s="742">
        <v>1340</v>
      </c>
    </row>
    <row r="165" spans="1:6" s="722" customFormat="1" ht="14.25" customHeight="1" thickBot="1">
      <c r="A165" s="734" t="s">
        <v>526</v>
      </c>
      <c r="B165" s="728" t="s">
        <v>264</v>
      </c>
      <c r="C165" s="728">
        <v>7450</v>
      </c>
      <c r="D165" s="728">
        <v>7430</v>
      </c>
      <c r="E165" s="728">
        <v>8110</v>
      </c>
      <c r="F165" s="742">
        <v>1290</v>
      </c>
    </row>
    <row r="166" spans="1:6" s="722" customFormat="1" ht="14.25" customHeight="1" thickBot="1">
      <c r="A166" s="734" t="s">
        <v>526</v>
      </c>
      <c r="B166" s="728" t="s">
        <v>276</v>
      </c>
      <c r="C166" s="728">
        <v>7490</v>
      </c>
      <c r="D166" s="728">
        <v>7460</v>
      </c>
      <c r="E166" s="728">
        <v>8150</v>
      </c>
      <c r="F166" s="742">
        <v>1350</v>
      </c>
    </row>
    <row r="167" spans="1:6" s="722" customFormat="1" ht="14.25" customHeight="1" thickBot="1">
      <c r="A167" s="734" t="s">
        <v>526</v>
      </c>
      <c r="B167" s="728" t="s">
        <v>286</v>
      </c>
      <c r="C167" s="728">
        <v>7540</v>
      </c>
      <c r="D167" s="728">
        <v>7510</v>
      </c>
      <c r="E167" s="728">
        <v>8030</v>
      </c>
      <c r="F167" s="746"/>
    </row>
    <row r="168" spans="1:6" s="722" customFormat="1" ht="14.25" customHeight="1" thickBot="1">
      <c r="A168" s="734" t="s">
        <v>526</v>
      </c>
      <c r="B168" s="728" t="s">
        <v>296</v>
      </c>
      <c r="C168" s="728">
        <v>7210</v>
      </c>
      <c r="D168" s="728">
        <v>7180</v>
      </c>
      <c r="E168" s="728">
        <v>7830</v>
      </c>
      <c r="F168" s="746"/>
    </row>
    <row r="169" spans="1:6" s="722" customFormat="1" ht="14.25" customHeight="1" thickBot="1">
      <c r="A169" s="734" t="s">
        <v>526</v>
      </c>
      <c r="B169" s="728" t="s">
        <v>306</v>
      </c>
      <c r="C169" s="728">
        <v>7040</v>
      </c>
      <c r="D169" s="728">
        <v>7020</v>
      </c>
      <c r="E169" s="728">
        <v>7670</v>
      </c>
      <c r="F169" s="746"/>
    </row>
    <row r="170" spans="1:6" s="722" customFormat="1" ht="14.25" customHeight="1" thickBot="1">
      <c r="A170" s="734" t="s">
        <v>526</v>
      </c>
      <c r="B170" s="728" t="s">
        <v>316</v>
      </c>
      <c r="C170" s="728">
        <v>8040</v>
      </c>
      <c r="D170" s="728">
        <v>7190</v>
      </c>
      <c r="E170" s="728">
        <v>7850</v>
      </c>
      <c r="F170" s="746"/>
    </row>
    <row r="171" spans="1:6" s="722" customFormat="1" ht="14.25" customHeight="1" thickBot="1">
      <c r="A171" s="734" t="s">
        <v>526</v>
      </c>
      <c r="B171" s="728" t="s">
        <v>327</v>
      </c>
      <c r="C171" s="728">
        <v>7860</v>
      </c>
      <c r="D171" s="728">
        <v>7720</v>
      </c>
      <c r="E171" s="728">
        <v>8150</v>
      </c>
      <c r="F171" s="742">
        <v>1110</v>
      </c>
    </row>
    <row r="172" spans="1:6" s="722" customFormat="1" ht="14.25" customHeight="1" thickBot="1">
      <c r="A172" s="734" t="s">
        <v>526</v>
      </c>
      <c r="B172" s="728" t="s">
        <v>338</v>
      </c>
      <c r="C172" s="728">
        <v>7210</v>
      </c>
      <c r="D172" s="728">
        <v>7170</v>
      </c>
      <c r="E172" s="728">
        <v>7320</v>
      </c>
      <c r="F172" s="746"/>
    </row>
    <row r="173" spans="1:6" s="722" customFormat="1" ht="14.25" customHeight="1" thickBot="1">
      <c r="A173" s="734" t="s">
        <v>526</v>
      </c>
      <c r="B173" s="728" t="s">
        <v>348</v>
      </c>
      <c r="C173" s="728">
        <v>6860</v>
      </c>
      <c r="D173" s="728">
        <v>6810</v>
      </c>
      <c r="E173" s="728">
        <v>7440</v>
      </c>
      <c r="F173" s="746"/>
    </row>
    <row r="174" spans="1:6" s="722" customFormat="1" ht="14.25" customHeight="1" thickBot="1">
      <c r="A174" s="734" t="s">
        <v>526</v>
      </c>
      <c r="B174" s="728" t="s">
        <v>358</v>
      </c>
      <c r="C174" s="728">
        <v>7120</v>
      </c>
      <c r="D174" s="728">
        <v>7090</v>
      </c>
      <c r="E174" s="728">
        <v>7500</v>
      </c>
      <c r="F174" s="742">
        <v>1490</v>
      </c>
    </row>
    <row r="175" spans="1:6" s="722" customFormat="1" ht="14.25" customHeight="1" thickBot="1">
      <c r="A175" s="734" t="s">
        <v>526</v>
      </c>
      <c r="B175" s="728" t="s">
        <v>368</v>
      </c>
      <c r="C175" s="728">
        <v>7850</v>
      </c>
      <c r="D175" s="728">
        <v>7820</v>
      </c>
      <c r="E175" s="728">
        <v>8120</v>
      </c>
      <c r="F175" s="742">
        <v>1530</v>
      </c>
    </row>
    <row r="176" spans="1:6" s="722" customFormat="1" ht="14.25" customHeight="1" thickBot="1">
      <c r="A176" s="734" t="s">
        <v>526</v>
      </c>
      <c r="B176" s="728" t="s">
        <v>378</v>
      </c>
      <c r="C176" s="728">
        <v>7620</v>
      </c>
      <c r="D176" s="728">
        <v>7570</v>
      </c>
      <c r="E176" s="728">
        <v>7990</v>
      </c>
      <c r="F176" s="742">
        <v>1480</v>
      </c>
    </row>
    <row r="177" spans="1:6" s="722" customFormat="1" ht="14.25" customHeight="1" thickBot="1">
      <c r="A177" s="734" t="s">
        <v>526</v>
      </c>
      <c r="B177" s="728" t="s">
        <v>387</v>
      </c>
      <c r="C177" s="728">
        <v>8590</v>
      </c>
      <c r="D177" s="728">
        <v>8570</v>
      </c>
      <c r="E177" s="728">
        <v>8740</v>
      </c>
      <c r="F177" s="742">
        <v>1540</v>
      </c>
    </row>
    <row r="178" spans="1:6" s="722" customFormat="1" ht="14.25" customHeight="1" thickBot="1">
      <c r="A178" s="734" t="s">
        <v>526</v>
      </c>
      <c r="B178" s="728" t="s">
        <v>396</v>
      </c>
      <c r="C178" s="728">
        <v>7510</v>
      </c>
      <c r="D178" s="728">
        <v>7470</v>
      </c>
      <c r="E178" s="728">
        <v>8090</v>
      </c>
      <c r="F178" s="742">
        <v>1320</v>
      </c>
    </row>
    <row r="179" spans="1:6" s="722" customFormat="1" ht="14.25" customHeight="1" thickBot="1">
      <c r="A179" s="734" t="s">
        <v>526</v>
      </c>
      <c r="B179" s="728" t="s">
        <v>404</v>
      </c>
      <c r="C179" s="728">
        <v>6380</v>
      </c>
      <c r="D179" s="728">
        <v>6340</v>
      </c>
      <c r="E179" s="728">
        <v>6810</v>
      </c>
      <c r="F179" s="746"/>
    </row>
    <row r="180" spans="1:6" s="722" customFormat="1" ht="14.25" customHeight="1" thickBot="1">
      <c r="A180" s="734" t="s">
        <v>526</v>
      </c>
      <c r="B180" s="728" t="s">
        <v>411</v>
      </c>
      <c r="C180" s="728">
        <v>7830</v>
      </c>
      <c r="D180" s="728">
        <v>7800</v>
      </c>
      <c r="E180" s="728">
        <v>7780</v>
      </c>
      <c r="F180" s="742">
        <v>1440</v>
      </c>
    </row>
    <row r="181" spans="1:6" s="722" customFormat="1" ht="14.25" customHeight="1" thickBot="1">
      <c r="A181" s="734" t="s">
        <v>526</v>
      </c>
      <c r="B181" s="728" t="s">
        <v>418</v>
      </c>
      <c r="C181" s="728">
        <v>7110</v>
      </c>
      <c r="D181" s="728">
        <v>7080</v>
      </c>
      <c r="E181" s="728">
        <v>7730</v>
      </c>
      <c r="F181" s="742">
        <v>1350</v>
      </c>
    </row>
    <row r="182" spans="1:6" s="722" customFormat="1" ht="14.25" customHeight="1" thickBot="1">
      <c r="A182" s="734" t="s">
        <v>526</v>
      </c>
      <c r="B182" s="728" t="s">
        <v>425</v>
      </c>
      <c r="C182" s="728">
        <v>7310</v>
      </c>
      <c r="D182" s="728">
        <v>7280</v>
      </c>
      <c r="E182" s="728">
        <v>7950</v>
      </c>
      <c r="F182" s="742">
        <v>1220</v>
      </c>
    </row>
    <row r="183" spans="1:6" s="722" customFormat="1" ht="14.25" customHeight="1" thickBot="1">
      <c r="A183" s="734" t="s">
        <v>526</v>
      </c>
      <c r="B183" s="728" t="s">
        <v>432</v>
      </c>
      <c r="C183" s="728">
        <v>7470</v>
      </c>
      <c r="D183" s="728">
        <v>7440</v>
      </c>
      <c r="E183" s="728">
        <v>7880</v>
      </c>
      <c r="F183" s="746"/>
    </row>
    <row r="184" spans="1:6" s="722" customFormat="1" ht="14.25" customHeight="1" thickBot="1">
      <c r="A184" s="734" t="s">
        <v>526</v>
      </c>
      <c r="B184" s="728" t="s">
        <v>439</v>
      </c>
      <c r="C184" s="728">
        <v>6960</v>
      </c>
      <c r="D184" s="728">
        <v>6930</v>
      </c>
      <c r="E184" s="728">
        <v>7570</v>
      </c>
      <c r="F184" s="746"/>
    </row>
    <row r="185" spans="1:6" s="722" customFormat="1" ht="14.25" customHeight="1" thickBot="1">
      <c r="A185" s="734" t="s">
        <v>526</v>
      </c>
      <c r="B185" s="728" t="s">
        <v>446</v>
      </c>
      <c r="C185" s="728">
        <v>7260</v>
      </c>
      <c r="D185" s="728">
        <v>7230</v>
      </c>
      <c r="E185" s="728">
        <v>7710</v>
      </c>
      <c r="F185" s="742">
        <v>1360</v>
      </c>
    </row>
    <row r="186" spans="1:6" s="722" customFormat="1" ht="14.25" customHeight="1" thickBot="1">
      <c r="A186" s="734" t="s">
        <v>526</v>
      </c>
      <c r="B186" s="728" t="s">
        <v>451</v>
      </c>
      <c r="C186" s="728"/>
      <c r="D186" s="728"/>
      <c r="E186" s="728"/>
      <c r="F186" s="742">
        <v>1560</v>
      </c>
    </row>
    <row r="187" spans="1:6" s="722" customFormat="1" ht="14.25" customHeight="1" thickBot="1">
      <c r="A187" s="734" t="s">
        <v>526</v>
      </c>
      <c r="B187" s="728" t="s">
        <v>455</v>
      </c>
      <c r="C187" s="728"/>
      <c r="D187" s="728"/>
      <c r="E187" s="728"/>
      <c r="F187" s="742">
        <v>1560</v>
      </c>
    </row>
    <row r="188" spans="1:6" s="722" customFormat="1" ht="14.25" customHeight="1" thickBot="1">
      <c r="A188" s="734" t="s">
        <v>526</v>
      </c>
      <c r="B188" s="728" t="s">
        <v>460</v>
      </c>
      <c r="C188" s="728"/>
      <c r="D188" s="728"/>
      <c r="E188" s="728"/>
      <c r="F188" s="742">
        <v>1560</v>
      </c>
    </row>
    <row r="189" spans="1:6" s="722" customFormat="1" ht="14.25" customHeight="1" thickBot="1">
      <c r="A189" s="734" t="s">
        <v>526</v>
      </c>
      <c r="B189" s="728" t="s">
        <v>465</v>
      </c>
      <c r="C189" s="728"/>
      <c r="D189" s="728"/>
      <c r="E189" s="728"/>
      <c r="F189" s="742">
        <v>1320</v>
      </c>
    </row>
    <row r="190" spans="1:6" s="722" customFormat="1" ht="14.25" customHeight="1" thickBot="1">
      <c r="A190" s="734" t="s">
        <v>526</v>
      </c>
      <c r="B190" s="728" t="s">
        <v>470</v>
      </c>
      <c r="C190" s="728"/>
      <c r="D190" s="728"/>
      <c r="E190" s="728"/>
      <c r="F190" s="742">
        <v>1320</v>
      </c>
    </row>
    <row r="191" spans="1:6" s="722" customFormat="1" ht="14.25" customHeight="1" thickBot="1">
      <c r="A191" s="734" t="s">
        <v>526</v>
      </c>
      <c r="B191" s="728" t="s">
        <v>475</v>
      </c>
      <c r="C191" s="728"/>
      <c r="D191" s="728"/>
      <c r="E191" s="728"/>
      <c r="F191" s="742">
        <v>1320</v>
      </c>
    </row>
    <row r="192" spans="1:6" s="722" customFormat="1" ht="14.25" customHeight="1" thickBot="1">
      <c r="A192" s="734" t="s">
        <v>526</v>
      </c>
      <c r="B192" s="728" t="s">
        <v>479</v>
      </c>
      <c r="C192" s="728"/>
      <c r="D192" s="728"/>
      <c r="E192" s="728"/>
      <c r="F192" s="742">
        <v>1100</v>
      </c>
    </row>
    <row r="193" spans="1:6" s="722" customFormat="1" ht="14.25" customHeight="1" thickBot="1">
      <c r="A193" s="734" t="s">
        <v>526</v>
      </c>
      <c r="B193" s="728" t="s">
        <v>483</v>
      </c>
      <c r="C193" s="728"/>
      <c r="D193" s="728"/>
      <c r="E193" s="728"/>
      <c r="F193" s="742">
        <v>1100</v>
      </c>
    </row>
    <row r="194" spans="1:6" s="722" customFormat="1" ht="14.25" customHeight="1" thickBot="1">
      <c r="A194" s="734" t="s">
        <v>526</v>
      </c>
      <c r="B194" s="728" t="s">
        <v>487</v>
      </c>
      <c r="C194" s="728"/>
      <c r="D194" s="728"/>
      <c r="E194" s="728"/>
      <c r="F194" s="742">
        <v>1080</v>
      </c>
    </row>
    <row r="195" spans="1:6" s="722" customFormat="1" ht="14.25" customHeight="1" thickBot="1">
      <c r="A195" s="734" t="s">
        <v>526</v>
      </c>
      <c r="B195" s="728" t="s">
        <v>491</v>
      </c>
      <c r="C195" s="728"/>
      <c r="D195" s="728"/>
      <c r="E195" s="728"/>
      <c r="F195" s="742">
        <v>1270</v>
      </c>
    </row>
    <row r="196" spans="1:6" s="722" customFormat="1" ht="14.25" customHeight="1" thickBot="1">
      <c r="A196" s="734" t="s">
        <v>526</v>
      </c>
      <c r="B196" s="728" t="s">
        <v>495</v>
      </c>
      <c r="C196" s="728"/>
      <c r="D196" s="728"/>
      <c r="E196" s="728"/>
      <c r="F196" s="742">
        <v>1150</v>
      </c>
    </row>
    <row r="197" spans="1:6" s="722" customFormat="1" ht="14.25" customHeight="1" thickBot="1">
      <c r="A197" s="734" t="s">
        <v>526</v>
      </c>
      <c r="B197" s="728" t="s">
        <v>499</v>
      </c>
      <c r="C197" s="728"/>
      <c r="D197" s="728"/>
      <c r="E197" s="728"/>
      <c r="F197" s="742">
        <v>1330</v>
      </c>
    </row>
    <row r="198" spans="1:6" s="722" customFormat="1" ht="14.25" customHeight="1" thickBot="1">
      <c r="A198" s="734" t="s">
        <v>526</v>
      </c>
      <c r="B198" s="728" t="s">
        <v>502</v>
      </c>
      <c r="C198" s="728"/>
      <c r="D198" s="728"/>
      <c r="E198" s="728"/>
      <c r="F198" s="742">
        <v>1170</v>
      </c>
    </row>
    <row r="199" spans="1:6" s="722" customFormat="1" ht="14.25" customHeight="1" thickBot="1">
      <c r="A199" s="734" t="s">
        <v>526</v>
      </c>
      <c r="B199" s="728" t="s">
        <v>505</v>
      </c>
      <c r="C199" s="728"/>
      <c r="D199" s="728"/>
      <c r="E199" s="728"/>
      <c r="F199" s="742">
        <v>1120</v>
      </c>
    </row>
    <row r="200" spans="1:6" s="722" customFormat="1" ht="14.25" customHeight="1" thickBot="1">
      <c r="A200" s="734" t="s">
        <v>526</v>
      </c>
      <c r="B200" s="728" t="s">
        <v>508</v>
      </c>
      <c r="C200" s="728"/>
      <c r="D200" s="728"/>
      <c r="E200" s="728"/>
      <c r="F200" s="742">
        <v>1120</v>
      </c>
    </row>
    <row r="201" spans="1:6" s="722" customFormat="1" ht="14.25" customHeight="1" thickBot="1">
      <c r="A201" s="734" t="s">
        <v>526</v>
      </c>
      <c r="B201" s="728" t="s">
        <v>511</v>
      </c>
      <c r="C201" s="728"/>
      <c r="D201" s="728"/>
      <c r="E201" s="728"/>
      <c r="F201" s="742">
        <v>1540</v>
      </c>
    </row>
    <row r="202" spans="1:6" s="722" customFormat="1" ht="14.25" customHeight="1" thickBot="1">
      <c r="A202" s="734" t="s">
        <v>526</v>
      </c>
      <c r="B202" s="728" t="s">
        <v>514</v>
      </c>
      <c r="C202" s="728"/>
      <c r="D202" s="728"/>
      <c r="E202" s="728"/>
      <c r="F202" s="742">
        <v>1310</v>
      </c>
    </row>
    <row r="203" spans="1:6" s="722" customFormat="1" ht="14.25" customHeight="1" thickBot="1">
      <c r="A203" s="734" t="s">
        <v>526</v>
      </c>
      <c r="B203" s="728" t="s">
        <v>517</v>
      </c>
      <c r="C203" s="728"/>
      <c r="D203" s="728"/>
      <c r="E203" s="728"/>
      <c r="F203" s="742">
        <v>1310</v>
      </c>
    </row>
    <row r="204" spans="1:6" s="722" customFormat="1" ht="14.25" customHeight="1" thickBot="1">
      <c r="A204" s="734" t="s">
        <v>526</v>
      </c>
      <c r="B204" s="728" t="s">
        <v>519</v>
      </c>
      <c r="C204" s="728"/>
      <c r="D204" s="728"/>
      <c r="E204" s="728"/>
      <c r="F204" s="742">
        <v>1080</v>
      </c>
    </row>
    <row r="205" spans="1:6" s="722" customFormat="1" ht="14.25" customHeight="1" thickBot="1">
      <c r="A205" s="734" t="s">
        <v>526</v>
      </c>
      <c r="B205" s="728" t="s">
        <v>522</v>
      </c>
      <c r="C205" s="728"/>
      <c r="D205" s="728"/>
      <c r="E205" s="728"/>
      <c r="F205" s="742">
        <v>1080</v>
      </c>
    </row>
    <row r="206" spans="1:6" s="722" customFormat="1" ht="14.25" customHeight="1" thickBot="1">
      <c r="A206" s="734" t="s">
        <v>528</v>
      </c>
      <c r="B206" s="735" t="s">
        <v>529</v>
      </c>
      <c r="C206" s="735">
        <v>5450</v>
      </c>
      <c r="D206" s="735">
        <v>5430</v>
      </c>
      <c r="E206" s="735">
        <v>5700</v>
      </c>
      <c r="F206" s="736">
        <v>1020</v>
      </c>
    </row>
    <row r="207" spans="1:6" s="722" customFormat="1" ht="14.25" customHeight="1" thickBot="1">
      <c r="A207" s="734" t="s">
        <v>528</v>
      </c>
      <c r="B207" s="728" t="s">
        <v>194</v>
      </c>
      <c r="C207" s="728">
        <v>5860</v>
      </c>
      <c r="D207" s="728">
        <v>5820</v>
      </c>
      <c r="E207" s="728">
        <v>6050</v>
      </c>
      <c r="F207" s="742">
        <v>1080</v>
      </c>
    </row>
    <row r="208" spans="1:6" s="722" customFormat="1" ht="14.25" customHeight="1" thickBot="1">
      <c r="A208" s="734" t="s">
        <v>528</v>
      </c>
      <c r="B208" s="728" t="s">
        <v>207</v>
      </c>
      <c r="C208" s="728">
        <v>4630</v>
      </c>
      <c r="D208" s="728">
        <v>4600</v>
      </c>
      <c r="E208" s="728">
        <v>4840</v>
      </c>
      <c r="F208" s="742">
        <v>900</v>
      </c>
    </row>
    <row r="209" spans="1:6" s="722" customFormat="1" ht="14.25" customHeight="1" thickBot="1">
      <c r="A209" s="734" t="s">
        <v>528</v>
      </c>
      <c r="B209" s="728" t="s">
        <v>220</v>
      </c>
      <c r="C209" s="728">
        <v>5320</v>
      </c>
      <c r="D209" s="728">
        <v>5270</v>
      </c>
      <c r="E209" s="728">
        <v>5540</v>
      </c>
      <c r="F209" s="742">
        <v>980</v>
      </c>
    </row>
    <row r="210" spans="1:6" s="722" customFormat="1" ht="14.25" customHeight="1" thickBot="1">
      <c r="A210" s="734" t="s">
        <v>528</v>
      </c>
      <c r="B210" s="728" t="s">
        <v>232</v>
      </c>
      <c r="C210" s="728">
        <v>5760</v>
      </c>
      <c r="D210" s="728">
        <v>5710</v>
      </c>
      <c r="E210" s="728">
        <v>6010</v>
      </c>
      <c r="F210" s="742">
        <v>870</v>
      </c>
    </row>
    <row r="211" spans="1:6" s="722" customFormat="1" ht="14.25" customHeight="1" thickBot="1">
      <c r="A211" s="734" t="s">
        <v>528</v>
      </c>
      <c r="B211" s="728" t="s">
        <v>243</v>
      </c>
      <c r="C211" s="728">
        <v>4160</v>
      </c>
      <c r="D211" s="728">
        <v>4100</v>
      </c>
      <c r="E211" s="728">
        <v>4270</v>
      </c>
      <c r="F211" s="742">
        <v>790</v>
      </c>
    </row>
    <row r="212" spans="1:6" s="722" customFormat="1" ht="14.25" customHeight="1" thickBot="1">
      <c r="A212" s="734" t="s">
        <v>528</v>
      </c>
      <c r="B212" s="728" t="s">
        <v>254</v>
      </c>
      <c r="C212" s="728">
        <v>4880</v>
      </c>
      <c r="D212" s="728">
        <v>4850</v>
      </c>
      <c r="E212" s="728">
        <v>5110</v>
      </c>
      <c r="F212" s="742">
        <v>940</v>
      </c>
    </row>
    <row r="213" spans="1:6" s="722" customFormat="1" ht="14.25" customHeight="1" thickBot="1">
      <c r="A213" s="734" t="s">
        <v>528</v>
      </c>
      <c r="B213" s="728" t="s">
        <v>265</v>
      </c>
      <c r="C213" s="728">
        <v>4640</v>
      </c>
      <c r="D213" s="728">
        <v>4590</v>
      </c>
      <c r="E213" s="728">
        <v>4700</v>
      </c>
      <c r="F213" s="742">
        <v>1030</v>
      </c>
    </row>
    <row r="214" spans="1:6" s="722" customFormat="1" ht="14.25" customHeight="1" thickBot="1">
      <c r="A214" s="734" t="s">
        <v>528</v>
      </c>
      <c r="B214" s="728" t="s">
        <v>277</v>
      </c>
      <c r="C214" s="728">
        <v>4540</v>
      </c>
      <c r="D214" s="728">
        <v>4490</v>
      </c>
      <c r="E214" s="728">
        <v>4610</v>
      </c>
      <c r="F214" s="746"/>
    </row>
    <row r="215" spans="1:6" s="722" customFormat="1" ht="14.25" customHeight="1" thickBot="1">
      <c r="A215" s="734" t="s">
        <v>528</v>
      </c>
      <c r="B215" s="728" t="s">
        <v>287</v>
      </c>
      <c r="C215" s="728">
        <v>5280</v>
      </c>
      <c r="D215" s="728">
        <v>5250</v>
      </c>
      <c r="E215" s="728">
        <v>5520</v>
      </c>
      <c r="F215" s="742">
        <v>1000</v>
      </c>
    </row>
    <row r="216" spans="1:6" s="722" customFormat="1" ht="14.25" customHeight="1" thickBot="1">
      <c r="A216" s="734" t="s">
        <v>528</v>
      </c>
      <c r="B216" s="728" t="s">
        <v>297</v>
      </c>
      <c r="C216" s="728">
        <v>5100</v>
      </c>
      <c r="D216" s="728">
        <v>5050</v>
      </c>
      <c r="E216" s="728">
        <v>5300</v>
      </c>
      <c r="F216" s="742">
        <v>950</v>
      </c>
    </row>
    <row r="217" spans="1:6" s="722" customFormat="1" ht="14.25" customHeight="1" thickBot="1">
      <c r="A217" s="734" t="s">
        <v>528</v>
      </c>
      <c r="B217" s="728" t="s">
        <v>307</v>
      </c>
      <c r="C217" s="728">
        <v>5370</v>
      </c>
      <c r="D217" s="728">
        <v>5320</v>
      </c>
      <c r="E217" s="728">
        <v>5410</v>
      </c>
      <c r="F217" s="742">
        <v>950</v>
      </c>
    </row>
    <row r="218" spans="1:6" s="722" customFormat="1" ht="14.25" customHeight="1" thickBot="1">
      <c r="A218" s="734" t="s">
        <v>528</v>
      </c>
      <c r="B218" s="728" t="s">
        <v>317</v>
      </c>
      <c r="C218" s="728">
        <v>5540</v>
      </c>
      <c r="D218" s="728">
        <v>5480</v>
      </c>
      <c r="E218" s="728">
        <v>5740</v>
      </c>
      <c r="F218" s="742">
        <v>1020</v>
      </c>
    </row>
    <row r="219" spans="1:6" s="722" customFormat="1" ht="14.25" customHeight="1" thickBot="1">
      <c r="A219" s="734" t="s">
        <v>528</v>
      </c>
      <c r="B219" s="728" t="s">
        <v>328</v>
      </c>
      <c r="C219" s="728">
        <v>5140</v>
      </c>
      <c r="D219" s="728">
        <v>5100</v>
      </c>
      <c r="E219" s="728">
        <v>5350</v>
      </c>
      <c r="F219" s="742">
        <v>1120</v>
      </c>
    </row>
    <row r="220" spans="1:6" s="722" customFormat="1" ht="14.25" customHeight="1" thickBot="1">
      <c r="A220" s="734" t="s">
        <v>528</v>
      </c>
      <c r="B220" s="728" t="s">
        <v>339</v>
      </c>
      <c r="C220" s="728">
        <v>5040</v>
      </c>
      <c r="D220" s="728">
        <v>5000</v>
      </c>
      <c r="E220" s="728">
        <v>5240</v>
      </c>
      <c r="F220" s="742">
        <v>980</v>
      </c>
    </row>
    <row r="221" spans="1:6" s="722" customFormat="1" ht="14.25" customHeight="1" thickBot="1">
      <c r="A221" s="734" t="s">
        <v>528</v>
      </c>
      <c r="B221" s="728" t="s">
        <v>349</v>
      </c>
      <c r="C221" s="747"/>
      <c r="D221" s="747"/>
      <c r="E221" s="747"/>
      <c r="F221" s="742">
        <v>1070</v>
      </c>
    </row>
    <row r="222" spans="1:6" s="722" customFormat="1" ht="14.25" customHeight="1" thickBot="1">
      <c r="A222" s="734" t="s">
        <v>528</v>
      </c>
      <c r="B222" s="728" t="s">
        <v>359</v>
      </c>
      <c r="C222" s="747"/>
      <c r="D222" s="747"/>
      <c r="E222" s="747"/>
      <c r="F222" s="742">
        <v>870</v>
      </c>
    </row>
    <row r="223" spans="1:6" s="722" customFormat="1" ht="14.25" customHeight="1" thickBot="1">
      <c r="A223" s="734" t="s">
        <v>528</v>
      </c>
      <c r="B223" s="728" t="s">
        <v>369</v>
      </c>
      <c r="C223" s="747"/>
      <c r="D223" s="747"/>
      <c r="E223" s="747"/>
      <c r="F223" s="742">
        <v>940</v>
      </c>
    </row>
    <row r="224" spans="1:6" s="722" customFormat="1" ht="14.25" customHeight="1" thickBot="1">
      <c r="A224" s="734" t="s">
        <v>528</v>
      </c>
      <c r="B224" s="728" t="s">
        <v>379</v>
      </c>
      <c r="C224" s="747"/>
      <c r="D224" s="747"/>
      <c r="E224" s="747"/>
      <c r="F224" s="742">
        <v>990</v>
      </c>
    </row>
    <row r="225" spans="1:6" s="722" customFormat="1" ht="14.25" customHeight="1" thickBot="1">
      <c r="A225" s="734" t="s">
        <v>528</v>
      </c>
      <c r="B225" s="728" t="s">
        <v>388</v>
      </c>
      <c r="C225" s="728">
        <v>5730</v>
      </c>
      <c r="D225" s="728">
        <v>5680</v>
      </c>
      <c r="E225" s="728">
        <v>6020</v>
      </c>
      <c r="F225" s="742">
        <v>1000</v>
      </c>
    </row>
    <row r="226" spans="1:6" s="722" customFormat="1" ht="14.25" customHeight="1" thickBot="1">
      <c r="A226" s="734" t="s">
        <v>528</v>
      </c>
      <c r="B226" s="728" t="s">
        <v>397</v>
      </c>
      <c r="C226" s="728">
        <v>4970</v>
      </c>
      <c r="D226" s="728">
        <v>4940</v>
      </c>
      <c r="E226" s="728">
        <v>5180</v>
      </c>
      <c r="F226" s="742">
        <v>960</v>
      </c>
    </row>
    <row r="227" spans="1:6" s="722" customFormat="1" ht="14.25" customHeight="1" thickBot="1">
      <c r="A227" s="734" t="s">
        <v>528</v>
      </c>
      <c r="B227" s="728" t="s">
        <v>405</v>
      </c>
      <c r="C227" s="728">
        <v>5550</v>
      </c>
      <c r="D227" s="728">
        <v>5500</v>
      </c>
      <c r="E227" s="728">
        <v>5780</v>
      </c>
      <c r="F227" s="742">
        <v>940</v>
      </c>
    </row>
    <row r="228" spans="1:6" s="722" customFormat="1" ht="14.25" customHeight="1" thickBot="1">
      <c r="A228" s="734" t="s">
        <v>528</v>
      </c>
      <c r="B228" s="728" t="s">
        <v>412</v>
      </c>
      <c r="C228" s="728">
        <v>5460</v>
      </c>
      <c r="D228" s="728">
        <v>5420</v>
      </c>
      <c r="E228" s="728">
        <v>5690</v>
      </c>
      <c r="F228" s="742">
        <v>910</v>
      </c>
    </row>
    <row r="229" spans="1:6" s="722" customFormat="1" ht="14.25" customHeight="1" thickBot="1">
      <c r="A229" s="734" t="s">
        <v>528</v>
      </c>
      <c r="B229" s="728" t="s">
        <v>419</v>
      </c>
      <c r="C229" s="728">
        <v>5310</v>
      </c>
      <c r="D229" s="728">
        <v>5270</v>
      </c>
      <c r="E229" s="728">
        <v>5510</v>
      </c>
      <c r="F229" s="746"/>
    </row>
    <row r="230" spans="1:6" s="722" customFormat="1" ht="14.25" customHeight="1" thickBot="1">
      <c r="A230" s="734" t="s">
        <v>528</v>
      </c>
      <c r="B230" s="728" t="s">
        <v>426</v>
      </c>
      <c r="C230" s="728">
        <v>4540</v>
      </c>
      <c r="D230" s="728">
        <v>4500</v>
      </c>
      <c r="E230" s="728">
        <v>4730</v>
      </c>
      <c r="F230" s="746"/>
    </row>
    <row r="231" spans="1:6" s="722" customFormat="1" ht="14.25" customHeight="1" thickBot="1">
      <c r="A231" s="734" t="s">
        <v>528</v>
      </c>
      <c r="B231" s="728" t="s">
        <v>433</v>
      </c>
      <c r="C231" s="728">
        <v>4480</v>
      </c>
      <c r="D231" s="728">
        <v>4410</v>
      </c>
      <c r="E231" s="728">
        <v>4640</v>
      </c>
      <c r="F231" s="746"/>
    </row>
    <row r="232" spans="1:6" s="722" customFormat="1" ht="14.25" customHeight="1" thickBot="1">
      <c r="A232" s="734" t="s">
        <v>528</v>
      </c>
      <c r="B232" s="728" t="s">
        <v>440</v>
      </c>
      <c r="C232" s="728">
        <v>5670</v>
      </c>
      <c r="D232" s="728">
        <v>5600</v>
      </c>
      <c r="E232" s="728">
        <v>5890</v>
      </c>
      <c r="F232" s="742">
        <v>1150</v>
      </c>
    </row>
    <row r="233" spans="1:6" s="722" customFormat="1" ht="14.25" customHeight="1" thickBot="1">
      <c r="A233" s="734" t="s">
        <v>528</v>
      </c>
      <c r="B233" s="728" t="s">
        <v>447</v>
      </c>
      <c r="C233" s="728">
        <v>4590</v>
      </c>
      <c r="D233" s="728">
        <v>4500</v>
      </c>
      <c r="E233" s="728">
        <v>4600</v>
      </c>
      <c r="F233" s="746"/>
    </row>
    <row r="234" spans="1:6" s="722" customFormat="1" ht="14.25" customHeight="1" thickBot="1">
      <c r="A234" s="734" t="s">
        <v>528</v>
      </c>
      <c r="B234" s="728" t="s">
        <v>1021</v>
      </c>
      <c r="C234" s="728">
        <v>3990</v>
      </c>
      <c r="D234" s="728">
        <v>3950</v>
      </c>
      <c r="E234" s="728">
        <v>4180</v>
      </c>
      <c r="F234" s="746"/>
    </row>
    <row r="235" spans="1:6" s="722" customFormat="1" ht="14.25" customHeight="1" thickBot="1">
      <c r="A235" s="734" t="s">
        <v>528</v>
      </c>
      <c r="B235" s="728" t="s">
        <v>456</v>
      </c>
      <c r="C235" s="728">
        <v>5590</v>
      </c>
      <c r="D235" s="728">
        <v>5540</v>
      </c>
      <c r="E235" s="728">
        <v>5810</v>
      </c>
      <c r="F235" s="742">
        <v>970</v>
      </c>
    </row>
    <row r="236" spans="1:6" s="722" customFormat="1" ht="14.25" customHeight="1" thickBot="1">
      <c r="A236" s="734" t="s">
        <v>528</v>
      </c>
      <c r="B236" s="728" t="s">
        <v>461</v>
      </c>
      <c r="C236" s="728"/>
      <c r="D236" s="728"/>
      <c r="E236" s="728"/>
      <c r="F236" s="742">
        <v>1020</v>
      </c>
    </row>
    <row r="237" spans="1:6" s="722" customFormat="1" ht="14.25" customHeight="1" thickBot="1">
      <c r="A237" s="734" t="s">
        <v>528</v>
      </c>
      <c r="B237" s="728" t="s">
        <v>466</v>
      </c>
      <c r="C237" s="728"/>
      <c r="D237" s="728"/>
      <c r="E237" s="728"/>
      <c r="F237" s="742">
        <v>960</v>
      </c>
    </row>
    <row r="238" spans="1:6" s="722" customFormat="1" ht="14.25" customHeight="1" thickBot="1">
      <c r="A238" s="734" t="s">
        <v>528</v>
      </c>
      <c r="B238" s="728" t="s">
        <v>471</v>
      </c>
      <c r="C238" s="728"/>
      <c r="D238" s="728"/>
      <c r="E238" s="728"/>
      <c r="F238" s="742">
        <v>960</v>
      </c>
    </row>
    <row r="239" spans="1:6" s="722" customFormat="1" ht="14.25" customHeight="1" thickBot="1">
      <c r="A239" s="734" t="s">
        <v>528</v>
      </c>
      <c r="B239" s="728" t="s">
        <v>476</v>
      </c>
      <c r="C239" s="728"/>
      <c r="D239" s="728"/>
      <c r="E239" s="728"/>
      <c r="F239" s="742">
        <v>960</v>
      </c>
    </row>
    <row r="240" spans="1:6" s="722" customFormat="1" ht="14.25" customHeight="1" thickBot="1">
      <c r="A240" s="734" t="s">
        <v>528</v>
      </c>
      <c r="B240" s="728" t="s">
        <v>480</v>
      </c>
      <c r="C240" s="728"/>
      <c r="D240" s="728"/>
      <c r="E240" s="728"/>
      <c r="F240" s="742">
        <v>990</v>
      </c>
    </row>
    <row r="241" spans="1:6" s="722" customFormat="1" ht="14.25" customHeight="1" thickBot="1">
      <c r="A241" s="734" t="s">
        <v>528</v>
      </c>
      <c r="B241" s="728" t="s">
        <v>484</v>
      </c>
      <c r="C241" s="728"/>
      <c r="D241" s="728"/>
      <c r="E241" s="728"/>
      <c r="F241" s="742">
        <v>1000</v>
      </c>
    </row>
    <row r="242" spans="1:6" s="722" customFormat="1" ht="14.25" customHeight="1" thickBot="1">
      <c r="A242" s="734" t="s">
        <v>528</v>
      </c>
      <c r="B242" s="728" t="s">
        <v>488</v>
      </c>
      <c r="C242" s="728"/>
      <c r="D242" s="728"/>
      <c r="E242" s="728"/>
      <c r="F242" s="742">
        <v>980</v>
      </c>
    </row>
    <row r="243" spans="1:6" s="722" customFormat="1" ht="14.25" customHeight="1" thickBot="1">
      <c r="A243" s="734" t="s">
        <v>528</v>
      </c>
      <c r="B243" s="728" t="s">
        <v>492</v>
      </c>
      <c r="C243" s="728"/>
      <c r="D243" s="728"/>
      <c r="E243" s="728"/>
      <c r="F243" s="742">
        <v>970</v>
      </c>
    </row>
    <row r="244" spans="1:6" s="722" customFormat="1" ht="14.25" customHeight="1" thickBot="1">
      <c r="A244" s="734" t="s">
        <v>528</v>
      </c>
      <c r="B244" s="740" t="s">
        <v>496</v>
      </c>
      <c r="C244" s="740"/>
      <c r="D244" s="740"/>
      <c r="E244" s="740"/>
      <c r="F244" s="745">
        <v>970</v>
      </c>
    </row>
    <row r="245" spans="1:6" s="722" customFormat="1" ht="14.25" customHeight="1" thickBot="1">
      <c r="A245" s="734" t="s">
        <v>530</v>
      </c>
      <c r="B245" s="735" t="s">
        <v>531</v>
      </c>
      <c r="C245" s="735">
        <v>4050</v>
      </c>
      <c r="D245" s="735">
        <v>4020</v>
      </c>
      <c r="E245" s="735">
        <v>4160</v>
      </c>
      <c r="F245" s="736">
        <v>840</v>
      </c>
    </row>
    <row r="246" spans="1:6" s="722" customFormat="1" ht="14.25" customHeight="1" thickBot="1">
      <c r="A246" s="734" t="s">
        <v>530</v>
      </c>
      <c r="B246" s="728" t="s">
        <v>195</v>
      </c>
      <c r="C246" s="728">
        <v>4010</v>
      </c>
      <c r="D246" s="728">
        <v>3960</v>
      </c>
      <c r="E246" s="728">
        <v>4130</v>
      </c>
      <c r="F246" s="742">
        <v>840</v>
      </c>
    </row>
    <row r="247" spans="1:6" s="722" customFormat="1" ht="14.25" customHeight="1" thickBot="1">
      <c r="A247" s="734" t="s">
        <v>530</v>
      </c>
      <c r="B247" s="728" t="s">
        <v>532</v>
      </c>
      <c r="C247" s="728">
        <v>3170</v>
      </c>
      <c r="D247" s="728">
        <v>3140</v>
      </c>
      <c r="E247" s="728">
        <v>3270</v>
      </c>
      <c r="F247" s="742">
        <v>640</v>
      </c>
    </row>
    <row r="248" spans="1:6" s="722" customFormat="1" ht="14.25" customHeight="1" thickBot="1">
      <c r="A248" s="734" t="s">
        <v>530</v>
      </c>
      <c r="B248" s="728" t="s">
        <v>533</v>
      </c>
      <c r="C248" s="728">
        <v>3140</v>
      </c>
      <c r="D248" s="728">
        <v>3120</v>
      </c>
      <c r="E248" s="728">
        <v>3240</v>
      </c>
      <c r="F248" s="742">
        <v>620</v>
      </c>
    </row>
    <row r="249" spans="1:6" s="722" customFormat="1" ht="14.25" customHeight="1" thickBot="1">
      <c r="A249" s="734" t="s">
        <v>530</v>
      </c>
      <c r="B249" s="728" t="s">
        <v>233</v>
      </c>
      <c r="C249" s="728">
        <v>3200</v>
      </c>
      <c r="D249" s="728">
        <v>3100</v>
      </c>
      <c r="E249" s="728">
        <v>3230</v>
      </c>
      <c r="F249" s="742">
        <v>750</v>
      </c>
    </row>
    <row r="250" spans="1:6" s="722" customFormat="1" ht="14.25" customHeight="1" thickBot="1">
      <c r="A250" s="734" t="s">
        <v>530</v>
      </c>
      <c r="B250" s="728" t="s">
        <v>244</v>
      </c>
      <c r="C250" s="728">
        <v>4060</v>
      </c>
      <c r="D250" s="728">
        <v>4000</v>
      </c>
      <c r="E250" s="728">
        <v>4140</v>
      </c>
      <c r="F250" s="742">
        <v>790</v>
      </c>
    </row>
    <row r="251" spans="1:6" s="722" customFormat="1" ht="14.25" customHeight="1" thickBot="1">
      <c r="A251" s="734" t="s">
        <v>530</v>
      </c>
      <c r="B251" s="728" t="s">
        <v>255</v>
      </c>
      <c r="C251" s="728">
        <v>3990</v>
      </c>
      <c r="D251" s="728">
        <v>3970</v>
      </c>
      <c r="E251" s="728">
        <v>4110</v>
      </c>
      <c r="F251" s="742">
        <v>730</v>
      </c>
    </row>
    <row r="252" spans="1:6" s="722" customFormat="1" ht="14.25" customHeight="1" thickBot="1">
      <c r="A252" s="734" t="s">
        <v>530</v>
      </c>
      <c r="B252" s="728" t="s">
        <v>266</v>
      </c>
      <c r="C252" s="728">
        <v>3560</v>
      </c>
      <c r="D252" s="728">
        <v>3530</v>
      </c>
      <c r="E252" s="728">
        <v>3650</v>
      </c>
      <c r="F252" s="742">
        <v>750</v>
      </c>
    </row>
    <row r="253" spans="1:6" s="722" customFormat="1" ht="14.25" customHeight="1" thickBot="1">
      <c r="A253" s="734" t="s">
        <v>530</v>
      </c>
      <c r="B253" s="728" t="s">
        <v>278</v>
      </c>
      <c r="C253" s="728">
        <v>3780</v>
      </c>
      <c r="D253" s="728">
        <v>3750</v>
      </c>
      <c r="E253" s="728">
        <v>3870</v>
      </c>
      <c r="F253" s="742">
        <v>770</v>
      </c>
    </row>
    <row r="254" spans="1:6" s="722" customFormat="1" ht="14.25" customHeight="1" thickBot="1">
      <c r="A254" s="734" t="s">
        <v>530</v>
      </c>
      <c r="B254" s="728" t="s">
        <v>288</v>
      </c>
      <c r="C254" s="747"/>
      <c r="D254" s="747"/>
      <c r="E254" s="747"/>
      <c r="F254" s="742">
        <v>740</v>
      </c>
    </row>
    <row r="255" spans="1:6" s="722" customFormat="1" ht="14.25" customHeight="1" thickBot="1">
      <c r="A255" s="734" t="s">
        <v>530</v>
      </c>
      <c r="B255" s="728" t="s">
        <v>298</v>
      </c>
      <c r="C255" s="747"/>
      <c r="D255" s="747"/>
      <c r="E255" s="747"/>
      <c r="F255" s="742">
        <v>760</v>
      </c>
    </row>
    <row r="256" spans="1:6" s="722" customFormat="1" ht="14.25" customHeight="1" thickBot="1">
      <c r="A256" s="734" t="s">
        <v>530</v>
      </c>
      <c r="B256" s="728" t="s">
        <v>308</v>
      </c>
      <c r="C256" s="728">
        <v>3760</v>
      </c>
      <c r="D256" s="728">
        <v>3730</v>
      </c>
      <c r="E256" s="728">
        <v>3870</v>
      </c>
      <c r="F256" s="742">
        <v>830</v>
      </c>
    </row>
    <row r="257" spans="1:6" s="722" customFormat="1" ht="14.25" customHeight="1" thickBot="1">
      <c r="A257" s="734" t="s">
        <v>530</v>
      </c>
      <c r="B257" s="728" t="s">
        <v>318</v>
      </c>
      <c r="C257" s="728">
        <v>3570</v>
      </c>
      <c r="D257" s="728">
        <v>3540</v>
      </c>
      <c r="E257" s="728">
        <v>3650</v>
      </c>
      <c r="F257" s="742">
        <v>790</v>
      </c>
    </row>
    <row r="258" spans="1:6" s="722" customFormat="1" ht="14.25" customHeight="1" thickBot="1">
      <c r="A258" s="734" t="s">
        <v>530</v>
      </c>
      <c r="B258" s="728" t="s">
        <v>329</v>
      </c>
      <c r="C258" s="728">
        <v>3410</v>
      </c>
      <c r="D258" s="728">
        <v>3380</v>
      </c>
      <c r="E258" s="728">
        <v>3500</v>
      </c>
      <c r="F258" s="742">
        <v>830</v>
      </c>
    </row>
    <row r="259" spans="1:6" s="722" customFormat="1" ht="14.25" customHeight="1" thickBot="1">
      <c r="A259" s="734" t="s">
        <v>530</v>
      </c>
      <c r="B259" s="728" t="s">
        <v>340</v>
      </c>
      <c r="C259" s="728">
        <v>3870</v>
      </c>
      <c r="D259" s="728">
        <v>3840</v>
      </c>
      <c r="E259" s="728">
        <v>3970</v>
      </c>
      <c r="F259" s="742">
        <v>830</v>
      </c>
    </row>
    <row r="260" spans="1:6" s="722" customFormat="1" ht="14.25" customHeight="1" thickBot="1">
      <c r="A260" s="734" t="s">
        <v>530</v>
      </c>
      <c r="B260" s="728" t="s">
        <v>350</v>
      </c>
      <c r="C260" s="728">
        <v>3700</v>
      </c>
      <c r="D260" s="728">
        <v>3660</v>
      </c>
      <c r="E260" s="728">
        <v>3810</v>
      </c>
      <c r="F260" s="742">
        <v>790</v>
      </c>
    </row>
    <row r="261" spans="1:6" s="722" customFormat="1" ht="14.25" customHeight="1" thickBot="1">
      <c r="A261" s="734" t="s">
        <v>530</v>
      </c>
      <c r="B261" s="728" t="s">
        <v>360</v>
      </c>
      <c r="C261" s="728">
        <v>3470</v>
      </c>
      <c r="D261" s="728">
        <v>3430</v>
      </c>
      <c r="E261" s="728">
        <v>3640</v>
      </c>
      <c r="F261" s="742">
        <v>760</v>
      </c>
    </row>
    <row r="262" spans="1:6" s="722" customFormat="1" ht="14.25" customHeight="1" thickBot="1">
      <c r="A262" s="734" t="s">
        <v>530</v>
      </c>
      <c r="B262" s="728" t="s">
        <v>370</v>
      </c>
      <c r="C262" s="728">
        <v>3510</v>
      </c>
      <c r="D262" s="728">
        <v>3470</v>
      </c>
      <c r="E262" s="728">
        <v>3680</v>
      </c>
      <c r="F262" s="746"/>
    </row>
    <row r="263" spans="1:6" s="722" customFormat="1" ht="14.25" customHeight="1" thickBot="1">
      <c r="A263" s="734" t="s">
        <v>530</v>
      </c>
      <c r="B263" s="728" t="s">
        <v>380</v>
      </c>
      <c r="C263" s="728">
        <v>3960</v>
      </c>
      <c r="D263" s="728">
        <v>3930</v>
      </c>
      <c r="E263" s="728">
        <v>4070</v>
      </c>
      <c r="F263" s="742">
        <v>830</v>
      </c>
    </row>
    <row r="264" spans="1:6" s="722" customFormat="1" ht="14.25" customHeight="1" thickBot="1">
      <c r="A264" s="734" t="s">
        <v>530</v>
      </c>
      <c r="B264" s="728" t="s">
        <v>389</v>
      </c>
      <c r="C264" s="728">
        <v>4010</v>
      </c>
      <c r="D264" s="728">
        <v>3980</v>
      </c>
      <c r="E264" s="728">
        <v>4150</v>
      </c>
      <c r="F264" s="742">
        <v>760</v>
      </c>
    </row>
    <row r="265" spans="1:6" s="722" customFormat="1" ht="14.25" customHeight="1" thickBot="1">
      <c r="A265" s="734" t="s">
        <v>530</v>
      </c>
      <c r="B265" s="728" t="s">
        <v>398</v>
      </c>
      <c r="C265" s="728">
        <v>3910</v>
      </c>
      <c r="D265" s="728">
        <v>3890</v>
      </c>
      <c r="E265" s="728">
        <v>4040</v>
      </c>
      <c r="F265" s="742">
        <v>780</v>
      </c>
    </row>
    <row r="266" spans="1:6" s="722" customFormat="1" ht="14.25" customHeight="1" thickBot="1">
      <c r="A266" s="734" t="s">
        <v>530</v>
      </c>
      <c r="B266" s="728" t="s">
        <v>406</v>
      </c>
      <c r="C266" s="728">
        <v>3930</v>
      </c>
      <c r="D266" s="728">
        <v>3900</v>
      </c>
      <c r="E266" s="728">
        <v>4080</v>
      </c>
      <c r="F266" s="742">
        <v>770</v>
      </c>
    </row>
    <row r="267" spans="1:6" s="722" customFormat="1" ht="14.25" customHeight="1" thickBot="1">
      <c r="A267" s="734" t="s">
        <v>530</v>
      </c>
      <c r="B267" s="728" t="s">
        <v>413</v>
      </c>
      <c r="C267" s="728">
        <v>3800</v>
      </c>
      <c r="D267" s="728">
        <v>3780</v>
      </c>
      <c r="E267" s="728">
        <v>3930</v>
      </c>
      <c r="F267" s="746"/>
    </row>
    <row r="268" spans="1:6" s="722" customFormat="1" ht="14.25" customHeight="1" thickBot="1">
      <c r="A268" s="734" t="s">
        <v>530</v>
      </c>
      <c r="B268" s="728" t="s">
        <v>420</v>
      </c>
      <c r="C268" s="728">
        <v>3460</v>
      </c>
      <c r="D268" s="728">
        <v>3430</v>
      </c>
      <c r="E268" s="728">
        <v>3560</v>
      </c>
      <c r="F268" s="742">
        <v>840</v>
      </c>
    </row>
    <row r="269" spans="1:6" s="722" customFormat="1" ht="14.25" customHeight="1" thickBot="1">
      <c r="A269" s="734" t="s">
        <v>530</v>
      </c>
      <c r="B269" s="728" t="s">
        <v>427</v>
      </c>
      <c r="C269" s="728">
        <v>3210</v>
      </c>
      <c r="D269" s="728">
        <v>3190</v>
      </c>
      <c r="E269" s="728">
        <v>3310</v>
      </c>
      <c r="F269" s="742">
        <v>730</v>
      </c>
    </row>
    <row r="270" spans="1:6" s="722" customFormat="1" ht="14.25" customHeight="1" thickBot="1">
      <c r="A270" s="734" t="s">
        <v>530</v>
      </c>
      <c r="B270" s="728" t="s">
        <v>434</v>
      </c>
      <c r="C270" s="728">
        <v>3240</v>
      </c>
      <c r="D270" s="728">
        <v>3210</v>
      </c>
      <c r="E270" s="728">
        <v>3390</v>
      </c>
      <c r="F270" s="742">
        <v>820</v>
      </c>
    </row>
    <row r="271" spans="1:6" s="722" customFormat="1" ht="14.25" customHeight="1" thickBot="1">
      <c r="A271" s="734" t="s">
        <v>530</v>
      </c>
      <c r="B271" s="728" t="s">
        <v>441</v>
      </c>
      <c r="C271" s="728">
        <v>3300</v>
      </c>
      <c r="D271" s="728">
        <v>3270</v>
      </c>
      <c r="E271" s="728">
        <v>3380</v>
      </c>
      <c r="F271" s="742">
        <v>750</v>
      </c>
    </row>
    <row r="272" spans="1:6" s="722" customFormat="1" ht="14.25" customHeight="1" thickBot="1">
      <c r="A272" s="734" t="s">
        <v>530</v>
      </c>
      <c r="B272" s="728" t="s">
        <v>448</v>
      </c>
      <c r="C272" s="747"/>
      <c r="D272" s="747"/>
      <c r="E272" s="747"/>
      <c r="F272" s="742">
        <v>740</v>
      </c>
    </row>
    <row r="273" spans="1:6" s="722" customFormat="1" ht="14.25" customHeight="1" thickBot="1">
      <c r="A273" s="734" t="s">
        <v>530</v>
      </c>
      <c r="B273" s="728" t="s">
        <v>452</v>
      </c>
      <c r="C273" s="728">
        <v>3130</v>
      </c>
      <c r="D273" s="728">
        <v>3100</v>
      </c>
      <c r="E273" s="728">
        <v>3230</v>
      </c>
      <c r="F273" s="742">
        <v>700</v>
      </c>
    </row>
    <row r="274" spans="1:6" s="722" customFormat="1" ht="14.25" customHeight="1" thickBot="1">
      <c r="A274" s="734" t="s">
        <v>530</v>
      </c>
      <c r="B274" s="728" t="s">
        <v>457</v>
      </c>
      <c r="C274" s="728">
        <v>3460</v>
      </c>
      <c r="D274" s="728">
        <v>3430</v>
      </c>
      <c r="E274" s="728">
        <v>3560</v>
      </c>
      <c r="F274" s="742">
        <v>690</v>
      </c>
    </row>
    <row r="275" spans="1:6" s="722" customFormat="1" ht="14.25" customHeight="1" thickBot="1">
      <c r="A275" s="734" t="s">
        <v>530</v>
      </c>
      <c r="B275" s="728" t="s">
        <v>462</v>
      </c>
      <c r="C275" s="728">
        <v>4040</v>
      </c>
      <c r="D275" s="728">
        <v>4020</v>
      </c>
      <c r="E275" s="728">
        <v>4160</v>
      </c>
      <c r="F275" s="742">
        <v>820</v>
      </c>
    </row>
    <row r="276" spans="1:6" s="722" customFormat="1" ht="14.25" customHeight="1" thickBot="1">
      <c r="A276" s="734" t="s">
        <v>530</v>
      </c>
      <c r="B276" s="728" t="s">
        <v>467</v>
      </c>
      <c r="C276" s="728">
        <v>3270</v>
      </c>
      <c r="D276" s="728">
        <v>3240</v>
      </c>
      <c r="E276" s="728">
        <v>3350</v>
      </c>
      <c r="F276" s="742">
        <v>680</v>
      </c>
    </row>
    <row r="277" spans="1:6" s="722" customFormat="1" ht="14.25" customHeight="1" thickBot="1">
      <c r="A277" s="734" t="s">
        <v>530</v>
      </c>
      <c r="B277" s="728" t="s">
        <v>472</v>
      </c>
      <c r="C277" s="728">
        <v>2930</v>
      </c>
      <c r="D277" s="728">
        <v>2900</v>
      </c>
      <c r="E277" s="728">
        <v>3000</v>
      </c>
      <c r="F277" s="742">
        <v>640</v>
      </c>
    </row>
    <row r="278" spans="1:6" s="722" customFormat="1" ht="14.25" customHeight="1" thickBot="1">
      <c r="A278" s="734" t="s">
        <v>530</v>
      </c>
      <c r="B278" s="728" t="s">
        <v>477</v>
      </c>
      <c r="C278" s="728">
        <v>4080</v>
      </c>
      <c r="D278" s="728">
        <v>4030</v>
      </c>
      <c r="E278" s="728">
        <v>4140</v>
      </c>
      <c r="F278" s="742">
        <v>850</v>
      </c>
    </row>
    <row r="279" spans="1:6" s="722" customFormat="1" ht="14.25" customHeight="1" thickBot="1">
      <c r="A279" s="734" t="s">
        <v>530</v>
      </c>
      <c r="B279" s="728" t="s">
        <v>481</v>
      </c>
      <c r="C279" s="728"/>
      <c r="D279" s="728"/>
      <c r="E279" s="728"/>
      <c r="F279" s="742">
        <v>760</v>
      </c>
    </row>
    <row r="280" spans="1:6" s="722" customFormat="1" ht="14.25" customHeight="1" thickBot="1">
      <c r="A280" s="734" t="s">
        <v>530</v>
      </c>
      <c r="B280" s="728" t="s">
        <v>485</v>
      </c>
      <c r="C280" s="728"/>
      <c r="D280" s="728"/>
      <c r="E280" s="728"/>
      <c r="F280" s="742">
        <v>760</v>
      </c>
    </row>
    <row r="281" spans="1:6" s="722" customFormat="1" ht="14.25" customHeight="1" thickBot="1">
      <c r="A281" s="734" t="s">
        <v>530</v>
      </c>
      <c r="B281" s="728" t="s">
        <v>489</v>
      </c>
      <c r="C281" s="728"/>
      <c r="D281" s="728"/>
      <c r="E281" s="728"/>
      <c r="F281" s="742">
        <v>780</v>
      </c>
    </row>
    <row r="282" spans="1:6" s="722" customFormat="1" ht="14.25" customHeight="1" thickBot="1">
      <c r="A282" s="734" t="s">
        <v>530</v>
      </c>
      <c r="B282" s="728" t="s">
        <v>493</v>
      </c>
      <c r="C282" s="728"/>
      <c r="D282" s="728"/>
      <c r="E282" s="728"/>
      <c r="F282" s="742">
        <v>730</v>
      </c>
    </row>
    <row r="283" spans="1:6" s="722" customFormat="1" ht="14.25" customHeight="1" thickBot="1">
      <c r="A283" s="734" t="s">
        <v>530</v>
      </c>
      <c r="B283" s="728" t="s">
        <v>497</v>
      </c>
      <c r="C283" s="728"/>
      <c r="D283" s="728"/>
      <c r="E283" s="728"/>
      <c r="F283" s="742">
        <v>770</v>
      </c>
    </row>
    <row r="284" spans="1:6" s="722" customFormat="1" ht="14.25" customHeight="1" thickBot="1">
      <c r="A284" s="734" t="s">
        <v>530</v>
      </c>
      <c r="B284" s="728" t="s">
        <v>500</v>
      </c>
      <c r="C284" s="728"/>
      <c r="D284" s="728"/>
      <c r="E284" s="728"/>
      <c r="F284" s="742">
        <v>640</v>
      </c>
    </row>
    <row r="285" spans="1:6" s="722" customFormat="1" ht="14.25" customHeight="1" thickBot="1">
      <c r="A285" s="734" t="s">
        <v>530</v>
      </c>
      <c r="B285" s="728" t="s">
        <v>503</v>
      </c>
      <c r="C285" s="728"/>
      <c r="D285" s="728"/>
      <c r="E285" s="728"/>
      <c r="F285" s="742">
        <v>640</v>
      </c>
    </row>
    <row r="286" spans="1:6" s="722" customFormat="1" ht="14.25" customHeight="1" thickBot="1">
      <c r="A286" s="734" t="s">
        <v>530</v>
      </c>
      <c r="B286" s="728" t="s">
        <v>506</v>
      </c>
      <c r="C286" s="728"/>
      <c r="D286" s="728"/>
      <c r="E286" s="728"/>
      <c r="F286" s="742">
        <v>850</v>
      </c>
    </row>
    <row r="287" spans="1:6" s="722" customFormat="1" ht="14.25" customHeight="1" thickBot="1">
      <c r="A287" s="734" t="s">
        <v>530</v>
      </c>
      <c r="B287" s="728" t="s">
        <v>509</v>
      </c>
      <c r="C287" s="728"/>
      <c r="D287" s="728"/>
      <c r="E287" s="728"/>
      <c r="F287" s="742">
        <v>760</v>
      </c>
    </row>
    <row r="288" spans="1:6" s="722" customFormat="1" ht="14.25" customHeight="1" thickBot="1">
      <c r="A288" s="734" t="s">
        <v>530</v>
      </c>
      <c r="B288" s="728" t="s">
        <v>512</v>
      </c>
      <c r="C288" s="728"/>
      <c r="D288" s="728"/>
      <c r="E288" s="728"/>
      <c r="F288" s="742">
        <v>830</v>
      </c>
    </row>
    <row r="289" spans="1:6" s="722" customFormat="1" ht="14.25" customHeight="1" thickBot="1">
      <c r="A289" s="734" t="s">
        <v>530</v>
      </c>
      <c r="B289" s="740" t="s">
        <v>515</v>
      </c>
      <c r="C289" s="740"/>
      <c r="D289" s="740"/>
      <c r="E289" s="740"/>
      <c r="F289" s="745">
        <v>680</v>
      </c>
    </row>
    <row r="290" spans="1:6" s="722" customFormat="1" ht="14.25" customHeight="1" thickBot="1">
      <c r="A290" s="734" t="s">
        <v>534</v>
      </c>
      <c r="B290" s="735" t="s">
        <v>535</v>
      </c>
      <c r="C290" s="735">
        <v>2770</v>
      </c>
      <c r="D290" s="735">
        <v>2740</v>
      </c>
      <c r="E290" s="735">
        <v>2720</v>
      </c>
      <c r="F290" s="748"/>
    </row>
    <row r="291" spans="1:6" s="722" customFormat="1" ht="14.25" customHeight="1" thickBot="1">
      <c r="A291" s="734" t="s">
        <v>534</v>
      </c>
      <c r="B291" s="728" t="s">
        <v>196</v>
      </c>
      <c r="C291" s="728">
        <v>2670</v>
      </c>
      <c r="D291" s="728">
        <v>2640</v>
      </c>
      <c r="E291" s="728">
        <v>2620</v>
      </c>
      <c r="F291" s="746"/>
    </row>
    <row r="292" spans="1:6" s="722" customFormat="1" ht="14.25" customHeight="1" thickBot="1">
      <c r="A292" s="734" t="s">
        <v>534</v>
      </c>
      <c r="B292" s="728" t="s">
        <v>536</v>
      </c>
      <c r="C292" s="728">
        <v>2180</v>
      </c>
      <c r="D292" s="728">
        <v>2140</v>
      </c>
      <c r="E292" s="728">
        <v>2120</v>
      </c>
      <c r="F292" s="742">
        <v>490</v>
      </c>
    </row>
    <row r="293" spans="1:6" s="722" customFormat="1" ht="14.25" customHeight="1" thickBot="1">
      <c r="A293" s="734" t="s">
        <v>534</v>
      </c>
      <c r="B293" s="728" t="s">
        <v>537</v>
      </c>
      <c r="C293" s="728"/>
      <c r="D293" s="728"/>
      <c r="E293" s="728"/>
      <c r="F293" s="742">
        <v>470</v>
      </c>
    </row>
    <row r="294" spans="1:6" s="722" customFormat="1" ht="14.25" customHeight="1" thickBot="1">
      <c r="A294" s="734" t="s">
        <v>534</v>
      </c>
      <c r="B294" s="728" t="s">
        <v>538</v>
      </c>
      <c r="C294" s="728">
        <v>2730</v>
      </c>
      <c r="D294" s="728">
        <v>2700</v>
      </c>
      <c r="E294" s="728">
        <v>2680</v>
      </c>
      <c r="F294" s="742">
        <v>490</v>
      </c>
    </row>
    <row r="295" spans="1:6" s="722" customFormat="1" ht="14.25" customHeight="1" thickBot="1">
      <c r="A295" s="734" t="s">
        <v>534</v>
      </c>
      <c r="B295" s="728" t="s">
        <v>234</v>
      </c>
      <c r="C295" s="728">
        <v>2380</v>
      </c>
      <c r="D295" s="728">
        <v>2350</v>
      </c>
      <c r="E295" s="728">
        <v>2330</v>
      </c>
      <c r="F295" s="742">
        <v>530</v>
      </c>
    </row>
    <row r="296" spans="1:6" s="722" customFormat="1" ht="14.25" customHeight="1" thickBot="1">
      <c r="A296" s="734" t="s">
        <v>534</v>
      </c>
      <c r="B296" s="728" t="s">
        <v>245</v>
      </c>
      <c r="C296" s="728">
        <v>2650</v>
      </c>
      <c r="D296" s="728">
        <v>2620</v>
      </c>
      <c r="E296" s="728">
        <v>2590</v>
      </c>
      <c r="F296" s="742">
        <v>590</v>
      </c>
    </row>
    <row r="297" spans="1:6" s="722" customFormat="1" ht="14.25" customHeight="1" thickBot="1">
      <c r="A297" s="734" t="s">
        <v>534</v>
      </c>
      <c r="B297" s="728" t="s">
        <v>256</v>
      </c>
      <c r="C297" s="728">
        <v>2700</v>
      </c>
      <c r="D297" s="728">
        <v>2670</v>
      </c>
      <c r="E297" s="728">
        <v>2650</v>
      </c>
      <c r="F297" s="742">
        <v>630</v>
      </c>
    </row>
    <row r="298" spans="1:6" s="722" customFormat="1" ht="14.25" customHeight="1" thickBot="1">
      <c r="A298" s="734" t="s">
        <v>534</v>
      </c>
      <c r="B298" s="728" t="s">
        <v>267</v>
      </c>
      <c r="C298" s="728">
        <v>2650</v>
      </c>
      <c r="D298" s="728">
        <v>2620</v>
      </c>
      <c r="E298" s="728">
        <v>2590</v>
      </c>
      <c r="F298" s="742">
        <v>640</v>
      </c>
    </row>
    <row r="299" spans="1:6" s="722" customFormat="1" ht="14.25" customHeight="1" thickBot="1">
      <c r="A299" s="734" t="s">
        <v>534</v>
      </c>
      <c r="B299" s="728" t="s">
        <v>279</v>
      </c>
      <c r="C299" s="728">
        <v>2500</v>
      </c>
      <c r="D299" s="728">
        <v>2480</v>
      </c>
      <c r="E299" s="728">
        <v>2460</v>
      </c>
      <c r="F299" s="746"/>
    </row>
    <row r="300" spans="1:6" s="722" customFormat="1" ht="14.25" customHeight="1" thickBot="1">
      <c r="A300" s="734" t="s">
        <v>534</v>
      </c>
      <c r="B300" s="728" t="s">
        <v>289</v>
      </c>
      <c r="C300" s="728">
        <v>2760</v>
      </c>
      <c r="D300" s="728">
        <v>2730</v>
      </c>
      <c r="E300" s="728">
        <v>2700</v>
      </c>
      <c r="F300" s="742">
        <v>630</v>
      </c>
    </row>
    <row r="301" spans="1:6" s="722" customFormat="1" ht="14.25" customHeight="1" thickBot="1">
      <c r="A301" s="734" t="s">
        <v>534</v>
      </c>
      <c r="B301" s="728" t="s">
        <v>299</v>
      </c>
      <c r="C301" s="728">
        <v>2510</v>
      </c>
      <c r="D301" s="728">
        <v>2480</v>
      </c>
      <c r="E301" s="728">
        <v>2460</v>
      </c>
      <c r="F301" s="746"/>
    </row>
    <row r="302" spans="1:6" s="722" customFormat="1" ht="14.25" customHeight="1" thickBot="1">
      <c r="A302" s="734" t="s">
        <v>534</v>
      </c>
      <c r="B302" s="728" t="s">
        <v>309</v>
      </c>
      <c r="C302" s="728">
        <v>2480</v>
      </c>
      <c r="D302" s="728">
        <v>2450</v>
      </c>
      <c r="E302" s="728">
        <v>2420</v>
      </c>
      <c r="F302" s="742">
        <v>600</v>
      </c>
    </row>
    <row r="303" spans="1:6" s="722" customFormat="1" ht="14.25" customHeight="1" thickBot="1">
      <c r="A303" s="734" t="s">
        <v>534</v>
      </c>
      <c r="B303" s="728" t="s">
        <v>319</v>
      </c>
      <c r="C303" s="728">
        <v>2270</v>
      </c>
      <c r="D303" s="728">
        <v>2240</v>
      </c>
      <c r="E303" s="728">
        <v>2210</v>
      </c>
      <c r="F303" s="742">
        <v>540</v>
      </c>
    </row>
    <row r="304" spans="1:6" s="722" customFormat="1" ht="14.25" customHeight="1" thickBot="1">
      <c r="A304" s="734" t="s">
        <v>534</v>
      </c>
      <c r="B304" s="728" t="s">
        <v>330</v>
      </c>
      <c r="C304" s="728">
        <v>2310</v>
      </c>
      <c r="D304" s="728">
        <v>2290</v>
      </c>
      <c r="E304" s="728">
        <v>2270</v>
      </c>
      <c r="F304" s="746"/>
    </row>
    <row r="305" spans="1:6" s="722" customFormat="1" ht="14.25" customHeight="1" thickBot="1">
      <c r="A305" s="734" t="s">
        <v>534</v>
      </c>
      <c r="B305" s="728" t="s">
        <v>341</v>
      </c>
      <c r="C305" s="728">
        <v>2490</v>
      </c>
      <c r="D305" s="728">
        <v>2470</v>
      </c>
      <c r="E305" s="728">
        <v>2440</v>
      </c>
      <c r="F305" s="742">
        <v>560</v>
      </c>
    </row>
    <row r="306" spans="1:6" s="722" customFormat="1" ht="14.25" customHeight="1" thickBot="1">
      <c r="A306" s="734" t="s">
        <v>534</v>
      </c>
      <c r="B306" s="728" t="s">
        <v>351</v>
      </c>
      <c r="C306" s="728">
        <v>2420</v>
      </c>
      <c r="D306" s="728">
        <v>2400</v>
      </c>
      <c r="E306" s="728">
        <v>2380</v>
      </c>
      <c r="F306" s="746"/>
    </row>
    <row r="307" spans="1:6" s="722" customFormat="1" ht="14.25" customHeight="1" thickBot="1">
      <c r="A307" s="734" t="s">
        <v>534</v>
      </c>
      <c r="B307" s="728" t="s">
        <v>361</v>
      </c>
      <c r="C307" s="728">
        <v>2770</v>
      </c>
      <c r="D307" s="728">
        <v>2740</v>
      </c>
      <c r="E307" s="728">
        <v>2710</v>
      </c>
      <c r="F307" s="742">
        <v>650</v>
      </c>
    </row>
    <row r="308" spans="1:6" s="722" customFormat="1" ht="14.25" customHeight="1" thickBot="1">
      <c r="A308" s="734" t="s">
        <v>534</v>
      </c>
      <c r="B308" s="728" t="s">
        <v>371</v>
      </c>
      <c r="C308" s="728">
        <v>2610</v>
      </c>
      <c r="D308" s="728">
        <v>2580</v>
      </c>
      <c r="E308" s="728">
        <v>2550</v>
      </c>
      <c r="F308" s="742">
        <v>580</v>
      </c>
    </row>
    <row r="309" spans="1:6" s="722" customFormat="1" ht="14.25" customHeight="1" thickBot="1">
      <c r="A309" s="734" t="s">
        <v>534</v>
      </c>
      <c r="B309" s="728" t="s">
        <v>381</v>
      </c>
      <c r="C309" s="728">
        <v>2690</v>
      </c>
      <c r="D309" s="728">
        <v>2670</v>
      </c>
      <c r="E309" s="728">
        <v>2650</v>
      </c>
      <c r="F309" s="746"/>
    </row>
    <row r="310" spans="1:6" s="722" customFormat="1" ht="14.25" customHeight="1" thickBot="1">
      <c r="A310" s="734" t="s">
        <v>534</v>
      </c>
      <c r="B310" s="728" t="s">
        <v>390</v>
      </c>
      <c r="C310" s="728">
        <v>2360</v>
      </c>
      <c r="D310" s="728">
        <v>2330</v>
      </c>
      <c r="E310" s="728">
        <v>2310</v>
      </c>
      <c r="F310" s="742">
        <v>560</v>
      </c>
    </row>
    <row r="311" spans="1:6" s="722" customFormat="1" ht="14.25" customHeight="1" thickBot="1">
      <c r="A311" s="734" t="s">
        <v>534</v>
      </c>
      <c r="B311" s="728" t="s">
        <v>399</v>
      </c>
      <c r="C311" s="728">
        <v>1970</v>
      </c>
      <c r="D311" s="728">
        <v>1950</v>
      </c>
      <c r="E311" s="728">
        <v>1920</v>
      </c>
      <c r="F311" s="742">
        <v>470</v>
      </c>
    </row>
    <row r="312" spans="1:6" s="722" customFormat="1" ht="14.25" customHeight="1" thickBot="1">
      <c r="A312" s="734" t="s">
        <v>534</v>
      </c>
      <c r="B312" s="728" t="s">
        <v>407</v>
      </c>
      <c r="C312" s="728">
        <v>2230</v>
      </c>
      <c r="D312" s="728">
        <v>2200</v>
      </c>
      <c r="E312" s="728">
        <v>2170</v>
      </c>
      <c r="F312" s="742">
        <v>460</v>
      </c>
    </row>
    <row r="313" spans="1:6" s="722" customFormat="1" ht="14.25" customHeight="1" thickBot="1">
      <c r="A313" s="734" t="s">
        <v>534</v>
      </c>
      <c r="B313" s="728" t="s">
        <v>414</v>
      </c>
      <c r="C313" s="728">
        <v>2770</v>
      </c>
      <c r="D313" s="728">
        <v>2740</v>
      </c>
      <c r="E313" s="728">
        <v>2710</v>
      </c>
      <c r="F313" s="742">
        <v>610</v>
      </c>
    </row>
    <row r="314" spans="1:6" s="722" customFormat="1" ht="14.25" customHeight="1" thickBot="1">
      <c r="A314" s="734" t="s">
        <v>534</v>
      </c>
      <c r="B314" s="728" t="s">
        <v>421</v>
      </c>
      <c r="C314" s="728"/>
      <c r="D314" s="728"/>
      <c r="E314" s="728"/>
      <c r="F314" s="742">
        <v>490</v>
      </c>
    </row>
    <row r="315" spans="1:6" s="722" customFormat="1" ht="14.25" customHeight="1" thickBot="1">
      <c r="A315" s="734" t="s">
        <v>534</v>
      </c>
      <c r="B315" s="728" t="s">
        <v>428</v>
      </c>
      <c r="C315" s="728"/>
      <c r="D315" s="728"/>
      <c r="E315" s="728"/>
      <c r="F315" s="742">
        <v>520</v>
      </c>
    </row>
    <row r="316" spans="1:6" s="722" customFormat="1" ht="14.25" customHeight="1" thickBot="1">
      <c r="A316" s="734" t="s">
        <v>534</v>
      </c>
      <c r="B316" s="740" t="s">
        <v>435</v>
      </c>
      <c r="C316" s="740"/>
      <c r="D316" s="740"/>
      <c r="E316" s="740"/>
      <c r="F316" s="745">
        <v>460</v>
      </c>
    </row>
    <row r="317" spans="1:6" s="722" customFormat="1" ht="14.25" customHeight="1" thickBot="1">
      <c r="A317" s="734" t="s">
        <v>321</v>
      </c>
      <c r="B317" s="735" t="s">
        <v>539</v>
      </c>
      <c r="C317" s="735">
        <v>1200</v>
      </c>
      <c r="D317" s="735">
        <v>1180</v>
      </c>
      <c r="E317" s="735">
        <v>1160</v>
      </c>
      <c r="F317" s="736">
        <v>370</v>
      </c>
    </row>
    <row r="318" spans="1:6" s="722" customFormat="1" ht="14.25" customHeight="1" thickBot="1">
      <c r="A318" s="734" t="s">
        <v>321</v>
      </c>
      <c r="B318" s="728" t="s">
        <v>540</v>
      </c>
      <c r="C318" s="728">
        <v>1090</v>
      </c>
      <c r="D318" s="728">
        <v>1060</v>
      </c>
      <c r="E318" s="728">
        <v>1040</v>
      </c>
      <c r="F318" s="746"/>
    </row>
    <row r="319" spans="1:6" s="722" customFormat="1" ht="14.25" customHeight="1" thickBot="1">
      <c r="A319" s="734" t="s">
        <v>321</v>
      </c>
      <c r="B319" s="728" t="s">
        <v>541</v>
      </c>
      <c r="C319" s="728">
        <v>1520</v>
      </c>
      <c r="D319" s="728">
        <v>1470</v>
      </c>
      <c r="E319" s="728">
        <v>1440</v>
      </c>
      <c r="F319" s="742">
        <v>370</v>
      </c>
    </row>
    <row r="320" spans="1:6" s="722" customFormat="1" ht="14.25" customHeight="1" thickBot="1">
      <c r="A320" s="734" t="s">
        <v>321</v>
      </c>
      <c r="B320" s="728" t="s">
        <v>223</v>
      </c>
      <c r="C320" s="728">
        <v>1360</v>
      </c>
      <c r="D320" s="728">
        <v>1300</v>
      </c>
      <c r="E320" s="728">
        <v>1270</v>
      </c>
      <c r="F320" s="746"/>
    </row>
    <row r="321" spans="1:6" s="722" customFormat="1" ht="14.25" customHeight="1" thickBot="1">
      <c r="A321" s="734" t="s">
        <v>321</v>
      </c>
      <c r="B321" s="728" t="s">
        <v>235</v>
      </c>
      <c r="C321" s="728">
        <v>1750</v>
      </c>
      <c r="D321" s="728">
        <v>1690</v>
      </c>
      <c r="E321" s="728">
        <v>1660</v>
      </c>
      <c r="F321" s="746"/>
    </row>
    <row r="322" spans="1:6" s="722" customFormat="1" ht="14.25" customHeight="1" thickBot="1">
      <c r="A322" s="734" t="s">
        <v>321</v>
      </c>
      <c r="B322" s="728" t="s">
        <v>246</v>
      </c>
      <c r="C322" s="728">
        <v>1650</v>
      </c>
      <c r="D322" s="728">
        <v>1610</v>
      </c>
      <c r="E322" s="728">
        <v>1580</v>
      </c>
      <c r="F322" s="742">
        <v>500</v>
      </c>
    </row>
    <row r="323" spans="1:6" s="722" customFormat="1" ht="14.25" customHeight="1" thickBot="1">
      <c r="A323" s="734" t="s">
        <v>321</v>
      </c>
      <c r="B323" s="728" t="s">
        <v>257</v>
      </c>
      <c r="C323" s="728">
        <v>1780</v>
      </c>
      <c r="D323" s="728">
        <v>1740</v>
      </c>
      <c r="E323" s="728">
        <v>1720</v>
      </c>
      <c r="F323" s="746"/>
    </row>
    <row r="324" spans="1:6" s="722" customFormat="1" ht="14.25" customHeight="1" thickBot="1">
      <c r="A324" s="734" t="s">
        <v>321</v>
      </c>
      <c r="B324" s="728" t="s">
        <v>268</v>
      </c>
      <c r="C324" s="728">
        <v>1650</v>
      </c>
      <c r="D324" s="728">
        <v>1610</v>
      </c>
      <c r="E324" s="728">
        <v>1580</v>
      </c>
      <c r="F324" s="746"/>
    </row>
    <row r="325" spans="1:6" s="722" customFormat="1" ht="14.25" customHeight="1" thickBot="1">
      <c r="A325" s="734" t="s">
        <v>321</v>
      </c>
      <c r="B325" s="728" t="s">
        <v>280</v>
      </c>
      <c r="C325" s="728">
        <v>1330</v>
      </c>
      <c r="D325" s="728">
        <v>1270</v>
      </c>
      <c r="E325" s="728">
        <v>1240</v>
      </c>
      <c r="F325" s="742">
        <v>430</v>
      </c>
    </row>
    <row r="326" spans="1:6" s="722" customFormat="1" ht="14.25" customHeight="1" thickBot="1">
      <c r="A326" s="734" t="s">
        <v>321</v>
      </c>
      <c r="B326" s="728" t="s">
        <v>290</v>
      </c>
      <c r="C326" s="728">
        <v>1470</v>
      </c>
      <c r="D326" s="728">
        <v>1430</v>
      </c>
      <c r="E326" s="728">
        <v>1400</v>
      </c>
      <c r="F326" s="746"/>
    </row>
    <row r="327" spans="1:6" s="722" customFormat="1" ht="14.25" customHeight="1" thickBot="1">
      <c r="A327" s="734" t="s">
        <v>321</v>
      </c>
      <c r="B327" s="728" t="s">
        <v>300</v>
      </c>
      <c r="C327" s="728">
        <v>1420</v>
      </c>
      <c r="D327" s="728">
        <v>1380</v>
      </c>
      <c r="E327" s="728">
        <v>1360</v>
      </c>
      <c r="F327" s="742">
        <v>420</v>
      </c>
    </row>
    <row r="328" spans="1:6" s="722" customFormat="1" ht="14.25" customHeight="1" thickBot="1">
      <c r="A328" s="734" t="s">
        <v>321</v>
      </c>
      <c r="B328" s="728" t="s">
        <v>310</v>
      </c>
      <c r="C328" s="728">
        <v>1400</v>
      </c>
      <c r="D328" s="728">
        <v>1360</v>
      </c>
      <c r="E328" s="728">
        <v>1330</v>
      </c>
      <c r="F328" s="742">
        <v>460</v>
      </c>
    </row>
    <row r="329" spans="1:6" s="722" customFormat="1" ht="14.25" customHeight="1" thickBot="1">
      <c r="A329" s="734" t="s">
        <v>321</v>
      </c>
      <c r="B329" s="728" t="s">
        <v>320</v>
      </c>
      <c r="C329" s="728">
        <v>1640</v>
      </c>
      <c r="D329" s="728">
        <v>1610</v>
      </c>
      <c r="E329" s="728">
        <v>1580</v>
      </c>
      <c r="F329" s="742">
        <v>410</v>
      </c>
    </row>
    <row r="330" spans="1:6" s="722" customFormat="1" ht="14.25" customHeight="1" thickBot="1">
      <c r="A330" s="734" t="s">
        <v>321</v>
      </c>
      <c r="B330" s="728" t="s">
        <v>331</v>
      </c>
      <c r="C330" s="728">
        <v>1260</v>
      </c>
      <c r="D330" s="728">
        <v>1220</v>
      </c>
      <c r="E330" s="728">
        <v>1200</v>
      </c>
      <c r="F330" s="746"/>
    </row>
    <row r="331" spans="1:6" s="722" customFormat="1" ht="14.25" customHeight="1" thickBot="1">
      <c r="A331" s="734" t="s">
        <v>321</v>
      </c>
      <c r="B331" s="728" t="s">
        <v>342</v>
      </c>
      <c r="C331" s="728">
        <v>1620</v>
      </c>
      <c r="D331" s="728">
        <v>1560</v>
      </c>
      <c r="E331" s="728">
        <v>1530</v>
      </c>
      <c r="F331" s="742">
        <v>490</v>
      </c>
    </row>
    <row r="332" spans="1:6" s="722" customFormat="1" ht="14.25" customHeight="1" thickBot="1">
      <c r="A332" s="734" t="s">
        <v>321</v>
      </c>
      <c r="B332" s="728" t="s">
        <v>352</v>
      </c>
      <c r="C332" s="728">
        <v>1520</v>
      </c>
      <c r="D332" s="728">
        <v>1470</v>
      </c>
      <c r="E332" s="728">
        <v>1440</v>
      </c>
      <c r="F332" s="742">
        <v>440</v>
      </c>
    </row>
    <row r="333" spans="1:6" s="722" customFormat="1" ht="14.25" customHeight="1" thickBot="1">
      <c r="A333" s="734" t="s">
        <v>321</v>
      </c>
      <c r="B333" s="728" t="s">
        <v>362</v>
      </c>
      <c r="C333" s="728">
        <v>1370</v>
      </c>
      <c r="D333" s="728">
        <v>1320</v>
      </c>
      <c r="E333" s="728">
        <v>1300</v>
      </c>
      <c r="F333" s="742">
        <v>460</v>
      </c>
    </row>
    <row r="334" spans="1:6" s="722" customFormat="1" ht="14.25" customHeight="1" thickBot="1">
      <c r="A334" s="734" t="s">
        <v>321</v>
      </c>
      <c r="B334" s="728" t="s">
        <v>372</v>
      </c>
      <c r="C334" s="728">
        <v>1410</v>
      </c>
      <c r="D334" s="728">
        <v>1340</v>
      </c>
      <c r="E334" s="728">
        <v>1310</v>
      </c>
      <c r="F334" s="742">
        <v>410</v>
      </c>
    </row>
    <row r="335" spans="1:6" s="722" customFormat="1" ht="14.25" customHeight="1" thickBot="1">
      <c r="A335" s="734" t="s">
        <v>321</v>
      </c>
      <c r="B335" s="728" t="s">
        <v>382</v>
      </c>
      <c r="C335" s="728">
        <v>1260</v>
      </c>
      <c r="D335" s="728">
        <v>1220</v>
      </c>
      <c r="E335" s="728">
        <v>1200</v>
      </c>
      <c r="F335" s="746"/>
    </row>
    <row r="336" spans="1:6" s="722" customFormat="1" ht="14.25" customHeight="1" thickBot="1">
      <c r="A336" s="734" t="s">
        <v>321</v>
      </c>
      <c r="B336" s="728" t="s">
        <v>391</v>
      </c>
      <c r="C336" s="728">
        <v>1160</v>
      </c>
      <c r="D336" s="728">
        <v>1140</v>
      </c>
      <c r="E336" s="728">
        <v>1120</v>
      </c>
      <c r="F336" s="742">
        <v>430</v>
      </c>
    </row>
    <row r="337" spans="1:6" s="722" customFormat="1" ht="14.25" customHeight="1" thickBot="1">
      <c r="A337" s="734" t="s">
        <v>321</v>
      </c>
      <c r="B337" s="740" t="s">
        <v>400</v>
      </c>
      <c r="C337" s="740"/>
      <c r="D337" s="740"/>
      <c r="E337" s="740"/>
      <c r="F337" s="745">
        <v>380</v>
      </c>
    </row>
    <row r="338" spans="1:6" s="722" customFormat="1" ht="14.25" customHeight="1" thickBot="1">
      <c r="A338" s="734" t="s">
        <v>332</v>
      </c>
      <c r="B338" s="735" t="s">
        <v>542</v>
      </c>
      <c r="C338" s="735">
        <v>880</v>
      </c>
      <c r="D338" s="735">
        <v>850</v>
      </c>
      <c r="E338" s="735">
        <v>830</v>
      </c>
      <c r="F338" s="748"/>
    </row>
    <row r="339" spans="1:6" s="722" customFormat="1" ht="14.25" customHeight="1" thickBot="1">
      <c r="A339" s="734" t="s">
        <v>332</v>
      </c>
      <c r="B339" s="728" t="s">
        <v>543</v>
      </c>
      <c r="C339" s="728">
        <v>830</v>
      </c>
      <c r="D339" s="728">
        <v>800</v>
      </c>
      <c r="E339" s="728">
        <v>780</v>
      </c>
      <c r="F339" s="746"/>
    </row>
    <row r="340" spans="1:6" s="722" customFormat="1" ht="14.25" customHeight="1" thickBot="1">
      <c r="A340" s="734" t="s">
        <v>332</v>
      </c>
      <c r="B340" s="728" t="s">
        <v>544</v>
      </c>
      <c r="C340" s="728">
        <v>980</v>
      </c>
      <c r="D340" s="728">
        <v>950</v>
      </c>
      <c r="E340" s="728">
        <v>920</v>
      </c>
      <c r="F340" s="746"/>
    </row>
    <row r="341" spans="1:6" s="722" customFormat="1" ht="14.25" customHeight="1" thickBot="1">
      <c r="A341" s="734" t="s">
        <v>332</v>
      </c>
      <c r="B341" s="728" t="s">
        <v>545</v>
      </c>
      <c r="C341" s="728">
        <v>760</v>
      </c>
      <c r="D341" s="728">
        <v>720</v>
      </c>
      <c r="E341" s="728">
        <v>690</v>
      </c>
      <c r="F341" s="742">
        <v>350</v>
      </c>
    </row>
    <row r="342" spans="1:6" s="722" customFormat="1" ht="14.25" customHeight="1" thickBot="1">
      <c r="A342" s="734" t="s">
        <v>332</v>
      </c>
      <c r="B342" s="728" t="s">
        <v>236</v>
      </c>
      <c r="C342" s="728">
        <v>910</v>
      </c>
      <c r="D342" s="728">
        <v>870</v>
      </c>
      <c r="E342" s="728">
        <v>850</v>
      </c>
      <c r="F342" s="742">
        <v>370</v>
      </c>
    </row>
    <row r="343" spans="1:6" s="722" customFormat="1" ht="14.25" customHeight="1" thickBot="1">
      <c r="A343" s="734" t="s">
        <v>332</v>
      </c>
      <c r="B343" s="728" t="s">
        <v>247</v>
      </c>
      <c r="C343" s="728">
        <v>800</v>
      </c>
      <c r="D343" s="728">
        <v>760</v>
      </c>
      <c r="E343" s="728">
        <v>730</v>
      </c>
      <c r="F343" s="742">
        <v>340</v>
      </c>
    </row>
    <row r="344" spans="1:6" s="722" customFormat="1" ht="14.25" customHeight="1" thickBot="1">
      <c r="A344" s="734" t="s">
        <v>332</v>
      </c>
      <c r="B344" s="740" t="s">
        <v>258</v>
      </c>
      <c r="C344" s="740">
        <v>720</v>
      </c>
      <c r="D344" s="740">
        <v>690</v>
      </c>
      <c r="E344" s="740">
        <v>660</v>
      </c>
      <c r="F344" s="74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49" customWidth="1"/>
    <col min="2" max="2" width="10.25" style="708" customWidth="1"/>
  </cols>
  <sheetData>
    <row r="1" spans="1:6">
      <c r="A1" s="3484" t="s">
        <v>839</v>
      </c>
      <c r="B1" s="3484"/>
    </row>
    <row r="2" spans="1:6" ht="14.25" thickBot="1">
      <c r="A2" s="912"/>
      <c r="B2" s="912"/>
    </row>
    <row r="3" spans="1:6" ht="14.25" thickBot="1">
      <c r="A3" s="912"/>
      <c r="B3" s="912"/>
      <c r="C3" s="915" t="s">
        <v>842</v>
      </c>
      <c r="D3" s="915" t="s">
        <v>843</v>
      </c>
      <c r="E3" s="915" t="s">
        <v>844</v>
      </c>
      <c r="F3" s="915" t="s">
        <v>845</v>
      </c>
    </row>
    <row r="4" spans="1:6" ht="14.25" thickBot="1">
      <c r="A4" s="913" t="s">
        <v>840</v>
      </c>
      <c r="B4" s="914" t="s">
        <v>841</v>
      </c>
      <c r="C4" s="915"/>
      <c r="D4" s="915"/>
      <c r="E4" s="915"/>
      <c r="F4" s="915"/>
    </row>
    <row r="5" spans="1:6" ht="14.25" thickBot="1">
      <c r="A5" s="734" t="s">
        <v>846</v>
      </c>
      <c r="B5" s="735" t="s">
        <v>847</v>
      </c>
      <c r="C5" s="916">
        <v>8.8999999999999996E-2</v>
      </c>
      <c r="D5" s="916">
        <v>7.3999999999999996E-2</v>
      </c>
      <c r="E5" s="916">
        <v>7.4999999999999997E-2</v>
      </c>
      <c r="F5" s="917">
        <v>0.1</v>
      </c>
    </row>
    <row r="6" spans="1:6" ht="14.25" thickBot="1">
      <c r="A6" s="734" t="s">
        <v>212</v>
      </c>
      <c r="B6" s="728" t="s">
        <v>848</v>
      </c>
      <c r="C6" s="918">
        <v>0.1</v>
      </c>
      <c r="D6" s="918">
        <v>9.0999999999999998E-2</v>
      </c>
      <c r="E6" s="918">
        <v>9.0999999999999998E-2</v>
      </c>
      <c r="F6" s="919">
        <v>0.1</v>
      </c>
    </row>
    <row r="7" spans="1:6" ht="14.25" thickBot="1">
      <c r="A7" s="734" t="s">
        <v>212</v>
      </c>
      <c r="B7" s="738" t="s">
        <v>201</v>
      </c>
      <c r="C7" s="918">
        <v>8.5999999999999993E-2</v>
      </c>
      <c r="D7" s="918">
        <v>9.6000000000000002E-2</v>
      </c>
      <c r="E7" s="918">
        <v>7.5999999999999998E-2</v>
      </c>
      <c r="F7" s="919">
        <v>0.1</v>
      </c>
    </row>
    <row r="8" spans="1:6" ht="14.25" thickBot="1">
      <c r="A8" s="734" t="s">
        <v>212</v>
      </c>
      <c r="B8" s="728" t="s">
        <v>213</v>
      </c>
      <c r="C8" s="918">
        <v>9.9000000000000005E-2</v>
      </c>
      <c r="D8" s="918">
        <v>9.8000000000000004E-2</v>
      </c>
      <c r="E8" s="918">
        <v>9.8000000000000004E-2</v>
      </c>
      <c r="F8" s="919">
        <v>0.1</v>
      </c>
    </row>
    <row r="9" spans="1:6" ht="14.25" thickBot="1">
      <c r="A9" s="744" t="s">
        <v>212</v>
      </c>
      <c r="B9" s="739" t="s">
        <v>225</v>
      </c>
      <c r="C9" s="920">
        <v>0.05</v>
      </c>
      <c r="D9" s="928"/>
      <c r="E9" s="928"/>
      <c r="F9" s="929"/>
    </row>
    <row r="10" spans="1:6" ht="14.25" thickBot="1">
      <c r="A10" s="734" t="s">
        <v>269</v>
      </c>
      <c r="B10" s="735" t="s">
        <v>849</v>
      </c>
      <c r="C10" s="916">
        <v>8.8999999999999996E-2</v>
      </c>
      <c r="D10" s="916">
        <v>7.2999999999999995E-2</v>
      </c>
      <c r="E10" s="916">
        <v>8.2000000000000003E-2</v>
      </c>
      <c r="F10" s="917">
        <v>0.1</v>
      </c>
    </row>
    <row r="11" spans="1:6" ht="14.25" thickBot="1">
      <c r="A11" s="734" t="s">
        <v>269</v>
      </c>
      <c r="B11" s="738" t="s">
        <v>188</v>
      </c>
      <c r="C11" s="918">
        <v>8.8999999999999996E-2</v>
      </c>
      <c r="D11" s="918">
        <v>7.2999999999999995E-2</v>
      </c>
      <c r="E11" s="918">
        <v>8.2000000000000003E-2</v>
      </c>
      <c r="F11" s="919">
        <v>0.1</v>
      </c>
    </row>
    <row r="12" spans="1:6" ht="14.25" thickBot="1">
      <c r="A12" s="734" t="s">
        <v>269</v>
      </c>
      <c r="B12" s="738" t="s">
        <v>138</v>
      </c>
      <c r="C12" s="918">
        <v>6.0999999999999999E-2</v>
      </c>
      <c r="D12" s="918">
        <v>7.0999999999999994E-2</v>
      </c>
      <c r="E12" s="918">
        <v>9.6000000000000002E-2</v>
      </c>
      <c r="F12" s="919">
        <v>0.1</v>
      </c>
    </row>
    <row r="13" spans="1:6" ht="14.25" thickBot="1">
      <c r="A13" s="734" t="s">
        <v>269</v>
      </c>
      <c r="B13" s="738" t="s">
        <v>214</v>
      </c>
      <c r="C13" s="918">
        <v>6.9000000000000006E-2</v>
      </c>
      <c r="D13" s="918">
        <v>6.5000000000000002E-2</v>
      </c>
      <c r="E13" s="918">
        <v>6.6000000000000003E-2</v>
      </c>
      <c r="F13" s="919">
        <v>0.1</v>
      </c>
    </row>
    <row r="14" spans="1:6" ht="14.25" thickBot="1">
      <c r="A14" s="734" t="s">
        <v>269</v>
      </c>
      <c r="B14" s="738" t="s">
        <v>226</v>
      </c>
      <c r="C14" s="918">
        <v>0.1</v>
      </c>
      <c r="D14" s="918">
        <v>6.5000000000000002E-2</v>
      </c>
      <c r="E14" s="918">
        <v>7.0000000000000007E-2</v>
      </c>
      <c r="F14" s="919">
        <v>0.1</v>
      </c>
    </row>
    <row r="15" spans="1:6" ht="14.25" thickBot="1">
      <c r="A15" s="734" t="s">
        <v>269</v>
      </c>
      <c r="B15" s="738" t="s">
        <v>237</v>
      </c>
      <c r="C15" s="918">
        <v>9.8000000000000004E-2</v>
      </c>
      <c r="D15" s="918">
        <v>8.8999999999999996E-2</v>
      </c>
      <c r="E15" s="918">
        <v>8.8999999999999996E-2</v>
      </c>
      <c r="F15" s="919">
        <v>0.1</v>
      </c>
    </row>
    <row r="16" spans="1:6" ht="14.25" thickBot="1">
      <c r="A16" s="734" t="s">
        <v>269</v>
      </c>
      <c r="B16" s="738" t="s">
        <v>248</v>
      </c>
      <c r="C16" s="918">
        <v>7.0000000000000007E-2</v>
      </c>
      <c r="D16" s="918">
        <v>9.2999999999999999E-2</v>
      </c>
      <c r="E16" s="918">
        <v>9.6000000000000002E-2</v>
      </c>
      <c r="F16" s="919">
        <v>0.1</v>
      </c>
    </row>
    <row r="17" spans="1:6" ht="14.25" thickBot="1">
      <c r="A17" s="734" t="s">
        <v>269</v>
      </c>
      <c r="B17" s="738" t="s">
        <v>259</v>
      </c>
      <c r="C17" s="918">
        <v>9.5000000000000001E-2</v>
      </c>
      <c r="D17" s="918">
        <v>0.1</v>
      </c>
      <c r="E17" s="918">
        <v>0.1</v>
      </c>
      <c r="F17" s="930"/>
    </row>
    <row r="18" spans="1:6" ht="14.25" thickBot="1">
      <c r="A18" s="734" t="s">
        <v>269</v>
      </c>
      <c r="B18" s="738" t="s">
        <v>271</v>
      </c>
      <c r="C18" s="918">
        <v>7.3999999999999996E-2</v>
      </c>
      <c r="D18" s="918">
        <v>9.9000000000000005E-2</v>
      </c>
      <c r="E18" s="918">
        <v>0.1</v>
      </c>
      <c r="F18" s="930"/>
    </row>
    <row r="19" spans="1:6" ht="14.25" thickBot="1">
      <c r="A19" s="734" t="s">
        <v>269</v>
      </c>
      <c r="B19" s="738" t="s">
        <v>281</v>
      </c>
      <c r="C19" s="918">
        <v>9.9000000000000005E-2</v>
      </c>
      <c r="D19" s="918">
        <v>7.5999999999999998E-2</v>
      </c>
      <c r="E19" s="918">
        <v>8.6999999999999994E-2</v>
      </c>
      <c r="F19" s="930"/>
    </row>
    <row r="20" spans="1:6" ht="14.25" thickBot="1">
      <c r="A20" s="734" t="s">
        <v>269</v>
      </c>
      <c r="B20" s="738" t="s">
        <v>291</v>
      </c>
      <c r="C20" s="918">
        <v>9.8000000000000004E-2</v>
      </c>
      <c r="D20" s="918">
        <v>8.5000000000000006E-2</v>
      </c>
      <c r="E20" s="918">
        <v>8.2000000000000003E-2</v>
      </c>
      <c r="F20" s="930"/>
    </row>
    <row r="21" spans="1:6" ht="14.25" thickBot="1">
      <c r="A21" s="734" t="s">
        <v>269</v>
      </c>
      <c r="B21" s="738" t="s">
        <v>301</v>
      </c>
      <c r="C21" s="918">
        <v>6.6000000000000003E-2</v>
      </c>
      <c r="D21" s="918">
        <v>6.4000000000000001E-2</v>
      </c>
      <c r="E21" s="918">
        <v>6.5000000000000002E-2</v>
      </c>
      <c r="F21" s="930"/>
    </row>
    <row r="22" spans="1:6" ht="14.25" thickBot="1">
      <c r="A22" s="734" t="s">
        <v>269</v>
      </c>
      <c r="B22" s="738" t="s">
        <v>850</v>
      </c>
      <c r="C22" s="918">
        <v>0.08</v>
      </c>
      <c r="D22" s="918">
        <v>9.8000000000000004E-2</v>
      </c>
      <c r="E22" s="918">
        <v>9.8000000000000004E-2</v>
      </c>
      <c r="F22" s="930"/>
    </row>
    <row r="23" spans="1:6" ht="14.25" thickBot="1">
      <c r="A23" s="734" t="s">
        <v>269</v>
      </c>
      <c r="B23" s="738" t="s">
        <v>322</v>
      </c>
      <c r="C23" s="918">
        <v>9.9000000000000005E-2</v>
      </c>
      <c r="D23" s="918">
        <v>9.8000000000000004E-2</v>
      </c>
      <c r="E23" s="918">
        <v>9.0999999999999998E-2</v>
      </c>
      <c r="F23" s="930"/>
    </row>
    <row r="24" spans="1:6" ht="14.25" thickBot="1">
      <c r="A24" s="734" t="s">
        <v>269</v>
      </c>
      <c r="B24" s="738" t="s">
        <v>333</v>
      </c>
      <c r="C24" s="918">
        <v>8.8999999999999996E-2</v>
      </c>
      <c r="D24" s="918">
        <v>9.7000000000000003E-2</v>
      </c>
      <c r="E24" s="918">
        <v>7.0000000000000007E-2</v>
      </c>
      <c r="F24" s="930"/>
    </row>
    <row r="25" spans="1:6" ht="14.25" thickBot="1">
      <c r="A25" s="734" t="s">
        <v>269</v>
      </c>
      <c r="B25" s="738" t="s">
        <v>343</v>
      </c>
      <c r="C25" s="918">
        <v>8.8999999999999996E-2</v>
      </c>
      <c r="D25" s="918">
        <v>0.1</v>
      </c>
      <c r="E25" s="918">
        <v>8.1000000000000003E-2</v>
      </c>
      <c r="F25" s="930"/>
    </row>
    <row r="26" spans="1:6" ht="14.25" thickBot="1">
      <c r="A26" s="734" t="s">
        <v>269</v>
      </c>
      <c r="B26" s="738" t="s">
        <v>353</v>
      </c>
      <c r="C26" s="931"/>
      <c r="D26" s="918">
        <v>9.6000000000000002E-2</v>
      </c>
      <c r="E26" s="918">
        <v>9.2999999999999999E-2</v>
      </c>
      <c r="F26" s="930"/>
    </row>
    <row r="27" spans="1:6" ht="14.25" thickBot="1">
      <c r="A27" s="734" t="s">
        <v>269</v>
      </c>
      <c r="B27" s="738" t="s">
        <v>363</v>
      </c>
      <c r="C27" s="931"/>
      <c r="D27" s="918">
        <v>7.5999999999999998E-2</v>
      </c>
      <c r="E27" s="918">
        <v>9.1999999999999998E-2</v>
      </c>
      <c r="F27" s="930"/>
    </row>
    <row r="28" spans="1:6" ht="14.25" thickBot="1">
      <c r="A28" s="744" t="s">
        <v>269</v>
      </c>
      <c r="B28" s="739" t="s">
        <v>373</v>
      </c>
      <c r="C28" s="928"/>
      <c r="D28" s="920">
        <v>7.5999999999999998E-2</v>
      </c>
      <c r="E28" s="920">
        <v>9.1999999999999998E-2</v>
      </c>
      <c r="F28" s="929"/>
    </row>
    <row r="29" spans="1:6" ht="14.25" thickBot="1">
      <c r="A29" s="734" t="s">
        <v>442</v>
      </c>
      <c r="B29" s="735" t="s">
        <v>851</v>
      </c>
      <c r="C29" s="916">
        <v>6.4000000000000001E-2</v>
      </c>
      <c r="D29" s="916">
        <v>6.5000000000000002E-2</v>
      </c>
      <c r="E29" s="916">
        <v>6.9000000000000006E-2</v>
      </c>
      <c r="F29" s="917">
        <v>0.1</v>
      </c>
    </row>
    <row r="30" spans="1:6" ht="14.25" thickBot="1">
      <c r="A30" s="734" t="s">
        <v>442</v>
      </c>
      <c r="B30" s="738" t="s">
        <v>189</v>
      </c>
      <c r="C30" s="918">
        <v>6.4000000000000001E-2</v>
      </c>
      <c r="D30" s="918">
        <v>9.9000000000000005E-2</v>
      </c>
      <c r="E30" s="918">
        <v>0.1</v>
      </c>
      <c r="F30" s="919">
        <v>0.1</v>
      </c>
    </row>
    <row r="31" spans="1:6" ht="14.25" thickBot="1">
      <c r="A31" s="734" t="s">
        <v>442</v>
      </c>
      <c r="B31" s="738" t="s">
        <v>202</v>
      </c>
      <c r="C31" s="918">
        <v>0.1</v>
      </c>
      <c r="D31" s="918">
        <v>9.5000000000000001E-2</v>
      </c>
      <c r="E31" s="918">
        <v>8.8999999999999996E-2</v>
      </c>
      <c r="F31" s="919">
        <v>0.1</v>
      </c>
    </row>
    <row r="32" spans="1:6" ht="14.25" thickBot="1">
      <c r="A32" s="734" t="s">
        <v>442</v>
      </c>
      <c r="B32" s="738" t="s">
        <v>215</v>
      </c>
      <c r="C32" s="918">
        <v>0.05</v>
      </c>
      <c r="D32" s="918">
        <v>0.05</v>
      </c>
      <c r="E32" s="918">
        <v>8.7999999999999995E-2</v>
      </c>
      <c r="F32" s="919">
        <v>0.1</v>
      </c>
    </row>
    <row r="33" spans="1:6" ht="14.25" thickBot="1">
      <c r="A33" s="734" t="s">
        <v>442</v>
      </c>
      <c r="B33" s="738" t="s">
        <v>227</v>
      </c>
      <c r="C33" s="918">
        <v>7.4999999999999997E-2</v>
      </c>
      <c r="D33" s="918">
        <v>9.4E-2</v>
      </c>
      <c r="E33" s="918">
        <v>9.7000000000000003E-2</v>
      </c>
      <c r="F33" s="919">
        <v>0.1</v>
      </c>
    </row>
    <row r="34" spans="1:6" ht="14.25" thickBot="1">
      <c r="A34" s="734" t="s">
        <v>442</v>
      </c>
      <c r="B34" s="738" t="s">
        <v>238</v>
      </c>
      <c r="C34" s="918">
        <v>9.8000000000000004E-2</v>
      </c>
      <c r="D34" s="918">
        <v>8.5999999999999993E-2</v>
      </c>
      <c r="E34" s="918">
        <v>9.7000000000000003E-2</v>
      </c>
      <c r="F34" s="919">
        <v>0.1</v>
      </c>
    </row>
    <row r="35" spans="1:6" ht="14.25" thickBot="1">
      <c r="A35" s="734" t="s">
        <v>442</v>
      </c>
      <c r="B35" s="738" t="s">
        <v>249</v>
      </c>
      <c r="C35" s="918">
        <v>5.8999999999999997E-2</v>
      </c>
      <c r="D35" s="918">
        <v>6.5000000000000002E-2</v>
      </c>
      <c r="E35" s="918">
        <v>7.0000000000000007E-2</v>
      </c>
      <c r="F35" s="919">
        <v>0.1</v>
      </c>
    </row>
    <row r="36" spans="1:6" ht="14.25" thickBot="1">
      <c r="A36" s="734" t="s">
        <v>442</v>
      </c>
      <c r="B36" s="738" t="s">
        <v>260</v>
      </c>
      <c r="C36" s="918">
        <v>6.3E-2</v>
      </c>
      <c r="D36" s="918">
        <v>0.1</v>
      </c>
      <c r="E36" s="918">
        <v>0.1</v>
      </c>
      <c r="F36" s="919">
        <v>0.1</v>
      </c>
    </row>
    <row r="37" spans="1:6" ht="14.25" thickBot="1">
      <c r="A37" s="734" t="s">
        <v>442</v>
      </c>
      <c r="B37" s="738" t="s">
        <v>272</v>
      </c>
      <c r="C37" s="918">
        <v>7.3999999999999996E-2</v>
      </c>
      <c r="D37" s="918">
        <v>0.1</v>
      </c>
      <c r="E37" s="918">
        <v>0.1</v>
      </c>
      <c r="F37" s="919">
        <v>0.1</v>
      </c>
    </row>
    <row r="38" spans="1:6" ht="14.25" thickBot="1">
      <c r="A38" s="734" t="s">
        <v>442</v>
      </c>
      <c r="B38" s="738" t="s">
        <v>282</v>
      </c>
      <c r="C38" s="918">
        <v>0.1</v>
      </c>
      <c r="D38" s="918">
        <v>9.6000000000000002E-2</v>
      </c>
      <c r="E38" s="918">
        <v>9.6000000000000002E-2</v>
      </c>
      <c r="F38" s="930"/>
    </row>
    <row r="39" spans="1:6" ht="14.25" thickBot="1">
      <c r="A39" s="734" t="s">
        <v>442</v>
      </c>
      <c r="B39" s="738" t="s">
        <v>292</v>
      </c>
      <c r="C39" s="918">
        <v>0.1</v>
      </c>
      <c r="D39" s="918">
        <v>9.6000000000000002E-2</v>
      </c>
      <c r="E39" s="918">
        <v>9.6000000000000002E-2</v>
      </c>
      <c r="F39" s="930"/>
    </row>
    <row r="40" spans="1:6" ht="14.25" thickBot="1">
      <c r="A40" s="734" t="s">
        <v>442</v>
      </c>
      <c r="B40" s="738" t="s">
        <v>302</v>
      </c>
      <c r="C40" s="918">
        <v>9.6000000000000002E-2</v>
      </c>
      <c r="D40" s="918">
        <v>0.1</v>
      </c>
      <c r="E40" s="918">
        <v>9.9000000000000005E-2</v>
      </c>
      <c r="F40" s="930"/>
    </row>
    <row r="41" spans="1:6" ht="14.25" thickBot="1">
      <c r="A41" s="734" t="s">
        <v>442</v>
      </c>
      <c r="B41" s="738" t="s">
        <v>312</v>
      </c>
      <c r="C41" s="918">
        <v>9.6000000000000002E-2</v>
      </c>
      <c r="D41" s="918">
        <v>9.8000000000000004E-2</v>
      </c>
      <c r="E41" s="918">
        <v>9.8000000000000004E-2</v>
      </c>
      <c r="F41" s="930"/>
    </row>
    <row r="42" spans="1:6" ht="14.25" thickBot="1">
      <c r="A42" s="734" t="s">
        <v>442</v>
      </c>
      <c r="B42" s="738" t="s">
        <v>323</v>
      </c>
      <c r="C42" s="918">
        <v>0.1</v>
      </c>
      <c r="D42" s="918">
        <v>8.7999999999999995E-2</v>
      </c>
      <c r="E42" s="918">
        <v>0.1</v>
      </c>
      <c r="F42" s="930"/>
    </row>
    <row r="43" spans="1:6" ht="14.25" thickBot="1">
      <c r="A43" s="734" t="s">
        <v>442</v>
      </c>
      <c r="B43" s="738" t="s">
        <v>334</v>
      </c>
      <c r="C43" s="918">
        <v>9.8000000000000004E-2</v>
      </c>
      <c r="D43" s="918">
        <v>9.7000000000000003E-2</v>
      </c>
      <c r="E43" s="918">
        <v>9.6000000000000002E-2</v>
      </c>
      <c r="F43" s="930"/>
    </row>
    <row r="44" spans="1:6" ht="14.25" thickBot="1">
      <c r="A44" s="734" t="s">
        <v>442</v>
      </c>
      <c r="B44" s="738" t="s">
        <v>344</v>
      </c>
      <c r="C44" s="918">
        <v>8.5999999999999993E-2</v>
      </c>
      <c r="D44" s="918">
        <v>7.9000000000000001E-2</v>
      </c>
      <c r="E44" s="918">
        <v>7.0999999999999994E-2</v>
      </c>
      <c r="F44" s="930"/>
    </row>
    <row r="45" spans="1:6" ht="14.25" thickBot="1">
      <c r="A45" s="734" t="s">
        <v>442</v>
      </c>
      <c r="B45" s="738" t="s">
        <v>354</v>
      </c>
      <c r="C45" s="918">
        <v>9.8000000000000004E-2</v>
      </c>
      <c r="D45" s="918">
        <v>9.6000000000000002E-2</v>
      </c>
      <c r="E45" s="918">
        <v>9.6000000000000002E-2</v>
      </c>
      <c r="F45" s="930"/>
    </row>
    <row r="46" spans="1:6" ht="14.25" thickBot="1">
      <c r="A46" s="734" t="s">
        <v>442</v>
      </c>
      <c r="B46" s="738" t="s">
        <v>364</v>
      </c>
      <c r="C46" s="918">
        <v>8.5999999999999993E-2</v>
      </c>
      <c r="D46" s="918">
        <v>9.8000000000000004E-2</v>
      </c>
      <c r="E46" s="918">
        <v>8.7999999999999995E-2</v>
      </c>
      <c r="F46" s="930"/>
    </row>
    <row r="47" spans="1:6" ht="14.25" thickBot="1">
      <c r="A47" s="734" t="s">
        <v>442</v>
      </c>
      <c r="B47" s="738" t="s">
        <v>374</v>
      </c>
      <c r="C47" s="918">
        <v>9.6000000000000002E-2</v>
      </c>
      <c r="D47" s="931"/>
      <c r="E47" s="918">
        <v>6.9000000000000006E-2</v>
      </c>
      <c r="F47" s="930"/>
    </row>
    <row r="48" spans="1:6" ht="14.25" thickBot="1">
      <c r="A48" s="744" t="s">
        <v>442</v>
      </c>
      <c r="B48" s="739" t="s">
        <v>383</v>
      </c>
      <c r="C48" s="920">
        <v>9.8000000000000004E-2</v>
      </c>
      <c r="D48" s="928"/>
      <c r="E48" s="920">
        <v>9.5000000000000001E-2</v>
      </c>
      <c r="F48" s="929"/>
    </row>
    <row r="49" spans="1:6" ht="14.25" thickBot="1">
      <c r="A49" s="734" t="s">
        <v>137</v>
      </c>
      <c r="B49" s="735" t="s">
        <v>852</v>
      </c>
      <c r="C49" s="916">
        <v>9.7000000000000003E-2</v>
      </c>
      <c r="D49" s="916">
        <v>9.5000000000000001E-2</v>
      </c>
      <c r="E49" s="916">
        <v>9.7000000000000003E-2</v>
      </c>
      <c r="F49" s="917">
        <v>0.1</v>
      </c>
    </row>
    <row r="50" spans="1:6" ht="14.25" thickBot="1">
      <c r="A50" s="734" t="s">
        <v>137</v>
      </c>
      <c r="B50" s="728" t="s">
        <v>190</v>
      </c>
      <c r="C50" s="918">
        <v>7.4999999999999997E-2</v>
      </c>
      <c r="D50" s="918">
        <v>9.5000000000000001E-2</v>
      </c>
      <c r="E50" s="918">
        <v>0.1</v>
      </c>
      <c r="F50" s="919">
        <v>0.1</v>
      </c>
    </row>
    <row r="51" spans="1:6" ht="14.25" thickBot="1">
      <c r="A51" s="734" t="s">
        <v>137</v>
      </c>
      <c r="B51" s="728" t="s">
        <v>203</v>
      </c>
      <c r="C51" s="918">
        <v>9.8000000000000004E-2</v>
      </c>
      <c r="D51" s="918">
        <v>8.8999999999999996E-2</v>
      </c>
      <c r="E51" s="918">
        <v>0.1</v>
      </c>
      <c r="F51" s="919">
        <v>0.1</v>
      </c>
    </row>
    <row r="52" spans="1:6" ht="14.25" thickBot="1">
      <c r="A52" s="734" t="s">
        <v>137</v>
      </c>
      <c r="B52" s="728" t="s">
        <v>216</v>
      </c>
      <c r="C52" s="918">
        <v>9.8000000000000004E-2</v>
      </c>
      <c r="D52" s="918">
        <v>9.7000000000000003E-2</v>
      </c>
      <c r="E52" s="918">
        <v>8.1000000000000003E-2</v>
      </c>
      <c r="F52" s="919">
        <v>0.1</v>
      </c>
    </row>
    <row r="53" spans="1:6" ht="14.25" thickBot="1">
      <c r="A53" s="734" t="s">
        <v>137</v>
      </c>
      <c r="B53" s="728" t="s">
        <v>228</v>
      </c>
      <c r="C53" s="918">
        <v>9.7000000000000003E-2</v>
      </c>
      <c r="D53" s="918">
        <v>7.5999999999999998E-2</v>
      </c>
      <c r="E53" s="918">
        <v>7.0999999999999994E-2</v>
      </c>
      <c r="F53" s="919">
        <v>0.1</v>
      </c>
    </row>
    <row r="54" spans="1:6" ht="14.25" thickBot="1">
      <c r="A54" s="734" t="s">
        <v>137</v>
      </c>
      <c r="B54" s="728" t="s">
        <v>239</v>
      </c>
      <c r="C54" s="918">
        <v>7.5999999999999998E-2</v>
      </c>
      <c r="D54" s="918">
        <v>0.1</v>
      </c>
      <c r="E54" s="918">
        <v>9.9000000000000005E-2</v>
      </c>
      <c r="F54" s="919">
        <v>0.1</v>
      </c>
    </row>
    <row r="55" spans="1:6" ht="14.25" thickBot="1">
      <c r="A55" s="734" t="s">
        <v>137</v>
      </c>
      <c r="B55" s="728" t="s">
        <v>250</v>
      </c>
      <c r="C55" s="918">
        <v>0.1</v>
      </c>
      <c r="D55" s="918">
        <v>0.1</v>
      </c>
      <c r="E55" s="918">
        <v>9.6000000000000002E-2</v>
      </c>
      <c r="F55" s="919">
        <v>0.1</v>
      </c>
    </row>
    <row r="56" spans="1:6" ht="14.25" thickBot="1">
      <c r="A56" s="734" t="s">
        <v>137</v>
      </c>
      <c r="B56" s="728" t="s">
        <v>261</v>
      </c>
      <c r="C56" s="918">
        <v>0.1</v>
      </c>
      <c r="D56" s="918">
        <v>9.6000000000000002E-2</v>
      </c>
      <c r="E56" s="918">
        <v>5.1999999999999998E-2</v>
      </c>
      <c r="F56" s="919">
        <v>0.1</v>
      </c>
    </row>
    <row r="57" spans="1:6" ht="14.25" thickBot="1">
      <c r="A57" s="734" t="s">
        <v>137</v>
      </c>
      <c r="B57" s="728" t="s">
        <v>273</v>
      </c>
      <c r="C57" s="918">
        <v>9.7000000000000003E-2</v>
      </c>
      <c r="D57" s="918">
        <v>9.6000000000000002E-2</v>
      </c>
      <c r="E57" s="918">
        <v>9.6000000000000002E-2</v>
      </c>
      <c r="F57" s="919">
        <v>0.1</v>
      </c>
    </row>
    <row r="58" spans="1:6" ht="14.25" thickBot="1">
      <c r="A58" s="734" t="s">
        <v>137</v>
      </c>
      <c r="B58" s="728" t="s">
        <v>283</v>
      </c>
      <c r="C58" s="918">
        <v>9.6000000000000002E-2</v>
      </c>
      <c r="D58" s="918">
        <v>9.9000000000000005E-2</v>
      </c>
      <c r="E58" s="918">
        <v>9.6000000000000002E-2</v>
      </c>
      <c r="F58" s="919">
        <v>0.1</v>
      </c>
    </row>
    <row r="59" spans="1:6" ht="14.25" thickBot="1">
      <c r="A59" s="734" t="s">
        <v>137</v>
      </c>
      <c r="B59" s="728" t="s">
        <v>293</v>
      </c>
      <c r="C59" s="918">
        <v>7.1999999999999995E-2</v>
      </c>
      <c r="D59" s="918">
        <v>9.6000000000000002E-2</v>
      </c>
      <c r="E59" s="918">
        <v>7.0999999999999994E-2</v>
      </c>
      <c r="F59" s="919">
        <v>0.1</v>
      </c>
    </row>
    <row r="60" spans="1:6" ht="14.25" thickBot="1">
      <c r="A60" s="734" t="s">
        <v>137</v>
      </c>
      <c r="B60" s="728" t="s">
        <v>303</v>
      </c>
      <c r="C60" s="918">
        <v>9.6000000000000002E-2</v>
      </c>
      <c r="D60" s="918">
        <v>8.8999999999999996E-2</v>
      </c>
      <c r="E60" s="918">
        <v>9.6000000000000002E-2</v>
      </c>
      <c r="F60" s="919">
        <v>0.1</v>
      </c>
    </row>
    <row r="61" spans="1:6" ht="14.25" thickBot="1">
      <c r="A61" s="734" t="s">
        <v>137</v>
      </c>
      <c r="B61" s="728" t="s">
        <v>313</v>
      </c>
      <c r="C61" s="918">
        <v>8.8999999999999996E-2</v>
      </c>
      <c r="D61" s="918">
        <v>9.8000000000000004E-2</v>
      </c>
      <c r="E61" s="918">
        <v>8.7999999999999995E-2</v>
      </c>
      <c r="F61" s="930"/>
    </row>
    <row r="62" spans="1:6" ht="14.25" thickBot="1">
      <c r="A62" s="734" t="s">
        <v>137</v>
      </c>
      <c r="B62" s="728" t="s">
        <v>324</v>
      </c>
      <c r="C62" s="918">
        <v>9.8000000000000004E-2</v>
      </c>
      <c r="D62" s="918">
        <v>9.2999999999999999E-2</v>
      </c>
      <c r="E62" s="918">
        <v>9.7000000000000003E-2</v>
      </c>
      <c r="F62" s="930"/>
    </row>
    <row r="63" spans="1:6" ht="14.25" thickBot="1">
      <c r="A63" s="734" t="s">
        <v>137</v>
      </c>
      <c r="B63" s="728" t="s">
        <v>335</v>
      </c>
      <c r="C63" s="918">
        <v>9.6000000000000002E-2</v>
      </c>
      <c r="D63" s="918">
        <v>9.8000000000000004E-2</v>
      </c>
      <c r="E63" s="918">
        <v>0.09</v>
      </c>
      <c r="F63" s="930"/>
    </row>
    <row r="64" spans="1:6" ht="14.25" thickBot="1">
      <c r="A64" s="734" t="s">
        <v>137</v>
      </c>
      <c r="B64" s="728" t="s">
        <v>345</v>
      </c>
      <c r="C64" s="918">
        <v>9.9000000000000005E-2</v>
      </c>
      <c r="D64" s="918">
        <v>9.7000000000000003E-2</v>
      </c>
      <c r="E64" s="918">
        <v>9.9000000000000005E-2</v>
      </c>
      <c r="F64" s="930"/>
    </row>
    <row r="65" spans="1:6" ht="14.25" thickBot="1">
      <c r="A65" s="734" t="s">
        <v>137</v>
      </c>
      <c r="B65" s="728" t="s">
        <v>355</v>
      </c>
      <c r="C65" s="918">
        <v>9.8000000000000004E-2</v>
      </c>
      <c r="D65" s="918">
        <v>9.6000000000000002E-2</v>
      </c>
      <c r="E65" s="918">
        <v>9.6000000000000002E-2</v>
      </c>
      <c r="F65" s="930"/>
    </row>
    <row r="66" spans="1:6" ht="14.25" thickBot="1">
      <c r="A66" s="734" t="s">
        <v>137</v>
      </c>
      <c r="B66" s="728" t="s">
        <v>365</v>
      </c>
      <c r="C66" s="918">
        <v>9.6000000000000002E-2</v>
      </c>
      <c r="D66" s="918">
        <v>9.1999999999999998E-2</v>
      </c>
      <c r="E66" s="918">
        <v>9.6000000000000002E-2</v>
      </c>
      <c r="F66" s="930"/>
    </row>
    <row r="67" spans="1:6" ht="14.25" thickBot="1">
      <c r="A67" s="734" t="s">
        <v>137</v>
      </c>
      <c r="B67" s="728" t="s">
        <v>375</v>
      </c>
      <c r="C67" s="918">
        <v>9.4E-2</v>
      </c>
      <c r="D67" s="918">
        <v>0.1</v>
      </c>
      <c r="E67" s="918">
        <v>8.7999999999999995E-2</v>
      </c>
      <c r="F67" s="930"/>
    </row>
    <row r="68" spans="1:6" ht="14.25" thickBot="1">
      <c r="A68" s="734" t="s">
        <v>137</v>
      </c>
      <c r="B68" s="728" t="s">
        <v>384</v>
      </c>
      <c r="C68" s="918">
        <v>0.1</v>
      </c>
      <c r="D68" s="918">
        <v>8.7999999999999995E-2</v>
      </c>
      <c r="E68" s="918">
        <v>9.7000000000000003E-2</v>
      </c>
      <c r="F68" s="930"/>
    </row>
    <row r="69" spans="1:6" ht="14.25" thickBot="1">
      <c r="A69" s="734" t="s">
        <v>137</v>
      </c>
      <c r="B69" s="728" t="s">
        <v>393</v>
      </c>
      <c r="C69" s="918">
        <v>6.4000000000000001E-2</v>
      </c>
      <c r="D69" s="918">
        <v>0.1</v>
      </c>
      <c r="E69" s="918">
        <v>0.1</v>
      </c>
      <c r="F69" s="930"/>
    </row>
    <row r="70" spans="1:6" ht="14.25" thickBot="1">
      <c r="A70" s="734" t="s">
        <v>137</v>
      </c>
      <c r="B70" s="728" t="s">
        <v>401</v>
      </c>
      <c r="C70" s="918">
        <v>9.0999999999999998E-2</v>
      </c>
      <c r="D70" s="931"/>
      <c r="E70" s="931"/>
      <c r="F70" s="930"/>
    </row>
    <row r="71" spans="1:6" ht="14.25" thickBot="1">
      <c r="A71" s="734" t="s">
        <v>137</v>
      </c>
      <c r="B71" s="728" t="s">
        <v>408</v>
      </c>
      <c r="C71" s="918">
        <v>0.1</v>
      </c>
      <c r="D71" s="931"/>
      <c r="E71" s="931"/>
      <c r="F71" s="930"/>
    </row>
    <row r="72" spans="1:6" ht="14.25" thickBot="1">
      <c r="A72" s="734" t="s">
        <v>137</v>
      </c>
      <c r="B72" s="728" t="s">
        <v>853</v>
      </c>
      <c r="C72" s="931"/>
      <c r="D72" s="931"/>
      <c r="E72" s="931"/>
      <c r="F72" s="919">
        <v>0.05</v>
      </c>
    </row>
    <row r="73" spans="1:6" ht="14.25" thickBot="1">
      <c r="A73" s="734" t="s">
        <v>137</v>
      </c>
      <c r="B73" s="728" t="s">
        <v>854</v>
      </c>
      <c r="C73" s="931"/>
      <c r="D73" s="931"/>
      <c r="E73" s="931"/>
      <c r="F73" s="919">
        <v>0.05</v>
      </c>
    </row>
    <row r="74" spans="1:6" ht="14.25" thickBot="1">
      <c r="A74" s="734" t="s">
        <v>137</v>
      </c>
      <c r="B74" s="728" t="s">
        <v>855</v>
      </c>
      <c r="C74" s="931"/>
      <c r="D74" s="931"/>
      <c r="E74" s="931"/>
      <c r="F74" s="919">
        <v>0.05</v>
      </c>
    </row>
    <row r="75" spans="1:6" ht="14.25" thickBot="1">
      <c r="A75" s="744" t="s">
        <v>137</v>
      </c>
      <c r="B75" s="740" t="s">
        <v>856</v>
      </c>
      <c r="C75" s="928"/>
      <c r="D75" s="928"/>
      <c r="E75" s="928"/>
      <c r="F75" s="921">
        <v>0.05</v>
      </c>
    </row>
    <row r="76" spans="1:6" ht="14.25" thickBot="1">
      <c r="A76" s="734" t="s">
        <v>523</v>
      </c>
      <c r="B76" s="735" t="s">
        <v>857</v>
      </c>
      <c r="C76" s="916">
        <v>0.1</v>
      </c>
      <c r="D76" s="916">
        <v>0.1</v>
      </c>
      <c r="E76" s="916">
        <v>0.1</v>
      </c>
      <c r="F76" s="917">
        <v>0.1</v>
      </c>
    </row>
    <row r="77" spans="1:6" ht="14.25" thickBot="1">
      <c r="A77" s="734" t="s">
        <v>523</v>
      </c>
      <c r="B77" s="728" t="s">
        <v>191</v>
      </c>
      <c r="C77" s="918">
        <v>8.7999999999999995E-2</v>
      </c>
      <c r="D77" s="918">
        <v>8.6999999999999994E-2</v>
      </c>
      <c r="E77" s="918">
        <v>7.9000000000000001E-2</v>
      </c>
      <c r="F77" s="919">
        <v>0.1</v>
      </c>
    </row>
    <row r="78" spans="1:6" ht="14.25" thickBot="1">
      <c r="A78" s="734" t="s">
        <v>523</v>
      </c>
      <c r="B78" s="728" t="s">
        <v>204</v>
      </c>
      <c r="C78" s="918">
        <v>8.6999999999999994E-2</v>
      </c>
      <c r="D78" s="918">
        <v>8.4000000000000005E-2</v>
      </c>
      <c r="E78" s="918">
        <v>9.6000000000000002E-2</v>
      </c>
      <c r="F78" s="919">
        <v>0.1</v>
      </c>
    </row>
    <row r="79" spans="1:6" ht="14.25" thickBot="1">
      <c r="A79" s="734" t="s">
        <v>523</v>
      </c>
      <c r="B79" s="728" t="s">
        <v>217</v>
      </c>
      <c r="C79" s="918">
        <v>9.8000000000000004E-2</v>
      </c>
      <c r="D79" s="918">
        <v>9.8000000000000004E-2</v>
      </c>
      <c r="E79" s="918">
        <v>9.0999999999999998E-2</v>
      </c>
      <c r="F79" s="919">
        <v>0.1</v>
      </c>
    </row>
    <row r="80" spans="1:6" ht="14.25" thickBot="1">
      <c r="A80" s="734" t="s">
        <v>523</v>
      </c>
      <c r="B80" s="728" t="s">
        <v>229</v>
      </c>
      <c r="C80" s="918">
        <v>9.6000000000000002E-2</v>
      </c>
      <c r="D80" s="918">
        <v>9.6000000000000002E-2</v>
      </c>
      <c r="E80" s="918">
        <v>0.1</v>
      </c>
      <c r="F80" s="919">
        <v>0.1</v>
      </c>
    </row>
    <row r="81" spans="1:6" ht="14.25" thickBot="1">
      <c r="A81" s="734" t="s">
        <v>523</v>
      </c>
      <c r="B81" s="728" t="s">
        <v>240</v>
      </c>
      <c r="C81" s="918">
        <v>9.9000000000000005E-2</v>
      </c>
      <c r="D81" s="918">
        <v>9.9000000000000005E-2</v>
      </c>
      <c r="E81" s="918">
        <v>9.8000000000000004E-2</v>
      </c>
      <c r="F81" s="919">
        <v>0.1</v>
      </c>
    </row>
    <row r="82" spans="1:6" ht="14.25" thickBot="1">
      <c r="A82" s="734" t="s">
        <v>523</v>
      </c>
      <c r="B82" s="728" t="s">
        <v>251</v>
      </c>
      <c r="C82" s="918">
        <v>9.9000000000000005E-2</v>
      </c>
      <c r="D82" s="918">
        <v>9.9000000000000005E-2</v>
      </c>
      <c r="E82" s="918">
        <v>9.7000000000000003E-2</v>
      </c>
      <c r="F82" s="919">
        <v>0.1</v>
      </c>
    </row>
    <row r="83" spans="1:6" ht="14.25" thickBot="1">
      <c r="A83" s="734" t="s">
        <v>523</v>
      </c>
      <c r="B83" s="728" t="s">
        <v>262</v>
      </c>
      <c r="C83" s="918">
        <v>9.8000000000000004E-2</v>
      </c>
      <c r="D83" s="918">
        <v>9.8000000000000004E-2</v>
      </c>
      <c r="E83" s="918">
        <v>9.8000000000000004E-2</v>
      </c>
      <c r="F83" s="919">
        <v>0.1</v>
      </c>
    </row>
    <row r="84" spans="1:6" ht="14.25" thickBot="1">
      <c r="A84" s="734" t="s">
        <v>523</v>
      </c>
      <c r="B84" s="728" t="s">
        <v>274</v>
      </c>
      <c r="C84" s="918">
        <v>9.9000000000000005E-2</v>
      </c>
      <c r="D84" s="918">
        <v>9.9000000000000005E-2</v>
      </c>
      <c r="E84" s="918">
        <v>9.9000000000000005E-2</v>
      </c>
      <c r="F84" s="919">
        <v>0.1</v>
      </c>
    </row>
    <row r="85" spans="1:6" ht="14.25" thickBot="1">
      <c r="A85" s="734" t="s">
        <v>523</v>
      </c>
      <c r="B85" s="728" t="s">
        <v>284</v>
      </c>
      <c r="C85" s="918">
        <v>9.9000000000000005E-2</v>
      </c>
      <c r="D85" s="918">
        <v>9.9000000000000005E-2</v>
      </c>
      <c r="E85" s="918">
        <v>9.9000000000000005E-2</v>
      </c>
      <c r="F85" s="919">
        <v>0.1</v>
      </c>
    </row>
    <row r="86" spans="1:6" ht="14.25" thickBot="1">
      <c r="A86" s="734" t="s">
        <v>523</v>
      </c>
      <c r="B86" s="728" t="s">
        <v>294</v>
      </c>
      <c r="C86" s="918">
        <v>0.1</v>
      </c>
      <c r="D86" s="918">
        <v>0.1</v>
      </c>
      <c r="E86" s="918">
        <v>7.6999999999999999E-2</v>
      </c>
      <c r="F86" s="919">
        <v>0.1</v>
      </c>
    </row>
    <row r="87" spans="1:6" ht="14.25" thickBot="1">
      <c r="A87" s="734" t="s">
        <v>523</v>
      </c>
      <c r="B87" s="728" t="s">
        <v>304</v>
      </c>
      <c r="C87" s="918">
        <v>0.1</v>
      </c>
      <c r="D87" s="918">
        <v>0.1</v>
      </c>
      <c r="E87" s="918">
        <v>9.8000000000000004E-2</v>
      </c>
      <c r="F87" s="930"/>
    </row>
    <row r="88" spans="1:6" ht="14.25" thickBot="1">
      <c r="A88" s="734" t="s">
        <v>523</v>
      </c>
      <c r="B88" s="728" t="s">
        <v>314</v>
      </c>
      <c r="C88" s="918">
        <v>9.1999999999999998E-2</v>
      </c>
      <c r="D88" s="918">
        <v>8.5000000000000006E-2</v>
      </c>
      <c r="E88" s="918">
        <v>9.6000000000000002E-2</v>
      </c>
      <c r="F88" s="930"/>
    </row>
    <row r="89" spans="1:6" ht="14.25" thickBot="1">
      <c r="A89" s="734" t="s">
        <v>523</v>
      </c>
      <c r="B89" s="728" t="s">
        <v>325</v>
      </c>
      <c r="C89" s="918">
        <v>0.1</v>
      </c>
      <c r="D89" s="918">
        <v>0.1</v>
      </c>
      <c r="E89" s="918">
        <v>9.7000000000000003E-2</v>
      </c>
      <c r="F89" s="930"/>
    </row>
    <row r="90" spans="1:6" ht="14.25" thickBot="1">
      <c r="A90" s="734" t="s">
        <v>523</v>
      </c>
      <c r="B90" s="728" t="s">
        <v>336</v>
      </c>
      <c r="C90" s="918">
        <v>9.8000000000000004E-2</v>
      </c>
      <c r="D90" s="918">
        <v>9.8000000000000004E-2</v>
      </c>
      <c r="E90" s="918">
        <v>8.7999999999999995E-2</v>
      </c>
      <c r="F90" s="930"/>
    </row>
    <row r="91" spans="1:6" ht="14.25" thickBot="1">
      <c r="A91" s="734" t="s">
        <v>523</v>
      </c>
      <c r="B91" s="728" t="s">
        <v>346</v>
      </c>
      <c r="C91" s="918">
        <v>9.9000000000000005E-2</v>
      </c>
      <c r="D91" s="918">
        <v>9.9000000000000005E-2</v>
      </c>
      <c r="E91" s="918">
        <v>9.0999999999999998E-2</v>
      </c>
      <c r="F91" s="930"/>
    </row>
    <row r="92" spans="1:6" ht="14.25" thickBot="1">
      <c r="A92" s="734" t="s">
        <v>523</v>
      </c>
      <c r="B92" s="728" t="s">
        <v>356</v>
      </c>
      <c r="C92" s="918">
        <v>9.6000000000000002E-2</v>
      </c>
      <c r="D92" s="918">
        <v>9.6000000000000002E-2</v>
      </c>
      <c r="E92" s="918">
        <v>7.2999999999999995E-2</v>
      </c>
      <c r="F92" s="930"/>
    </row>
    <row r="93" spans="1:6" ht="14.25" thickBot="1">
      <c r="A93" s="734" t="s">
        <v>523</v>
      </c>
      <c r="B93" s="728" t="s">
        <v>366</v>
      </c>
      <c r="C93" s="918">
        <v>9.6000000000000002E-2</v>
      </c>
      <c r="D93" s="918">
        <v>9.6000000000000002E-2</v>
      </c>
      <c r="E93" s="918">
        <v>9.9000000000000005E-2</v>
      </c>
      <c r="F93" s="930"/>
    </row>
    <row r="94" spans="1:6" ht="14.25" thickBot="1">
      <c r="A94" s="734" t="s">
        <v>523</v>
      </c>
      <c r="B94" s="728" t="s">
        <v>376</v>
      </c>
      <c r="C94" s="918">
        <v>7.5999999999999998E-2</v>
      </c>
      <c r="D94" s="918">
        <v>7.3999999999999996E-2</v>
      </c>
      <c r="E94" s="918">
        <v>9.7000000000000003E-2</v>
      </c>
      <c r="F94" s="930"/>
    </row>
    <row r="95" spans="1:6" ht="14.25" thickBot="1">
      <c r="A95" s="734" t="s">
        <v>523</v>
      </c>
      <c r="B95" s="728" t="s">
        <v>385</v>
      </c>
      <c r="C95" s="918">
        <v>9.9000000000000005E-2</v>
      </c>
      <c r="D95" s="918">
        <v>9.4E-2</v>
      </c>
      <c r="E95" s="918">
        <v>9.6000000000000002E-2</v>
      </c>
      <c r="F95" s="930"/>
    </row>
    <row r="96" spans="1:6" ht="14.25" thickBot="1">
      <c r="A96" s="734" t="s">
        <v>523</v>
      </c>
      <c r="B96" s="728" t="s">
        <v>394</v>
      </c>
      <c r="C96" s="918">
        <v>9.9000000000000005E-2</v>
      </c>
      <c r="D96" s="918">
        <v>9.9000000000000005E-2</v>
      </c>
      <c r="E96" s="918">
        <v>9.9000000000000005E-2</v>
      </c>
      <c r="F96" s="930"/>
    </row>
    <row r="97" spans="1:6" ht="14.25" thickBot="1">
      <c r="A97" s="734" t="s">
        <v>523</v>
      </c>
      <c r="B97" s="728" t="s">
        <v>402</v>
      </c>
      <c r="C97" s="918">
        <v>9.8000000000000004E-2</v>
      </c>
      <c r="D97" s="918">
        <v>9.8000000000000004E-2</v>
      </c>
      <c r="E97" s="918">
        <v>9.7000000000000003E-2</v>
      </c>
      <c r="F97" s="930"/>
    </row>
    <row r="98" spans="1:6" ht="14.25" thickBot="1">
      <c r="A98" s="734" t="s">
        <v>523</v>
      </c>
      <c r="B98" s="728" t="s">
        <v>409</v>
      </c>
      <c r="C98" s="918">
        <v>0.1</v>
      </c>
      <c r="D98" s="918">
        <v>0.1</v>
      </c>
      <c r="E98" s="918">
        <v>9.7000000000000003E-2</v>
      </c>
      <c r="F98" s="930"/>
    </row>
    <row r="99" spans="1:6" ht="14.25" thickBot="1">
      <c r="A99" s="734" t="s">
        <v>523</v>
      </c>
      <c r="B99" s="728" t="s">
        <v>416</v>
      </c>
      <c r="C99" s="918">
        <v>0.1</v>
      </c>
      <c r="D99" s="918">
        <v>0.1</v>
      </c>
      <c r="E99" s="931"/>
      <c r="F99" s="930"/>
    </row>
    <row r="100" spans="1:6" ht="14.25" thickBot="1">
      <c r="A100" s="734" t="s">
        <v>523</v>
      </c>
      <c r="B100" s="728" t="s">
        <v>423</v>
      </c>
      <c r="C100" s="918">
        <v>0.09</v>
      </c>
      <c r="D100" s="918">
        <v>8.8999999999999996E-2</v>
      </c>
      <c r="E100" s="931"/>
      <c r="F100" s="930"/>
    </row>
    <row r="101" spans="1:6" ht="14.25" thickBot="1">
      <c r="A101" s="734" t="s">
        <v>523</v>
      </c>
      <c r="B101" s="728" t="s">
        <v>430</v>
      </c>
      <c r="C101" s="918">
        <v>9.8000000000000004E-2</v>
      </c>
      <c r="D101" s="918">
        <v>9.7000000000000003E-2</v>
      </c>
      <c r="E101" s="931"/>
      <c r="F101" s="930"/>
    </row>
    <row r="102" spans="1:6" ht="14.25" thickBot="1">
      <c r="A102" s="734" t="s">
        <v>523</v>
      </c>
      <c r="B102" s="728" t="s">
        <v>858</v>
      </c>
      <c r="C102" s="931"/>
      <c r="D102" s="931"/>
      <c r="E102" s="931"/>
      <c r="F102" s="919">
        <v>0.05</v>
      </c>
    </row>
    <row r="103" spans="1:6" ht="24.75" thickBot="1">
      <c r="A103" s="734" t="s">
        <v>523</v>
      </c>
      <c r="B103" s="728" t="s">
        <v>859</v>
      </c>
      <c r="C103" s="931"/>
      <c r="D103" s="931"/>
      <c r="E103" s="931"/>
      <c r="F103" s="919">
        <v>0.05</v>
      </c>
    </row>
    <row r="104" spans="1:6" ht="14.25" thickBot="1">
      <c r="A104" s="734" t="s">
        <v>523</v>
      </c>
      <c r="B104" s="728" t="s">
        <v>860</v>
      </c>
      <c r="C104" s="931"/>
      <c r="D104" s="931"/>
      <c r="E104" s="931"/>
      <c r="F104" s="919">
        <v>0.05</v>
      </c>
    </row>
    <row r="105" spans="1:6" ht="14.25" thickBot="1">
      <c r="A105" s="734" t="s">
        <v>523</v>
      </c>
      <c r="B105" s="728" t="s">
        <v>861</v>
      </c>
      <c r="C105" s="931"/>
      <c r="D105" s="931"/>
      <c r="E105" s="931"/>
      <c r="F105" s="919">
        <v>0.05</v>
      </c>
    </row>
    <row r="106" spans="1:6" ht="14.25" thickBot="1">
      <c r="A106" s="734" t="s">
        <v>523</v>
      </c>
      <c r="B106" s="728" t="s">
        <v>862</v>
      </c>
      <c r="C106" s="931"/>
      <c r="D106" s="931"/>
      <c r="E106" s="931"/>
      <c r="F106" s="919">
        <v>0.05</v>
      </c>
    </row>
    <row r="107" spans="1:6" ht="24.75" thickBot="1">
      <c r="A107" s="734" t="s">
        <v>523</v>
      </c>
      <c r="B107" s="728" t="s">
        <v>863</v>
      </c>
      <c r="C107" s="931"/>
      <c r="D107" s="931"/>
      <c r="E107" s="931"/>
      <c r="F107" s="919">
        <v>0.05</v>
      </c>
    </row>
    <row r="108" spans="1:6" ht="24.75" thickBot="1">
      <c r="A108" s="734" t="s">
        <v>523</v>
      </c>
      <c r="B108" s="728" t="s">
        <v>864</v>
      </c>
      <c r="C108" s="931"/>
      <c r="D108" s="931"/>
      <c r="E108" s="931"/>
      <c r="F108" s="919">
        <v>0.05</v>
      </c>
    </row>
    <row r="109" spans="1:6" ht="24.75" thickBot="1">
      <c r="A109" s="744" t="s">
        <v>523</v>
      </c>
      <c r="B109" s="740" t="s">
        <v>865</v>
      </c>
      <c r="C109" s="928"/>
      <c r="D109" s="928"/>
      <c r="E109" s="928"/>
      <c r="F109" s="921">
        <v>0.05</v>
      </c>
    </row>
    <row r="110" spans="1:6" ht="14.25" thickBot="1">
      <c r="A110" s="734" t="s">
        <v>56</v>
      </c>
      <c r="B110" s="735" t="s">
        <v>866</v>
      </c>
      <c r="C110" s="916">
        <v>0.129</v>
      </c>
      <c r="D110" s="916">
        <v>0.129</v>
      </c>
      <c r="E110" s="916">
        <v>0.126</v>
      </c>
      <c r="F110" s="917">
        <v>0.13</v>
      </c>
    </row>
    <row r="111" spans="1:6" ht="14.25" thickBot="1">
      <c r="A111" s="734" t="s">
        <v>56</v>
      </c>
      <c r="B111" s="728" t="s">
        <v>192</v>
      </c>
      <c r="C111" s="918">
        <v>0.11</v>
      </c>
      <c r="D111" s="918">
        <v>0.11</v>
      </c>
      <c r="E111" s="918">
        <v>9.9000000000000005E-2</v>
      </c>
      <c r="F111" s="919">
        <v>0.128</v>
      </c>
    </row>
    <row r="112" spans="1:6" ht="14.25" thickBot="1">
      <c r="A112" s="734" t="s">
        <v>56</v>
      </c>
      <c r="B112" s="728" t="s">
        <v>205</v>
      </c>
      <c r="C112" s="918">
        <v>0.125</v>
      </c>
      <c r="D112" s="918">
        <v>0.125</v>
      </c>
      <c r="E112" s="918">
        <v>0.12</v>
      </c>
      <c r="F112" s="919">
        <v>0.125</v>
      </c>
    </row>
    <row r="113" spans="1:6" ht="14.25" thickBot="1">
      <c r="A113" s="734" t="s">
        <v>56</v>
      </c>
      <c r="B113" s="728" t="s">
        <v>218</v>
      </c>
      <c r="C113" s="918">
        <v>0.13</v>
      </c>
      <c r="D113" s="918">
        <v>0.13</v>
      </c>
      <c r="E113" s="918">
        <v>0.13</v>
      </c>
      <c r="F113" s="919">
        <v>0.13</v>
      </c>
    </row>
    <row r="114" spans="1:6" ht="14.25" thickBot="1">
      <c r="A114" s="734" t="s">
        <v>56</v>
      </c>
      <c r="B114" s="728" t="s">
        <v>230</v>
      </c>
      <c r="C114" s="918">
        <v>0.123</v>
      </c>
      <c r="D114" s="918">
        <v>0.123</v>
      </c>
      <c r="E114" s="918">
        <v>0.12</v>
      </c>
      <c r="F114" s="919">
        <v>0.13</v>
      </c>
    </row>
    <row r="115" spans="1:6" ht="14.25" thickBot="1">
      <c r="A115" s="734" t="s">
        <v>56</v>
      </c>
      <c r="B115" s="728" t="s">
        <v>241</v>
      </c>
      <c r="C115" s="918">
        <v>0.125</v>
      </c>
      <c r="D115" s="918">
        <v>0.125</v>
      </c>
      <c r="E115" s="918">
        <v>0.11700000000000001</v>
      </c>
      <c r="F115" s="919">
        <v>0.13</v>
      </c>
    </row>
    <row r="116" spans="1:6" ht="14.25" thickBot="1">
      <c r="A116" s="734" t="s">
        <v>56</v>
      </c>
      <c r="B116" s="728" t="s">
        <v>252</v>
      </c>
      <c r="C116" s="918">
        <v>0.11700000000000001</v>
      </c>
      <c r="D116" s="918">
        <v>0.11700000000000001</v>
      </c>
      <c r="E116" s="918">
        <v>8.7999999999999995E-2</v>
      </c>
      <c r="F116" s="919">
        <v>0.13</v>
      </c>
    </row>
    <row r="117" spans="1:6" ht="14.25" thickBot="1">
      <c r="A117" s="734" t="s">
        <v>56</v>
      </c>
      <c r="B117" s="728" t="s">
        <v>263</v>
      </c>
      <c r="C117" s="918">
        <v>0.13</v>
      </c>
      <c r="D117" s="918">
        <v>0.13</v>
      </c>
      <c r="E117" s="918">
        <v>0.129</v>
      </c>
      <c r="F117" s="919">
        <v>0.13</v>
      </c>
    </row>
    <row r="118" spans="1:6" ht="14.25" thickBot="1">
      <c r="A118" s="734" t="s">
        <v>56</v>
      </c>
      <c r="B118" s="728" t="s">
        <v>275</v>
      </c>
      <c r="C118" s="918">
        <v>0.123</v>
      </c>
      <c r="D118" s="918">
        <v>0.123</v>
      </c>
      <c r="E118" s="918">
        <v>0.11600000000000001</v>
      </c>
      <c r="F118" s="919">
        <v>0.13</v>
      </c>
    </row>
    <row r="119" spans="1:6" ht="14.25" thickBot="1">
      <c r="A119" s="734" t="s">
        <v>56</v>
      </c>
      <c r="B119" s="728" t="s">
        <v>285</v>
      </c>
      <c r="C119" s="918">
        <v>0.127</v>
      </c>
      <c r="D119" s="918">
        <v>0.127</v>
      </c>
      <c r="E119" s="918">
        <v>0.124</v>
      </c>
      <c r="F119" s="919">
        <v>0.13</v>
      </c>
    </row>
    <row r="120" spans="1:6" ht="14.25" thickBot="1">
      <c r="A120" s="734" t="s">
        <v>56</v>
      </c>
      <c r="B120" s="728" t="s">
        <v>295</v>
      </c>
      <c r="C120" s="918">
        <v>0.125</v>
      </c>
      <c r="D120" s="918">
        <v>0.125</v>
      </c>
      <c r="E120" s="918">
        <v>0.122</v>
      </c>
      <c r="F120" s="919">
        <v>0.13</v>
      </c>
    </row>
    <row r="121" spans="1:6" ht="14.25" thickBot="1">
      <c r="A121" s="734" t="s">
        <v>56</v>
      </c>
      <c r="B121" s="728" t="s">
        <v>305</v>
      </c>
      <c r="C121" s="918">
        <v>0.13</v>
      </c>
      <c r="D121" s="918">
        <v>0.13</v>
      </c>
      <c r="E121" s="918">
        <v>0.13</v>
      </c>
      <c r="F121" s="919">
        <v>0.13</v>
      </c>
    </row>
    <row r="122" spans="1:6" ht="14.25" thickBot="1">
      <c r="A122" s="734" t="s">
        <v>56</v>
      </c>
      <c r="B122" s="728" t="s">
        <v>315</v>
      </c>
      <c r="C122" s="918">
        <v>0.13</v>
      </c>
      <c r="D122" s="918">
        <v>0.13</v>
      </c>
      <c r="E122" s="918">
        <v>0.125</v>
      </c>
      <c r="F122" s="919">
        <v>0.13</v>
      </c>
    </row>
    <row r="123" spans="1:6" ht="14.25" thickBot="1">
      <c r="A123" s="734" t="s">
        <v>56</v>
      </c>
      <c r="B123" s="728" t="s">
        <v>326</v>
      </c>
      <c r="C123" s="918">
        <v>0.129</v>
      </c>
      <c r="D123" s="918">
        <v>0.129</v>
      </c>
      <c r="E123" s="918">
        <v>0.123</v>
      </c>
      <c r="F123" s="919">
        <v>0.13</v>
      </c>
    </row>
    <row r="124" spans="1:6" ht="14.25" thickBot="1">
      <c r="A124" s="734" t="s">
        <v>56</v>
      </c>
      <c r="B124" s="728" t="s">
        <v>337</v>
      </c>
      <c r="C124" s="918">
        <v>0.10199999999999999</v>
      </c>
      <c r="D124" s="918">
        <v>0.10100000000000001</v>
      </c>
      <c r="E124" s="918">
        <v>0.08</v>
      </c>
      <c r="F124" s="930"/>
    </row>
    <row r="125" spans="1:6" ht="14.25" thickBot="1">
      <c r="A125" s="734" t="s">
        <v>56</v>
      </c>
      <c r="B125" s="728" t="s">
        <v>347</v>
      </c>
      <c r="C125" s="918">
        <v>0.13</v>
      </c>
      <c r="D125" s="918">
        <v>0.13</v>
      </c>
      <c r="E125" s="918">
        <v>0.129</v>
      </c>
      <c r="F125" s="930"/>
    </row>
    <row r="126" spans="1:6" ht="14.25" thickBot="1">
      <c r="A126" s="734" t="s">
        <v>56</v>
      </c>
      <c r="B126" s="728" t="s">
        <v>357</v>
      </c>
      <c r="C126" s="918">
        <v>0.13</v>
      </c>
      <c r="D126" s="918">
        <v>0.13</v>
      </c>
      <c r="E126" s="918">
        <v>0.126</v>
      </c>
      <c r="F126" s="930"/>
    </row>
    <row r="127" spans="1:6" ht="14.25" thickBot="1">
      <c r="A127" s="734" t="s">
        <v>56</v>
      </c>
      <c r="B127" s="728" t="s">
        <v>367</v>
      </c>
      <c r="C127" s="918">
        <v>0.125</v>
      </c>
      <c r="D127" s="918">
        <v>0.125</v>
      </c>
      <c r="E127" s="918">
        <v>0.121</v>
      </c>
      <c r="F127" s="930"/>
    </row>
    <row r="128" spans="1:6" ht="14.25" thickBot="1">
      <c r="A128" s="734" t="s">
        <v>56</v>
      </c>
      <c r="B128" s="728" t="s">
        <v>377</v>
      </c>
      <c r="C128" s="918">
        <v>0.12</v>
      </c>
      <c r="D128" s="918">
        <v>0.12</v>
      </c>
      <c r="E128" s="918">
        <v>0.105</v>
      </c>
      <c r="F128" s="930"/>
    </row>
    <row r="129" spans="1:6" ht="14.25" thickBot="1">
      <c r="A129" s="734" t="s">
        <v>56</v>
      </c>
      <c r="B129" s="728" t="s">
        <v>386</v>
      </c>
      <c r="C129" s="918">
        <v>0.13</v>
      </c>
      <c r="D129" s="918">
        <v>0.13</v>
      </c>
      <c r="E129" s="918">
        <v>0.126</v>
      </c>
      <c r="F129" s="930"/>
    </row>
    <row r="130" spans="1:6" ht="14.25" thickBot="1">
      <c r="A130" s="734" t="s">
        <v>56</v>
      </c>
      <c r="B130" s="728" t="s">
        <v>395</v>
      </c>
      <c r="C130" s="918">
        <v>0.125</v>
      </c>
      <c r="D130" s="918">
        <v>0.125</v>
      </c>
      <c r="E130" s="918">
        <v>0.122</v>
      </c>
      <c r="F130" s="930"/>
    </row>
    <row r="131" spans="1:6" ht="14.25" thickBot="1">
      <c r="A131" s="734" t="s">
        <v>56</v>
      </c>
      <c r="B131" s="728" t="s">
        <v>403</v>
      </c>
      <c r="C131" s="918">
        <v>0.127</v>
      </c>
      <c r="D131" s="918">
        <v>0.126</v>
      </c>
      <c r="E131" s="918">
        <v>0.123</v>
      </c>
      <c r="F131" s="930"/>
    </row>
    <row r="132" spans="1:6" ht="14.25" thickBot="1">
      <c r="A132" s="734" t="s">
        <v>56</v>
      </c>
      <c r="B132" s="728" t="s">
        <v>410</v>
      </c>
      <c r="C132" s="918">
        <v>9.0999999999999998E-2</v>
      </c>
      <c r="D132" s="918">
        <v>0.121</v>
      </c>
      <c r="E132" s="918">
        <v>9.9000000000000005E-2</v>
      </c>
      <c r="F132" s="930"/>
    </row>
    <row r="133" spans="1:6" ht="14.25" thickBot="1">
      <c r="A133" s="734" t="s">
        <v>56</v>
      </c>
      <c r="B133" s="728" t="s">
        <v>417</v>
      </c>
      <c r="C133" s="918">
        <v>0.13</v>
      </c>
      <c r="D133" s="918">
        <v>0.13</v>
      </c>
      <c r="E133" s="918">
        <v>0.129</v>
      </c>
      <c r="F133" s="930"/>
    </row>
    <row r="134" spans="1:6" ht="14.25" thickBot="1">
      <c r="A134" s="734" t="s">
        <v>56</v>
      </c>
      <c r="B134" s="728" t="s">
        <v>867</v>
      </c>
      <c r="C134" s="918">
        <v>6.8000000000000005E-2</v>
      </c>
      <c r="D134" s="918">
        <v>6.5000000000000002E-2</v>
      </c>
      <c r="E134" s="918">
        <v>6.5000000000000002E-2</v>
      </c>
      <c r="F134" s="919">
        <v>0.13</v>
      </c>
    </row>
    <row r="135" spans="1:6" ht="14.25" thickBot="1">
      <c r="A135" s="734" t="s">
        <v>56</v>
      </c>
      <c r="B135" s="728" t="s">
        <v>431</v>
      </c>
      <c r="C135" s="918">
        <v>0.123</v>
      </c>
      <c r="D135" s="918">
        <v>0.123</v>
      </c>
      <c r="E135" s="918">
        <v>0.11</v>
      </c>
      <c r="F135" s="930"/>
    </row>
    <row r="136" spans="1:6" ht="14.25" thickBot="1">
      <c r="A136" s="734" t="s">
        <v>56</v>
      </c>
      <c r="B136" s="728" t="s">
        <v>438</v>
      </c>
      <c r="C136" s="918">
        <v>0.13</v>
      </c>
      <c r="D136" s="918">
        <v>0.13</v>
      </c>
      <c r="E136" s="918">
        <v>0.125</v>
      </c>
      <c r="F136" s="930"/>
    </row>
    <row r="137" spans="1:6" ht="14.25" thickBot="1">
      <c r="A137" s="734" t="s">
        <v>56</v>
      </c>
      <c r="B137" s="728" t="s">
        <v>445</v>
      </c>
      <c r="C137" s="918">
        <v>0.121</v>
      </c>
      <c r="D137" s="918">
        <v>0.122</v>
      </c>
      <c r="E137" s="918">
        <v>0.115</v>
      </c>
      <c r="F137" s="930"/>
    </row>
    <row r="138" spans="1:6" ht="14.25" thickBot="1">
      <c r="A138" s="734" t="s">
        <v>56</v>
      </c>
      <c r="B138" s="728" t="s">
        <v>868</v>
      </c>
      <c r="C138" s="918">
        <v>0.105</v>
      </c>
      <c r="D138" s="918">
        <v>0.125</v>
      </c>
      <c r="E138" s="918">
        <v>0.112</v>
      </c>
      <c r="F138" s="930"/>
    </row>
    <row r="139" spans="1:6" ht="14.25" thickBot="1">
      <c r="A139" s="734" t="s">
        <v>56</v>
      </c>
      <c r="B139" s="728" t="s">
        <v>869</v>
      </c>
      <c r="C139" s="918">
        <v>0.127</v>
      </c>
      <c r="D139" s="918">
        <v>0.127</v>
      </c>
      <c r="E139" s="918">
        <v>0.122</v>
      </c>
      <c r="F139" s="919">
        <v>0.13</v>
      </c>
    </row>
    <row r="140" spans="1:6" ht="14.25" thickBot="1">
      <c r="A140" s="734" t="s">
        <v>56</v>
      </c>
      <c r="B140" s="728" t="s">
        <v>870</v>
      </c>
      <c r="C140" s="918">
        <v>0.125</v>
      </c>
      <c r="D140" s="918">
        <v>0.125</v>
      </c>
      <c r="E140" s="918">
        <v>0.11899999999999999</v>
      </c>
      <c r="F140" s="919">
        <v>0.13</v>
      </c>
    </row>
    <row r="141" spans="1:6" ht="14.25" thickBot="1">
      <c r="A141" s="734" t="s">
        <v>56</v>
      </c>
      <c r="B141" s="728" t="s">
        <v>464</v>
      </c>
      <c r="C141" s="918">
        <v>0.125</v>
      </c>
      <c r="D141" s="918">
        <v>0.125</v>
      </c>
      <c r="E141" s="918">
        <v>0.11700000000000001</v>
      </c>
      <c r="F141" s="930"/>
    </row>
    <row r="142" spans="1:6" ht="14.25" thickBot="1">
      <c r="A142" s="734" t="s">
        <v>56</v>
      </c>
      <c r="B142" s="728" t="s">
        <v>469</v>
      </c>
      <c r="C142" s="918">
        <v>0.125</v>
      </c>
      <c r="D142" s="918">
        <v>0.125</v>
      </c>
      <c r="E142" s="918">
        <v>0.115</v>
      </c>
      <c r="F142" s="930"/>
    </row>
    <row r="143" spans="1:6" ht="14.25" thickBot="1">
      <c r="A143" s="734" t="s">
        <v>56</v>
      </c>
      <c r="B143" s="728" t="s">
        <v>474</v>
      </c>
      <c r="C143" s="918">
        <v>0.121</v>
      </c>
      <c r="D143" s="918">
        <v>0.121</v>
      </c>
      <c r="E143" s="918">
        <v>0.108</v>
      </c>
      <c r="F143" s="930"/>
    </row>
    <row r="144" spans="1:6" ht="14.25" thickBot="1">
      <c r="A144" s="734" t="s">
        <v>56</v>
      </c>
      <c r="B144" s="922" t="s">
        <v>871</v>
      </c>
      <c r="C144" s="923">
        <v>0.126</v>
      </c>
      <c r="D144" s="923">
        <v>0.126</v>
      </c>
      <c r="E144" s="923">
        <v>0.121</v>
      </c>
      <c r="F144" s="930"/>
    </row>
    <row r="145" spans="1:6" ht="14.25" thickBot="1">
      <c r="A145" s="744" t="s">
        <v>56</v>
      </c>
      <c r="B145" s="924" t="s">
        <v>872</v>
      </c>
      <c r="C145" s="932"/>
      <c r="D145" s="932"/>
      <c r="E145" s="932"/>
      <c r="F145" s="925">
        <v>0.05</v>
      </c>
    </row>
    <row r="146" spans="1:6" ht="24.75" thickBot="1">
      <c r="A146" s="926" t="s">
        <v>56</v>
      </c>
      <c r="B146" s="738" t="s">
        <v>873</v>
      </c>
      <c r="C146" s="931"/>
      <c r="D146" s="931"/>
      <c r="E146" s="931"/>
      <c r="F146" s="927">
        <v>0.05</v>
      </c>
    </row>
    <row r="147" spans="1:6" ht="24.75" thickBot="1">
      <c r="A147" s="734" t="s">
        <v>56</v>
      </c>
      <c r="B147" s="728" t="s">
        <v>874</v>
      </c>
      <c r="C147" s="931"/>
      <c r="D147" s="931"/>
      <c r="E147" s="931"/>
      <c r="F147" s="919">
        <v>0.05</v>
      </c>
    </row>
    <row r="148" spans="1:6" ht="24.75" thickBot="1">
      <c r="A148" s="734" t="s">
        <v>56</v>
      </c>
      <c r="B148" s="728" t="s">
        <v>875</v>
      </c>
      <c r="C148" s="931"/>
      <c r="D148" s="931"/>
      <c r="E148" s="931"/>
      <c r="F148" s="919">
        <v>0.05</v>
      </c>
    </row>
    <row r="149" spans="1:6" ht="24.75" thickBot="1">
      <c r="A149" s="734" t="s">
        <v>56</v>
      </c>
      <c r="B149" s="728" t="s">
        <v>876</v>
      </c>
      <c r="C149" s="931"/>
      <c r="D149" s="931"/>
      <c r="E149" s="931"/>
      <c r="F149" s="919">
        <v>0.05</v>
      </c>
    </row>
    <row r="150" spans="1:6" ht="24.75" thickBot="1">
      <c r="A150" s="734" t="s">
        <v>56</v>
      </c>
      <c r="B150" s="728" t="s">
        <v>877</v>
      </c>
      <c r="C150" s="931"/>
      <c r="D150" s="931"/>
      <c r="E150" s="931"/>
      <c r="F150" s="919">
        <v>0.05</v>
      </c>
    </row>
    <row r="151" spans="1:6" ht="24.75" thickBot="1">
      <c r="A151" s="734" t="s">
        <v>56</v>
      </c>
      <c r="B151" s="728" t="s">
        <v>878</v>
      </c>
      <c r="C151" s="931"/>
      <c r="D151" s="931"/>
      <c r="E151" s="931"/>
      <c r="F151" s="919">
        <v>0.05</v>
      </c>
    </row>
    <row r="152" spans="1:6" ht="24.75" thickBot="1">
      <c r="A152" s="734" t="s">
        <v>56</v>
      </c>
      <c r="B152" s="728" t="s">
        <v>507</v>
      </c>
      <c r="C152" s="931"/>
      <c r="D152" s="931"/>
      <c r="E152" s="931"/>
      <c r="F152" s="919">
        <v>0.05</v>
      </c>
    </row>
    <row r="153" spans="1:6" ht="14.25" thickBot="1">
      <c r="A153" s="734" t="s">
        <v>56</v>
      </c>
      <c r="B153" s="728" t="s">
        <v>879</v>
      </c>
      <c r="C153" s="931"/>
      <c r="D153" s="931"/>
      <c r="E153" s="931"/>
      <c r="F153" s="919">
        <v>0.05</v>
      </c>
    </row>
    <row r="154" spans="1:6" ht="14.25" thickBot="1">
      <c r="A154" s="734" t="s">
        <v>56</v>
      </c>
      <c r="B154" s="728" t="s">
        <v>880</v>
      </c>
      <c r="C154" s="931"/>
      <c r="D154" s="931"/>
      <c r="E154" s="931"/>
      <c r="F154" s="919">
        <v>0.05</v>
      </c>
    </row>
    <row r="155" spans="1:6" ht="24.75" thickBot="1">
      <c r="A155" s="734" t="s">
        <v>56</v>
      </c>
      <c r="B155" s="728" t="s">
        <v>881</v>
      </c>
      <c r="C155" s="931"/>
      <c r="D155" s="931"/>
      <c r="E155" s="931"/>
      <c r="F155" s="919">
        <v>0.05</v>
      </c>
    </row>
    <row r="156" spans="1:6" ht="24.75" thickBot="1">
      <c r="A156" s="734" t="s">
        <v>56</v>
      </c>
      <c r="B156" s="728" t="s">
        <v>882</v>
      </c>
      <c r="C156" s="931"/>
      <c r="D156" s="931"/>
      <c r="E156" s="931"/>
      <c r="F156" s="919">
        <v>0.05</v>
      </c>
    </row>
    <row r="157" spans="1:6" ht="14.25" thickBot="1">
      <c r="A157" s="744" t="s">
        <v>56</v>
      </c>
      <c r="B157" s="740" t="s">
        <v>883</v>
      </c>
      <c r="C157" s="928"/>
      <c r="D157" s="928"/>
      <c r="E157" s="928"/>
      <c r="F157" s="921">
        <v>0.05</v>
      </c>
    </row>
    <row r="158" spans="1:6" ht="14.25" thickBot="1">
      <c r="A158" s="734" t="s">
        <v>526</v>
      </c>
      <c r="B158" s="735" t="s">
        <v>884</v>
      </c>
      <c r="C158" s="916">
        <v>0.13</v>
      </c>
      <c r="D158" s="916">
        <v>0.13</v>
      </c>
      <c r="E158" s="916">
        <v>0.13</v>
      </c>
      <c r="F158" s="917">
        <v>0.13</v>
      </c>
    </row>
    <row r="159" spans="1:6" ht="14.25" thickBot="1">
      <c r="A159" s="734" t="s">
        <v>526</v>
      </c>
      <c r="B159" s="728" t="s">
        <v>193</v>
      </c>
      <c r="C159" s="918">
        <v>0.13</v>
      </c>
      <c r="D159" s="918">
        <v>0.13</v>
      </c>
      <c r="E159" s="918">
        <v>0.13</v>
      </c>
      <c r="F159" s="919">
        <v>0.13</v>
      </c>
    </row>
    <row r="160" spans="1:6" ht="14.25" thickBot="1">
      <c r="A160" s="734" t="s">
        <v>526</v>
      </c>
      <c r="B160" s="728" t="s">
        <v>206</v>
      </c>
      <c r="C160" s="918">
        <v>0.13</v>
      </c>
      <c r="D160" s="918">
        <v>0.13</v>
      </c>
      <c r="E160" s="918">
        <v>0.129</v>
      </c>
      <c r="F160" s="919">
        <v>0.13</v>
      </c>
    </row>
    <row r="161" spans="1:6" ht="14.25" thickBot="1">
      <c r="A161" s="734" t="s">
        <v>526</v>
      </c>
      <c r="B161" s="728" t="s">
        <v>219</v>
      </c>
      <c r="C161" s="918">
        <v>0.128</v>
      </c>
      <c r="D161" s="918">
        <v>0.128</v>
      </c>
      <c r="E161" s="918">
        <v>0.125</v>
      </c>
      <c r="F161" s="919">
        <v>0.13</v>
      </c>
    </row>
    <row r="162" spans="1:6" ht="14.25" thickBot="1">
      <c r="A162" s="734" t="s">
        <v>526</v>
      </c>
      <c r="B162" s="728" t="s">
        <v>231</v>
      </c>
      <c r="C162" s="918">
        <v>0.122</v>
      </c>
      <c r="D162" s="918">
        <v>0.122</v>
      </c>
      <c r="E162" s="918">
        <v>0.126</v>
      </c>
      <c r="F162" s="919">
        <v>0.122</v>
      </c>
    </row>
    <row r="163" spans="1:6" ht="14.25" thickBot="1">
      <c r="A163" s="734" t="s">
        <v>526</v>
      </c>
      <c r="B163" s="728" t="s">
        <v>242</v>
      </c>
      <c r="C163" s="918">
        <v>0.13</v>
      </c>
      <c r="D163" s="918">
        <v>0.13</v>
      </c>
      <c r="E163" s="918">
        <v>0.125</v>
      </c>
      <c r="F163" s="919">
        <v>0.13</v>
      </c>
    </row>
    <row r="164" spans="1:6" ht="14.25" thickBot="1">
      <c r="A164" s="734" t="s">
        <v>526</v>
      </c>
      <c r="B164" s="728" t="s">
        <v>253</v>
      </c>
      <c r="C164" s="918">
        <v>0.13</v>
      </c>
      <c r="D164" s="918">
        <v>0.13</v>
      </c>
      <c r="E164" s="918">
        <v>0.13</v>
      </c>
      <c r="F164" s="919">
        <v>0.13</v>
      </c>
    </row>
    <row r="165" spans="1:6" ht="14.25" thickBot="1">
      <c r="A165" s="734" t="s">
        <v>526</v>
      </c>
      <c r="B165" s="728" t="s">
        <v>264</v>
      </c>
      <c r="C165" s="918">
        <v>0.13</v>
      </c>
      <c r="D165" s="918">
        <v>0.13</v>
      </c>
      <c r="E165" s="918">
        <v>0.124</v>
      </c>
      <c r="F165" s="919">
        <v>0.13</v>
      </c>
    </row>
    <row r="166" spans="1:6" ht="14.25" thickBot="1">
      <c r="A166" s="734" t="s">
        <v>526</v>
      </c>
      <c r="B166" s="728" t="s">
        <v>276</v>
      </c>
      <c r="C166" s="918">
        <v>0.13</v>
      </c>
      <c r="D166" s="918">
        <v>0.13</v>
      </c>
      <c r="E166" s="918">
        <v>0.13</v>
      </c>
      <c r="F166" s="919">
        <v>0.13</v>
      </c>
    </row>
    <row r="167" spans="1:6" ht="14.25" thickBot="1">
      <c r="A167" s="734" t="s">
        <v>526</v>
      </c>
      <c r="B167" s="728" t="s">
        <v>286</v>
      </c>
      <c r="C167" s="918">
        <v>0.125</v>
      </c>
      <c r="D167" s="918">
        <v>0.125</v>
      </c>
      <c r="E167" s="918">
        <v>0.121</v>
      </c>
      <c r="F167" s="930"/>
    </row>
    <row r="168" spans="1:6" ht="14.25" thickBot="1">
      <c r="A168" s="734" t="s">
        <v>526</v>
      </c>
      <c r="B168" s="728" t="s">
        <v>296</v>
      </c>
      <c r="C168" s="918">
        <v>0.13</v>
      </c>
      <c r="D168" s="918">
        <v>0.13</v>
      </c>
      <c r="E168" s="918">
        <v>0.126</v>
      </c>
      <c r="F168" s="930"/>
    </row>
    <row r="169" spans="1:6" ht="14.25" thickBot="1">
      <c r="A169" s="734" t="s">
        <v>526</v>
      </c>
      <c r="B169" s="728" t="s">
        <v>306</v>
      </c>
      <c r="C169" s="918">
        <v>0.128</v>
      </c>
      <c r="D169" s="918">
        <v>0.129</v>
      </c>
      <c r="E169" s="918">
        <v>0.13</v>
      </c>
      <c r="F169" s="930"/>
    </row>
    <row r="170" spans="1:6" ht="14.25" thickBot="1">
      <c r="A170" s="734" t="s">
        <v>526</v>
      </c>
      <c r="B170" s="728" t="s">
        <v>316</v>
      </c>
      <c r="C170" s="918">
        <v>0.14099999999999999</v>
      </c>
      <c r="D170" s="918">
        <v>0.13</v>
      </c>
      <c r="E170" s="918">
        <v>0.125</v>
      </c>
      <c r="F170" s="930"/>
    </row>
    <row r="171" spans="1:6" ht="14.25" thickBot="1">
      <c r="A171" s="734" t="s">
        <v>526</v>
      </c>
      <c r="B171" s="728" t="s">
        <v>885</v>
      </c>
      <c r="C171" s="918">
        <v>0.127</v>
      </c>
      <c r="D171" s="918">
        <v>0.126</v>
      </c>
      <c r="E171" s="918">
        <v>0.126</v>
      </c>
      <c r="F171" s="919">
        <v>0.11799999999999999</v>
      </c>
    </row>
    <row r="172" spans="1:6" ht="14.25" thickBot="1">
      <c r="A172" s="734" t="s">
        <v>526</v>
      </c>
      <c r="B172" s="728" t="s">
        <v>886</v>
      </c>
      <c r="C172" s="918">
        <v>0.13</v>
      </c>
      <c r="D172" s="918">
        <v>0.13</v>
      </c>
      <c r="E172" s="918">
        <v>0.13</v>
      </c>
      <c r="F172" s="930"/>
    </row>
    <row r="173" spans="1:6" ht="14.25" thickBot="1">
      <c r="A173" s="734" t="s">
        <v>526</v>
      </c>
      <c r="B173" s="728" t="s">
        <v>348</v>
      </c>
      <c r="C173" s="918">
        <v>0.13</v>
      </c>
      <c r="D173" s="918">
        <v>0.13</v>
      </c>
      <c r="E173" s="918">
        <v>0.13</v>
      </c>
      <c r="F173" s="930"/>
    </row>
    <row r="174" spans="1:6" ht="14.25" thickBot="1">
      <c r="A174" s="734" t="s">
        <v>526</v>
      </c>
      <c r="B174" s="728" t="s">
        <v>887</v>
      </c>
      <c r="C174" s="918">
        <v>0.13</v>
      </c>
      <c r="D174" s="918">
        <v>0.13</v>
      </c>
      <c r="E174" s="918">
        <v>0.13</v>
      </c>
      <c r="F174" s="919">
        <v>0.13</v>
      </c>
    </row>
    <row r="175" spans="1:6" ht="14.25" thickBot="1">
      <c r="A175" s="734" t="s">
        <v>526</v>
      </c>
      <c r="B175" s="728" t="s">
        <v>888</v>
      </c>
      <c r="C175" s="918">
        <v>0.13</v>
      </c>
      <c r="D175" s="918">
        <v>0.13</v>
      </c>
      <c r="E175" s="918">
        <v>0.13</v>
      </c>
      <c r="F175" s="919">
        <v>0.13</v>
      </c>
    </row>
    <row r="176" spans="1:6" ht="14.25" thickBot="1">
      <c r="A176" s="734" t="s">
        <v>526</v>
      </c>
      <c r="B176" s="728" t="s">
        <v>378</v>
      </c>
      <c r="C176" s="918">
        <v>0.13</v>
      </c>
      <c r="D176" s="918">
        <v>0.13</v>
      </c>
      <c r="E176" s="918">
        <v>0.13</v>
      </c>
      <c r="F176" s="919">
        <v>0.13</v>
      </c>
    </row>
    <row r="177" spans="1:6" ht="14.25" thickBot="1">
      <c r="A177" s="734" t="s">
        <v>526</v>
      </c>
      <c r="B177" s="728" t="s">
        <v>889</v>
      </c>
      <c r="C177" s="918">
        <v>0.13</v>
      </c>
      <c r="D177" s="918">
        <v>0.13</v>
      </c>
      <c r="E177" s="918">
        <v>0.13</v>
      </c>
      <c r="F177" s="919">
        <v>0.13</v>
      </c>
    </row>
    <row r="178" spans="1:6" ht="14.25" thickBot="1">
      <c r="A178" s="734" t="s">
        <v>526</v>
      </c>
      <c r="B178" s="728" t="s">
        <v>396</v>
      </c>
      <c r="C178" s="918">
        <v>0.13</v>
      </c>
      <c r="D178" s="918">
        <v>0.13</v>
      </c>
      <c r="E178" s="918">
        <v>0.13</v>
      </c>
      <c r="F178" s="919">
        <v>0.127</v>
      </c>
    </row>
    <row r="179" spans="1:6" ht="14.25" thickBot="1">
      <c r="A179" s="734" t="s">
        <v>526</v>
      </c>
      <c r="B179" s="728" t="s">
        <v>404</v>
      </c>
      <c r="C179" s="918">
        <v>0.13</v>
      </c>
      <c r="D179" s="918">
        <v>0.13</v>
      </c>
      <c r="E179" s="918">
        <v>0.13</v>
      </c>
      <c r="F179" s="930"/>
    </row>
    <row r="180" spans="1:6" ht="14.25" thickBot="1">
      <c r="A180" s="734" t="s">
        <v>526</v>
      </c>
      <c r="B180" s="728" t="s">
        <v>890</v>
      </c>
      <c r="C180" s="918">
        <v>0.13</v>
      </c>
      <c r="D180" s="918">
        <v>0.13</v>
      </c>
      <c r="E180" s="918">
        <v>0.125</v>
      </c>
      <c r="F180" s="919">
        <v>0.13</v>
      </c>
    </row>
    <row r="181" spans="1:6" ht="14.25" thickBot="1">
      <c r="A181" s="734" t="s">
        <v>526</v>
      </c>
      <c r="B181" s="728" t="s">
        <v>418</v>
      </c>
      <c r="C181" s="918">
        <v>0.122</v>
      </c>
      <c r="D181" s="918">
        <v>0.123</v>
      </c>
      <c r="E181" s="918">
        <v>0.126</v>
      </c>
      <c r="F181" s="919">
        <v>0.121</v>
      </c>
    </row>
    <row r="182" spans="1:6" ht="14.25" thickBot="1">
      <c r="A182" s="734" t="s">
        <v>526</v>
      </c>
      <c r="B182" s="728" t="s">
        <v>425</v>
      </c>
      <c r="C182" s="918">
        <v>0.125</v>
      </c>
      <c r="D182" s="918">
        <v>0.125</v>
      </c>
      <c r="E182" s="918">
        <v>0.11700000000000001</v>
      </c>
      <c r="F182" s="919">
        <v>0.13</v>
      </c>
    </row>
    <row r="183" spans="1:6" ht="14.25" thickBot="1">
      <c r="A183" s="734" t="s">
        <v>526</v>
      </c>
      <c r="B183" s="728" t="s">
        <v>432</v>
      </c>
      <c r="C183" s="918">
        <v>0.127</v>
      </c>
      <c r="D183" s="918">
        <v>0.127</v>
      </c>
      <c r="E183" s="918">
        <v>0.128</v>
      </c>
      <c r="F183" s="930"/>
    </row>
    <row r="184" spans="1:6" ht="14.25" thickBot="1">
      <c r="A184" s="734" t="s">
        <v>526</v>
      </c>
      <c r="B184" s="728" t="s">
        <v>439</v>
      </c>
      <c r="C184" s="918">
        <v>0.125</v>
      </c>
      <c r="D184" s="918">
        <v>0.125</v>
      </c>
      <c r="E184" s="918">
        <v>0.127</v>
      </c>
      <c r="F184" s="930"/>
    </row>
    <row r="185" spans="1:6" ht="14.25" thickBot="1">
      <c r="A185" s="734" t="s">
        <v>526</v>
      </c>
      <c r="B185" s="728" t="s">
        <v>891</v>
      </c>
      <c r="C185" s="918">
        <v>0.127</v>
      </c>
      <c r="D185" s="918">
        <v>0.127</v>
      </c>
      <c r="E185" s="918">
        <v>0.128</v>
      </c>
      <c r="F185" s="919">
        <v>0.13</v>
      </c>
    </row>
    <row r="186" spans="1:6" ht="24.75" thickBot="1">
      <c r="A186" s="734" t="s">
        <v>526</v>
      </c>
      <c r="B186" s="728" t="s">
        <v>892</v>
      </c>
      <c r="C186" s="931"/>
      <c r="D186" s="931"/>
      <c r="E186" s="931"/>
      <c r="F186" s="919">
        <v>0.05</v>
      </c>
    </row>
    <row r="187" spans="1:6" ht="14.25" thickBot="1">
      <c r="A187" s="734" t="s">
        <v>526</v>
      </c>
      <c r="B187" s="728" t="s">
        <v>893</v>
      </c>
      <c r="C187" s="931"/>
      <c r="D187" s="931"/>
      <c r="E187" s="931"/>
      <c r="F187" s="919">
        <v>0.05</v>
      </c>
    </row>
    <row r="188" spans="1:6" ht="14.25" thickBot="1">
      <c r="A188" s="734" t="s">
        <v>526</v>
      </c>
      <c r="B188" s="728" t="s">
        <v>894</v>
      </c>
      <c r="C188" s="931"/>
      <c r="D188" s="931"/>
      <c r="E188" s="931"/>
      <c r="F188" s="919">
        <v>0.05</v>
      </c>
    </row>
    <row r="189" spans="1:6" ht="24.75" thickBot="1">
      <c r="A189" s="734" t="s">
        <v>526</v>
      </c>
      <c r="B189" s="728" t="s">
        <v>895</v>
      </c>
      <c r="C189" s="931"/>
      <c r="D189" s="931"/>
      <c r="E189" s="931"/>
      <c r="F189" s="919">
        <v>0.05</v>
      </c>
    </row>
    <row r="190" spans="1:6" ht="24.75" thickBot="1">
      <c r="A190" s="734" t="s">
        <v>526</v>
      </c>
      <c r="B190" s="728" t="s">
        <v>896</v>
      </c>
      <c r="C190" s="931"/>
      <c r="D190" s="931"/>
      <c r="E190" s="931"/>
      <c r="F190" s="919">
        <v>0.05</v>
      </c>
    </row>
    <row r="191" spans="1:6" ht="24.75" thickBot="1">
      <c r="A191" s="734" t="s">
        <v>526</v>
      </c>
      <c r="B191" s="728" t="s">
        <v>897</v>
      </c>
      <c r="C191" s="931"/>
      <c r="D191" s="931"/>
      <c r="E191" s="931"/>
      <c r="F191" s="919">
        <v>0.05</v>
      </c>
    </row>
    <row r="192" spans="1:6" ht="24.75" thickBot="1">
      <c r="A192" s="734" t="s">
        <v>526</v>
      </c>
      <c r="B192" s="728" t="s">
        <v>898</v>
      </c>
      <c r="C192" s="931"/>
      <c r="D192" s="931"/>
      <c r="E192" s="931"/>
      <c r="F192" s="919">
        <v>0.05</v>
      </c>
    </row>
    <row r="193" spans="1:6" ht="24.75" thickBot="1">
      <c r="A193" s="734" t="s">
        <v>526</v>
      </c>
      <c r="B193" s="728" t="s">
        <v>899</v>
      </c>
      <c r="C193" s="931"/>
      <c r="D193" s="931"/>
      <c r="E193" s="931"/>
      <c r="F193" s="919">
        <v>0.05</v>
      </c>
    </row>
    <row r="194" spans="1:6" ht="24.75" thickBot="1">
      <c r="A194" s="734" t="s">
        <v>526</v>
      </c>
      <c r="B194" s="728" t="s">
        <v>900</v>
      </c>
      <c r="C194" s="931"/>
      <c r="D194" s="931"/>
      <c r="E194" s="931"/>
      <c r="F194" s="919">
        <v>0.05</v>
      </c>
    </row>
    <row r="195" spans="1:6" ht="14.25" thickBot="1">
      <c r="A195" s="734" t="s">
        <v>526</v>
      </c>
      <c r="B195" s="728" t="s">
        <v>901</v>
      </c>
      <c r="C195" s="931"/>
      <c r="D195" s="931"/>
      <c r="E195" s="931"/>
      <c r="F195" s="919">
        <v>0.05</v>
      </c>
    </row>
    <row r="196" spans="1:6" ht="24.75" thickBot="1">
      <c r="A196" s="734" t="s">
        <v>526</v>
      </c>
      <c r="B196" s="728" t="s">
        <v>902</v>
      </c>
      <c r="C196" s="931"/>
      <c r="D196" s="931"/>
      <c r="E196" s="931"/>
      <c r="F196" s="919">
        <v>0.05</v>
      </c>
    </row>
    <row r="197" spans="1:6" ht="24.75" thickBot="1">
      <c r="A197" s="734" t="s">
        <v>526</v>
      </c>
      <c r="B197" s="728" t="s">
        <v>903</v>
      </c>
      <c r="C197" s="931"/>
      <c r="D197" s="931"/>
      <c r="E197" s="931"/>
      <c r="F197" s="919">
        <v>0.05</v>
      </c>
    </row>
    <row r="198" spans="1:6" ht="24.75" thickBot="1">
      <c r="A198" s="734" t="s">
        <v>526</v>
      </c>
      <c r="B198" s="728" t="s">
        <v>904</v>
      </c>
      <c r="C198" s="931"/>
      <c r="D198" s="931"/>
      <c r="E198" s="931"/>
      <c r="F198" s="919">
        <v>0.05</v>
      </c>
    </row>
    <row r="199" spans="1:6" ht="24.75" thickBot="1">
      <c r="A199" s="734" t="s">
        <v>526</v>
      </c>
      <c r="B199" s="728" t="s">
        <v>905</v>
      </c>
      <c r="C199" s="931"/>
      <c r="D199" s="931"/>
      <c r="E199" s="931"/>
      <c r="F199" s="919">
        <v>0.05</v>
      </c>
    </row>
    <row r="200" spans="1:6" ht="24.75" thickBot="1">
      <c r="A200" s="734" t="s">
        <v>526</v>
      </c>
      <c r="B200" s="728" t="s">
        <v>906</v>
      </c>
      <c r="C200" s="931"/>
      <c r="D200" s="931"/>
      <c r="E200" s="931"/>
      <c r="F200" s="919">
        <v>0.05</v>
      </c>
    </row>
    <row r="201" spans="1:6" ht="24.75" thickBot="1">
      <c r="A201" s="734" t="s">
        <v>526</v>
      </c>
      <c r="B201" s="728" t="s">
        <v>907</v>
      </c>
      <c r="C201" s="931"/>
      <c r="D201" s="931"/>
      <c r="E201" s="931"/>
      <c r="F201" s="919">
        <v>0.05</v>
      </c>
    </row>
    <row r="202" spans="1:6" ht="24.75" thickBot="1">
      <c r="A202" s="734" t="s">
        <v>526</v>
      </c>
      <c r="B202" s="728" t="s">
        <v>908</v>
      </c>
      <c r="C202" s="931"/>
      <c r="D202" s="931"/>
      <c r="E202" s="931"/>
      <c r="F202" s="919">
        <v>0.05</v>
      </c>
    </row>
    <row r="203" spans="1:6" ht="24.75" thickBot="1">
      <c r="A203" s="734" t="s">
        <v>526</v>
      </c>
      <c r="B203" s="728" t="s">
        <v>909</v>
      </c>
      <c r="C203" s="931"/>
      <c r="D203" s="931"/>
      <c r="E203" s="931"/>
      <c r="F203" s="919">
        <v>0.05</v>
      </c>
    </row>
    <row r="204" spans="1:6" ht="14.25" thickBot="1">
      <c r="A204" s="734" t="s">
        <v>526</v>
      </c>
      <c r="B204" s="728" t="s">
        <v>910</v>
      </c>
      <c r="C204" s="931"/>
      <c r="D204" s="931"/>
      <c r="E204" s="931"/>
      <c r="F204" s="919">
        <v>0.05</v>
      </c>
    </row>
    <row r="205" spans="1:6" ht="14.25" thickBot="1">
      <c r="A205" s="744" t="s">
        <v>526</v>
      </c>
      <c r="B205" s="740" t="s">
        <v>911</v>
      </c>
      <c r="C205" s="928"/>
      <c r="D205" s="928"/>
      <c r="E205" s="928"/>
      <c r="F205" s="921">
        <v>0.05</v>
      </c>
    </row>
    <row r="206" spans="1:6" ht="14.25" thickBot="1">
      <c r="A206" s="734" t="s">
        <v>528</v>
      </c>
      <c r="B206" s="735" t="s">
        <v>912</v>
      </c>
      <c r="C206" s="916">
        <v>0.15</v>
      </c>
      <c r="D206" s="916">
        <v>0.15</v>
      </c>
      <c r="E206" s="916">
        <v>0.15</v>
      </c>
      <c r="F206" s="917">
        <v>0.15</v>
      </c>
    </row>
    <row r="207" spans="1:6" ht="14.25" thickBot="1">
      <c r="A207" s="734" t="s">
        <v>528</v>
      </c>
      <c r="B207" s="728" t="s">
        <v>194</v>
      </c>
      <c r="C207" s="918">
        <v>0.15</v>
      </c>
      <c r="D207" s="918">
        <v>0.15</v>
      </c>
      <c r="E207" s="918">
        <v>0.15</v>
      </c>
      <c r="F207" s="919">
        <v>0.14399999999999999</v>
      </c>
    </row>
    <row r="208" spans="1:6" ht="14.25" thickBot="1">
      <c r="A208" s="734" t="s">
        <v>528</v>
      </c>
      <c r="B208" s="728" t="s">
        <v>207</v>
      </c>
      <c r="C208" s="918">
        <v>0.15</v>
      </c>
      <c r="D208" s="918">
        <v>0.15</v>
      </c>
      <c r="E208" s="918">
        <v>0.15</v>
      </c>
      <c r="F208" s="919">
        <v>0.15</v>
      </c>
    </row>
    <row r="209" spans="1:6" ht="14.25" thickBot="1">
      <c r="A209" s="734" t="s">
        <v>528</v>
      </c>
      <c r="B209" s="728" t="s">
        <v>220</v>
      </c>
      <c r="C209" s="918">
        <v>0.13700000000000001</v>
      </c>
      <c r="D209" s="918">
        <v>0.13700000000000001</v>
      </c>
      <c r="E209" s="918">
        <v>0.14000000000000001</v>
      </c>
      <c r="F209" s="919">
        <v>0.11700000000000001</v>
      </c>
    </row>
    <row r="210" spans="1:6" ht="14.25" thickBot="1">
      <c r="A210" s="734" t="s">
        <v>528</v>
      </c>
      <c r="B210" s="728" t="s">
        <v>913</v>
      </c>
      <c r="C210" s="918">
        <v>0.15</v>
      </c>
      <c r="D210" s="918">
        <v>0.15</v>
      </c>
      <c r="E210" s="918">
        <v>0.15</v>
      </c>
      <c r="F210" s="919">
        <v>0.13800000000000001</v>
      </c>
    </row>
    <row r="211" spans="1:6" ht="14.25" thickBot="1">
      <c r="A211" s="734" t="s">
        <v>528</v>
      </c>
      <c r="B211" s="728" t="s">
        <v>914</v>
      </c>
      <c r="C211" s="918">
        <v>0.13700000000000001</v>
      </c>
      <c r="D211" s="918">
        <v>0.13500000000000001</v>
      </c>
      <c r="E211" s="918">
        <v>0.13600000000000001</v>
      </c>
      <c r="F211" s="919">
        <v>0.1</v>
      </c>
    </row>
    <row r="212" spans="1:6" ht="14.25" thickBot="1">
      <c r="A212" s="734" t="s">
        <v>528</v>
      </c>
      <c r="B212" s="728" t="s">
        <v>915</v>
      </c>
      <c r="C212" s="918">
        <v>0.15</v>
      </c>
      <c r="D212" s="918">
        <v>0.15</v>
      </c>
      <c r="E212" s="918">
        <v>0.14799999999999999</v>
      </c>
      <c r="F212" s="919">
        <v>0.13600000000000001</v>
      </c>
    </row>
    <row r="213" spans="1:6" ht="14.25" thickBot="1">
      <c r="A213" s="734" t="s">
        <v>528</v>
      </c>
      <c r="B213" s="728" t="s">
        <v>265</v>
      </c>
      <c r="C213" s="918">
        <v>0.15</v>
      </c>
      <c r="D213" s="918">
        <v>0.15</v>
      </c>
      <c r="E213" s="918">
        <v>0.15</v>
      </c>
      <c r="F213" s="919">
        <v>0.13800000000000001</v>
      </c>
    </row>
    <row r="214" spans="1:6" ht="14.25" thickBot="1">
      <c r="A214" s="734" t="s">
        <v>528</v>
      </c>
      <c r="B214" s="728" t="s">
        <v>277</v>
      </c>
      <c r="C214" s="918">
        <v>9.0999999999999998E-2</v>
      </c>
      <c r="D214" s="918">
        <v>0.09</v>
      </c>
      <c r="E214" s="918">
        <v>9.1999999999999998E-2</v>
      </c>
      <c r="F214" s="930"/>
    </row>
    <row r="215" spans="1:6" ht="14.25" thickBot="1">
      <c r="A215" s="734" t="s">
        <v>528</v>
      </c>
      <c r="B215" s="728" t="s">
        <v>916</v>
      </c>
      <c r="C215" s="918">
        <v>0.15</v>
      </c>
      <c r="D215" s="918">
        <v>0.15</v>
      </c>
      <c r="E215" s="918">
        <v>0.15</v>
      </c>
      <c r="F215" s="919">
        <v>0.15</v>
      </c>
    </row>
    <row r="216" spans="1:6" ht="14.25" thickBot="1">
      <c r="A216" s="734" t="s">
        <v>528</v>
      </c>
      <c r="B216" s="728" t="s">
        <v>297</v>
      </c>
      <c r="C216" s="918">
        <v>0.14699999999999999</v>
      </c>
      <c r="D216" s="918">
        <v>0.14699999999999999</v>
      </c>
      <c r="E216" s="918">
        <v>0.15</v>
      </c>
      <c r="F216" s="919">
        <v>0.14000000000000001</v>
      </c>
    </row>
    <row r="217" spans="1:6" ht="14.25" thickBot="1">
      <c r="A217" s="734" t="s">
        <v>528</v>
      </c>
      <c r="B217" s="728" t="s">
        <v>307</v>
      </c>
      <c r="C217" s="918">
        <v>0.15</v>
      </c>
      <c r="D217" s="918">
        <v>0.15</v>
      </c>
      <c r="E217" s="918">
        <v>0.15</v>
      </c>
      <c r="F217" s="919">
        <v>0.15</v>
      </c>
    </row>
    <row r="218" spans="1:6" ht="14.25" thickBot="1">
      <c r="A218" s="734" t="s">
        <v>528</v>
      </c>
      <c r="B218" s="728" t="s">
        <v>917</v>
      </c>
      <c r="C218" s="918">
        <v>0.15</v>
      </c>
      <c r="D218" s="918">
        <v>0.15</v>
      </c>
      <c r="E218" s="918">
        <v>0.15</v>
      </c>
      <c r="F218" s="919">
        <v>0.15</v>
      </c>
    </row>
    <row r="219" spans="1:6" ht="14.25" thickBot="1">
      <c r="A219" s="734" t="s">
        <v>528</v>
      </c>
      <c r="B219" s="728" t="s">
        <v>328</v>
      </c>
      <c r="C219" s="918">
        <v>0.15</v>
      </c>
      <c r="D219" s="918">
        <v>0.15</v>
      </c>
      <c r="E219" s="918">
        <v>0.15</v>
      </c>
      <c r="F219" s="919">
        <v>0.14799999999999999</v>
      </c>
    </row>
    <row r="220" spans="1:6" ht="14.25" thickBot="1">
      <c r="A220" s="734" t="s">
        <v>528</v>
      </c>
      <c r="B220" s="728" t="s">
        <v>918</v>
      </c>
      <c r="C220" s="918">
        <v>0.15</v>
      </c>
      <c r="D220" s="918">
        <v>0.15</v>
      </c>
      <c r="E220" s="918">
        <v>0.15</v>
      </c>
      <c r="F220" s="919">
        <v>0.15</v>
      </c>
    </row>
    <row r="221" spans="1:6" ht="14.25" thickBot="1">
      <c r="A221" s="734" t="s">
        <v>528</v>
      </c>
      <c r="B221" s="728" t="s">
        <v>349</v>
      </c>
      <c r="C221" s="918"/>
      <c r="D221" s="931"/>
      <c r="E221" s="931"/>
      <c r="F221" s="919">
        <v>0.14799999999999999</v>
      </c>
    </row>
    <row r="222" spans="1:6" ht="14.25" thickBot="1">
      <c r="A222" s="734" t="s">
        <v>528</v>
      </c>
      <c r="B222" s="728" t="s">
        <v>359</v>
      </c>
      <c r="C222" s="918"/>
      <c r="D222" s="931"/>
      <c r="E222" s="931"/>
      <c r="F222" s="919">
        <v>0.1</v>
      </c>
    </row>
    <row r="223" spans="1:6" ht="14.25" thickBot="1">
      <c r="A223" s="734" t="s">
        <v>528</v>
      </c>
      <c r="B223" s="728" t="s">
        <v>369</v>
      </c>
      <c r="C223" s="918"/>
      <c r="D223" s="931"/>
      <c r="E223" s="931"/>
      <c r="F223" s="919">
        <v>0.15</v>
      </c>
    </row>
    <row r="224" spans="1:6" ht="14.25" thickBot="1">
      <c r="A224" s="734" t="s">
        <v>528</v>
      </c>
      <c r="B224" s="728" t="s">
        <v>379</v>
      </c>
      <c r="C224" s="918"/>
      <c r="D224" s="931"/>
      <c r="E224" s="931"/>
      <c r="F224" s="919">
        <v>0.15</v>
      </c>
    </row>
    <row r="225" spans="1:6" ht="14.25" thickBot="1">
      <c r="A225" s="734" t="s">
        <v>528</v>
      </c>
      <c r="B225" s="728" t="s">
        <v>919</v>
      </c>
      <c r="C225" s="918">
        <v>0.15</v>
      </c>
      <c r="D225" s="918">
        <v>0.15</v>
      </c>
      <c r="E225" s="918">
        <v>0.15</v>
      </c>
      <c r="F225" s="919">
        <v>0.15</v>
      </c>
    </row>
    <row r="226" spans="1:6" ht="14.25" thickBot="1">
      <c r="A226" s="734" t="s">
        <v>528</v>
      </c>
      <c r="B226" s="728" t="s">
        <v>397</v>
      </c>
      <c r="C226" s="918">
        <v>0.15</v>
      </c>
      <c r="D226" s="918">
        <v>0.15</v>
      </c>
      <c r="E226" s="918">
        <v>0.15</v>
      </c>
      <c r="F226" s="919">
        <v>0.14799999999999999</v>
      </c>
    </row>
    <row r="227" spans="1:6" ht="14.25" thickBot="1">
      <c r="A227" s="734" t="s">
        <v>528</v>
      </c>
      <c r="B227" s="728" t="s">
        <v>920</v>
      </c>
      <c r="C227" s="918">
        <v>0.15</v>
      </c>
      <c r="D227" s="918">
        <v>0.15</v>
      </c>
      <c r="E227" s="918">
        <v>0.15</v>
      </c>
      <c r="F227" s="919">
        <v>0.15</v>
      </c>
    </row>
    <row r="228" spans="1:6" ht="14.25" thickBot="1">
      <c r="A228" s="734" t="s">
        <v>528</v>
      </c>
      <c r="B228" s="728" t="s">
        <v>412</v>
      </c>
      <c r="C228" s="918">
        <v>0.15</v>
      </c>
      <c r="D228" s="918">
        <v>0.15</v>
      </c>
      <c r="E228" s="918">
        <v>0.15</v>
      </c>
      <c r="F228" s="919">
        <v>0.15</v>
      </c>
    </row>
    <row r="229" spans="1:6" ht="14.25" thickBot="1">
      <c r="A229" s="734" t="s">
        <v>528</v>
      </c>
      <c r="B229" s="728" t="s">
        <v>419</v>
      </c>
      <c r="C229" s="918">
        <v>0.15</v>
      </c>
      <c r="D229" s="918">
        <v>0.15</v>
      </c>
      <c r="E229" s="918">
        <v>0.15</v>
      </c>
      <c r="F229" s="930"/>
    </row>
    <row r="230" spans="1:6" ht="14.25" thickBot="1">
      <c r="A230" s="734" t="s">
        <v>528</v>
      </c>
      <c r="B230" s="728" t="s">
        <v>426</v>
      </c>
      <c r="C230" s="918">
        <v>0.14499999999999999</v>
      </c>
      <c r="D230" s="918">
        <v>0.14499999999999999</v>
      </c>
      <c r="E230" s="918">
        <v>0.14399999999999999</v>
      </c>
      <c r="F230" s="930"/>
    </row>
    <row r="231" spans="1:6" ht="14.25" thickBot="1">
      <c r="A231" s="734" t="s">
        <v>528</v>
      </c>
      <c r="B231" s="728" t="s">
        <v>921</v>
      </c>
      <c r="C231" s="918">
        <v>0.128</v>
      </c>
      <c r="D231" s="918">
        <v>0.125</v>
      </c>
      <c r="E231" s="918">
        <v>0.13200000000000001</v>
      </c>
      <c r="F231" s="930"/>
    </row>
    <row r="232" spans="1:6" ht="14.25" thickBot="1">
      <c r="A232" s="734" t="s">
        <v>528</v>
      </c>
      <c r="B232" s="728" t="s">
        <v>922</v>
      </c>
      <c r="C232" s="918">
        <v>0.14499999999999999</v>
      </c>
      <c r="D232" s="918">
        <v>0.14399999999999999</v>
      </c>
      <c r="E232" s="918">
        <v>0.14599999999999999</v>
      </c>
      <c r="F232" s="919">
        <v>0.13800000000000001</v>
      </c>
    </row>
    <row r="233" spans="1:6" ht="14.25" thickBot="1">
      <c r="A233" s="734" t="s">
        <v>528</v>
      </c>
      <c r="B233" s="728" t="s">
        <v>923</v>
      </c>
      <c r="C233" s="918">
        <v>0.14499999999999999</v>
      </c>
      <c r="D233" s="918">
        <v>0.14299999999999999</v>
      </c>
      <c r="E233" s="918">
        <v>0.14199999999999999</v>
      </c>
      <c r="F233" s="930"/>
    </row>
    <row r="234" spans="1:6" ht="14.25" thickBot="1">
      <c r="A234" s="734" t="s">
        <v>528</v>
      </c>
      <c r="B234" s="728" t="s">
        <v>924</v>
      </c>
      <c r="C234" s="918">
        <v>0.14000000000000001</v>
      </c>
      <c r="D234" s="918">
        <v>0.14000000000000001</v>
      </c>
      <c r="E234" s="918">
        <v>0.14399999999999999</v>
      </c>
      <c r="F234" s="930"/>
    </row>
    <row r="235" spans="1:6" ht="14.25" thickBot="1">
      <c r="A235" s="734" t="s">
        <v>528</v>
      </c>
      <c r="B235" s="728" t="s">
        <v>925</v>
      </c>
      <c r="C235" s="918">
        <v>0.14099999999999999</v>
      </c>
      <c r="D235" s="918">
        <v>0.14199999999999999</v>
      </c>
      <c r="E235" s="918">
        <v>0.14499999999999999</v>
      </c>
      <c r="F235" s="919">
        <v>0.15</v>
      </c>
    </row>
    <row r="236" spans="1:6" ht="14.25" thickBot="1">
      <c r="A236" s="734" t="s">
        <v>528</v>
      </c>
      <c r="B236" s="728" t="s">
        <v>461</v>
      </c>
      <c r="C236" s="931"/>
      <c r="D236" s="931"/>
      <c r="E236" s="931"/>
      <c r="F236" s="919">
        <v>0.14299999999999999</v>
      </c>
    </row>
    <row r="237" spans="1:6" ht="24.75" thickBot="1">
      <c r="A237" s="734" t="s">
        <v>528</v>
      </c>
      <c r="B237" s="728" t="s">
        <v>926</v>
      </c>
      <c r="C237" s="931"/>
      <c r="D237" s="931"/>
      <c r="E237" s="931"/>
      <c r="F237" s="919">
        <v>0.05</v>
      </c>
    </row>
    <row r="238" spans="1:6" ht="24.75" thickBot="1">
      <c r="A238" s="734" t="s">
        <v>528</v>
      </c>
      <c r="B238" s="728" t="s">
        <v>927</v>
      </c>
      <c r="C238" s="931"/>
      <c r="D238" s="931"/>
      <c r="E238" s="931"/>
      <c r="F238" s="919">
        <v>0.05</v>
      </c>
    </row>
    <row r="239" spans="1:6" ht="24.75" thickBot="1">
      <c r="A239" s="734" t="s">
        <v>528</v>
      </c>
      <c r="B239" s="728" t="s">
        <v>928</v>
      </c>
      <c r="C239" s="931"/>
      <c r="D239" s="931"/>
      <c r="E239" s="931"/>
      <c r="F239" s="919">
        <v>0.05</v>
      </c>
    </row>
    <row r="240" spans="1:6" ht="24.75" thickBot="1">
      <c r="A240" s="734" t="s">
        <v>528</v>
      </c>
      <c r="B240" s="728" t="s">
        <v>929</v>
      </c>
      <c r="C240" s="931"/>
      <c r="D240" s="931"/>
      <c r="E240" s="931"/>
      <c r="F240" s="919">
        <v>0.05</v>
      </c>
    </row>
    <row r="241" spans="1:6" ht="24.75" thickBot="1">
      <c r="A241" s="734" t="s">
        <v>528</v>
      </c>
      <c r="B241" s="728" t="s">
        <v>930</v>
      </c>
      <c r="C241" s="931"/>
      <c r="D241" s="931"/>
      <c r="E241" s="931"/>
      <c r="F241" s="919">
        <v>0.05</v>
      </c>
    </row>
    <row r="242" spans="1:6" ht="24.75" thickBot="1">
      <c r="A242" s="734" t="s">
        <v>528</v>
      </c>
      <c r="B242" s="728" t="s">
        <v>931</v>
      </c>
      <c r="C242" s="931"/>
      <c r="D242" s="931"/>
      <c r="E242" s="931"/>
      <c r="F242" s="919">
        <v>0.05</v>
      </c>
    </row>
    <row r="243" spans="1:6" ht="24.75" thickBot="1">
      <c r="A243" s="734" t="s">
        <v>528</v>
      </c>
      <c r="B243" s="728" t="s">
        <v>932</v>
      </c>
      <c r="C243" s="931"/>
      <c r="D243" s="931"/>
      <c r="E243" s="931"/>
      <c r="F243" s="919">
        <v>0.05</v>
      </c>
    </row>
    <row r="244" spans="1:6" ht="24.75" thickBot="1">
      <c r="A244" s="744" t="s">
        <v>528</v>
      </c>
      <c r="B244" s="740" t="s">
        <v>933</v>
      </c>
      <c r="C244" s="928"/>
      <c r="D244" s="928"/>
      <c r="E244" s="928"/>
      <c r="F244" s="921">
        <v>0.05</v>
      </c>
    </row>
    <row r="245" spans="1:6" ht="14.25" thickBot="1">
      <c r="A245" s="734" t="s">
        <v>530</v>
      </c>
      <c r="B245" s="735" t="s">
        <v>934</v>
      </c>
      <c r="C245" s="916">
        <v>0.15</v>
      </c>
      <c r="D245" s="916">
        <v>0.15</v>
      </c>
      <c r="E245" s="916">
        <v>0.15</v>
      </c>
      <c r="F245" s="917">
        <v>0.14299999999999999</v>
      </c>
    </row>
    <row r="246" spans="1:6" ht="14.25" thickBot="1">
      <c r="A246" s="734" t="s">
        <v>530</v>
      </c>
      <c r="B246" s="728" t="s">
        <v>195</v>
      </c>
      <c r="C246" s="918">
        <v>0.15</v>
      </c>
      <c r="D246" s="918">
        <v>0.15</v>
      </c>
      <c r="E246" s="918">
        <v>0.15</v>
      </c>
      <c r="F246" s="919">
        <v>0.114</v>
      </c>
    </row>
    <row r="247" spans="1:6" ht="14.25" thickBot="1">
      <c r="A247" s="734" t="s">
        <v>530</v>
      </c>
      <c r="B247" s="728" t="s">
        <v>935</v>
      </c>
      <c r="C247" s="918">
        <v>0.15</v>
      </c>
      <c r="D247" s="918">
        <v>0.15</v>
      </c>
      <c r="E247" s="918">
        <v>0.15</v>
      </c>
      <c r="F247" s="919">
        <v>0.15</v>
      </c>
    </row>
    <row r="248" spans="1:6" ht="14.25" thickBot="1">
      <c r="A248" s="734" t="s">
        <v>530</v>
      </c>
      <c r="B248" s="728" t="s">
        <v>936</v>
      </c>
      <c r="C248" s="918">
        <v>0.15</v>
      </c>
      <c r="D248" s="918">
        <v>0.15</v>
      </c>
      <c r="E248" s="918">
        <v>0.15</v>
      </c>
      <c r="F248" s="919">
        <v>0.14000000000000001</v>
      </c>
    </row>
    <row r="249" spans="1:6" ht="14.25" thickBot="1">
      <c r="A249" s="734" t="s">
        <v>530</v>
      </c>
      <c r="B249" s="728" t="s">
        <v>937</v>
      </c>
      <c r="C249" s="918">
        <v>0.15</v>
      </c>
      <c r="D249" s="918">
        <v>0.14899999999999999</v>
      </c>
      <c r="E249" s="918">
        <v>0.15</v>
      </c>
      <c r="F249" s="919">
        <v>0.1</v>
      </c>
    </row>
    <row r="250" spans="1:6" ht="14.25" thickBot="1">
      <c r="A250" s="734" t="s">
        <v>530</v>
      </c>
      <c r="B250" s="728" t="s">
        <v>938</v>
      </c>
      <c r="C250" s="918">
        <v>0.15</v>
      </c>
      <c r="D250" s="918">
        <v>0.15</v>
      </c>
      <c r="E250" s="918">
        <v>0.15</v>
      </c>
      <c r="F250" s="919">
        <v>0.14399999999999999</v>
      </c>
    </row>
    <row r="251" spans="1:6" ht="14.25" thickBot="1">
      <c r="A251" s="734" t="s">
        <v>530</v>
      </c>
      <c r="B251" s="728" t="s">
        <v>255</v>
      </c>
      <c r="C251" s="918">
        <v>0.15</v>
      </c>
      <c r="D251" s="918">
        <v>0.15</v>
      </c>
      <c r="E251" s="918">
        <v>0.15</v>
      </c>
      <c r="F251" s="919">
        <v>0.14299999999999999</v>
      </c>
    </row>
    <row r="252" spans="1:6" ht="14.25" thickBot="1">
      <c r="A252" s="734" t="s">
        <v>530</v>
      </c>
      <c r="B252" s="728" t="s">
        <v>266</v>
      </c>
      <c r="C252" s="918">
        <v>0.15</v>
      </c>
      <c r="D252" s="918">
        <v>0.15</v>
      </c>
      <c r="E252" s="918">
        <v>0.15</v>
      </c>
      <c r="F252" s="919">
        <v>0.1</v>
      </c>
    </row>
    <row r="253" spans="1:6" ht="14.25" thickBot="1">
      <c r="A253" s="734" t="s">
        <v>530</v>
      </c>
      <c r="B253" s="728" t="s">
        <v>278</v>
      </c>
      <c r="C253" s="918">
        <v>0.15</v>
      </c>
      <c r="D253" s="918">
        <v>0.15</v>
      </c>
      <c r="E253" s="918">
        <v>0.15</v>
      </c>
      <c r="F253" s="919">
        <v>0.1</v>
      </c>
    </row>
    <row r="254" spans="1:6" ht="14.25" thickBot="1">
      <c r="A254" s="734" t="s">
        <v>530</v>
      </c>
      <c r="B254" s="728" t="s">
        <v>288</v>
      </c>
      <c r="C254" s="931"/>
      <c r="D254" s="931"/>
      <c r="E254" s="931"/>
      <c r="F254" s="919">
        <v>0.15</v>
      </c>
    </row>
    <row r="255" spans="1:6" ht="14.25" thickBot="1">
      <c r="A255" s="734" t="s">
        <v>530</v>
      </c>
      <c r="B255" s="728" t="s">
        <v>298</v>
      </c>
      <c r="C255" s="931"/>
      <c r="D255" s="931"/>
      <c r="E255" s="931"/>
      <c r="F255" s="919">
        <v>0.14299999999999999</v>
      </c>
    </row>
    <row r="256" spans="1:6" ht="14.25" thickBot="1">
      <c r="A256" s="734" t="s">
        <v>530</v>
      </c>
      <c r="B256" s="728" t="s">
        <v>939</v>
      </c>
      <c r="C256" s="918">
        <v>0.14599999999999999</v>
      </c>
      <c r="D256" s="918">
        <v>0.14699999999999999</v>
      </c>
      <c r="E256" s="918">
        <v>0.15</v>
      </c>
      <c r="F256" s="919">
        <v>0.13200000000000001</v>
      </c>
    </row>
    <row r="257" spans="1:6" ht="14.25" thickBot="1">
      <c r="A257" s="734" t="s">
        <v>530</v>
      </c>
      <c r="B257" s="728" t="s">
        <v>318</v>
      </c>
      <c r="C257" s="918">
        <v>0.15</v>
      </c>
      <c r="D257" s="918">
        <v>0.15</v>
      </c>
      <c r="E257" s="918">
        <v>0.15</v>
      </c>
      <c r="F257" s="919">
        <v>0.13900000000000001</v>
      </c>
    </row>
    <row r="258" spans="1:6" ht="14.25" thickBot="1">
      <c r="A258" s="734" t="s">
        <v>530</v>
      </c>
      <c r="B258" s="728" t="s">
        <v>329</v>
      </c>
      <c r="C258" s="918">
        <v>0.15</v>
      </c>
      <c r="D258" s="918">
        <v>0.15</v>
      </c>
      <c r="E258" s="918">
        <v>0.15</v>
      </c>
      <c r="F258" s="919">
        <v>0.13</v>
      </c>
    </row>
    <row r="259" spans="1:6" ht="14.25" thickBot="1">
      <c r="A259" s="734" t="s">
        <v>530</v>
      </c>
      <c r="B259" s="728" t="s">
        <v>940</v>
      </c>
      <c r="C259" s="918">
        <v>0.14799999999999999</v>
      </c>
      <c r="D259" s="918">
        <v>0.14899999999999999</v>
      </c>
      <c r="E259" s="918">
        <v>0.15</v>
      </c>
      <c r="F259" s="919">
        <v>0.13700000000000001</v>
      </c>
    </row>
    <row r="260" spans="1:6" ht="14.25" thickBot="1">
      <c r="A260" s="734" t="s">
        <v>530</v>
      </c>
      <c r="B260" s="728" t="s">
        <v>350</v>
      </c>
      <c r="C260" s="918">
        <v>0.15</v>
      </c>
      <c r="D260" s="918">
        <v>0.15</v>
      </c>
      <c r="E260" s="918">
        <v>0.15</v>
      </c>
      <c r="F260" s="919">
        <v>0.14199999999999999</v>
      </c>
    </row>
    <row r="261" spans="1:6" ht="14.25" thickBot="1">
      <c r="A261" s="734" t="s">
        <v>530</v>
      </c>
      <c r="B261" s="728" t="s">
        <v>360</v>
      </c>
      <c r="C261" s="918">
        <v>0.15</v>
      </c>
      <c r="D261" s="918">
        <v>0.15</v>
      </c>
      <c r="E261" s="918">
        <v>0.14899999999999999</v>
      </c>
      <c r="F261" s="919">
        <v>0.14799999999999999</v>
      </c>
    </row>
    <row r="262" spans="1:6" ht="14.25" thickBot="1">
      <c r="A262" s="734" t="s">
        <v>530</v>
      </c>
      <c r="B262" s="728" t="s">
        <v>370</v>
      </c>
      <c r="C262" s="918">
        <v>0.15</v>
      </c>
      <c r="D262" s="918">
        <v>0.15</v>
      </c>
      <c r="E262" s="918">
        <v>0.15</v>
      </c>
      <c r="F262" s="930"/>
    </row>
    <row r="263" spans="1:6" ht="14.25" thickBot="1">
      <c r="A263" s="734" t="s">
        <v>530</v>
      </c>
      <c r="B263" s="728" t="s">
        <v>941</v>
      </c>
      <c r="C263" s="918">
        <v>0.14899999999999999</v>
      </c>
      <c r="D263" s="918">
        <v>0.14899999999999999</v>
      </c>
      <c r="E263" s="918">
        <v>0.15</v>
      </c>
      <c r="F263" s="919">
        <v>0.13</v>
      </c>
    </row>
    <row r="264" spans="1:6" ht="14.25" thickBot="1">
      <c r="A264" s="734" t="s">
        <v>530</v>
      </c>
      <c r="B264" s="728" t="s">
        <v>389</v>
      </c>
      <c r="C264" s="918">
        <v>0.14799999999999999</v>
      </c>
      <c r="D264" s="918">
        <v>0.14699999999999999</v>
      </c>
      <c r="E264" s="918">
        <v>0.15</v>
      </c>
      <c r="F264" s="919">
        <v>7.8E-2</v>
      </c>
    </row>
    <row r="265" spans="1:6" ht="14.25" thickBot="1">
      <c r="A265" s="734" t="s">
        <v>530</v>
      </c>
      <c r="B265" s="728" t="s">
        <v>398</v>
      </c>
      <c r="C265" s="918">
        <v>0.15</v>
      </c>
      <c r="D265" s="918">
        <v>0.15</v>
      </c>
      <c r="E265" s="918">
        <v>0.15</v>
      </c>
      <c r="F265" s="919">
        <v>7.3999999999999996E-2</v>
      </c>
    </row>
    <row r="266" spans="1:6" ht="14.25" thickBot="1">
      <c r="A266" s="734" t="s">
        <v>530</v>
      </c>
      <c r="B266" s="728" t="s">
        <v>406</v>
      </c>
      <c r="C266" s="918">
        <v>0.14699999999999999</v>
      </c>
      <c r="D266" s="918">
        <v>0.14699999999999999</v>
      </c>
      <c r="E266" s="918">
        <v>0.15</v>
      </c>
      <c r="F266" s="919">
        <v>0.14299999999999999</v>
      </c>
    </row>
    <row r="267" spans="1:6" ht="14.25" thickBot="1">
      <c r="A267" s="734" t="s">
        <v>530</v>
      </c>
      <c r="B267" s="728" t="s">
        <v>413</v>
      </c>
      <c r="C267" s="918">
        <v>0.14199999999999999</v>
      </c>
      <c r="D267" s="918">
        <v>0.14299999999999999</v>
      </c>
      <c r="E267" s="918">
        <v>0.15</v>
      </c>
      <c r="F267" s="930"/>
    </row>
    <row r="268" spans="1:6" ht="14.25" thickBot="1">
      <c r="A268" s="734" t="s">
        <v>530</v>
      </c>
      <c r="B268" s="728" t="s">
        <v>942</v>
      </c>
      <c r="C268" s="918">
        <v>0.15</v>
      </c>
      <c r="D268" s="918">
        <v>0.15</v>
      </c>
      <c r="E268" s="918">
        <v>0.15</v>
      </c>
      <c r="F268" s="919">
        <v>0.13</v>
      </c>
    </row>
    <row r="269" spans="1:6" ht="14.25" thickBot="1">
      <c r="A269" s="734" t="s">
        <v>530</v>
      </c>
      <c r="B269" s="728" t="s">
        <v>427</v>
      </c>
      <c r="C269" s="918">
        <v>0.15</v>
      </c>
      <c r="D269" s="918">
        <v>0.15</v>
      </c>
      <c r="E269" s="918">
        <v>0.15</v>
      </c>
      <c r="F269" s="919">
        <v>0.14299999999999999</v>
      </c>
    </row>
    <row r="270" spans="1:6" ht="14.25" thickBot="1">
      <c r="A270" s="734" t="s">
        <v>530</v>
      </c>
      <c r="B270" s="728" t="s">
        <v>434</v>
      </c>
      <c r="C270" s="918">
        <v>0.14499999999999999</v>
      </c>
      <c r="D270" s="918">
        <v>0.14499999999999999</v>
      </c>
      <c r="E270" s="918">
        <v>0.15</v>
      </c>
      <c r="F270" s="919">
        <v>0.14699999999999999</v>
      </c>
    </row>
    <row r="271" spans="1:6" ht="14.25" thickBot="1">
      <c r="A271" s="734" t="s">
        <v>530</v>
      </c>
      <c r="B271" s="728" t="s">
        <v>441</v>
      </c>
      <c r="C271" s="918">
        <v>0.15</v>
      </c>
      <c r="D271" s="918">
        <v>0.15</v>
      </c>
      <c r="E271" s="918">
        <v>0.15</v>
      </c>
      <c r="F271" s="919">
        <v>0.13800000000000001</v>
      </c>
    </row>
    <row r="272" spans="1:6" ht="14.25" thickBot="1">
      <c r="A272" s="734" t="s">
        <v>530</v>
      </c>
      <c r="B272" s="728" t="s">
        <v>448</v>
      </c>
      <c r="C272" s="931"/>
      <c r="D272" s="931"/>
      <c r="E272" s="931"/>
      <c r="F272" s="919">
        <v>0.14000000000000001</v>
      </c>
    </row>
    <row r="273" spans="1:6" ht="14.25" thickBot="1">
      <c r="A273" s="734" t="s">
        <v>530</v>
      </c>
      <c r="B273" s="728" t="s">
        <v>943</v>
      </c>
      <c r="C273" s="918">
        <v>0.14199999999999999</v>
      </c>
      <c r="D273" s="918">
        <v>0.14299999999999999</v>
      </c>
      <c r="E273" s="918">
        <v>0.15</v>
      </c>
      <c r="F273" s="919">
        <v>0.1</v>
      </c>
    </row>
    <row r="274" spans="1:6" ht="14.25" thickBot="1">
      <c r="A274" s="734" t="s">
        <v>530</v>
      </c>
      <c r="B274" s="728" t="s">
        <v>944</v>
      </c>
      <c r="C274" s="918">
        <v>0.14799999999999999</v>
      </c>
      <c r="D274" s="918">
        <v>0.14799999999999999</v>
      </c>
      <c r="E274" s="918">
        <v>0.15</v>
      </c>
      <c r="F274" s="919">
        <v>6.7000000000000004E-2</v>
      </c>
    </row>
    <row r="275" spans="1:6" ht="14.25" thickBot="1">
      <c r="A275" s="734" t="s">
        <v>530</v>
      </c>
      <c r="B275" s="728" t="s">
        <v>945</v>
      </c>
      <c r="C275" s="918">
        <v>0.15</v>
      </c>
      <c r="D275" s="918">
        <v>0.15</v>
      </c>
      <c r="E275" s="918">
        <v>0.15</v>
      </c>
      <c r="F275" s="919">
        <v>0.15</v>
      </c>
    </row>
    <row r="276" spans="1:6" ht="14.25" thickBot="1">
      <c r="A276" s="734" t="s">
        <v>530</v>
      </c>
      <c r="B276" s="728" t="s">
        <v>946</v>
      </c>
      <c r="C276" s="918">
        <v>0.14499999999999999</v>
      </c>
      <c r="D276" s="918">
        <v>0.14299999999999999</v>
      </c>
      <c r="E276" s="918">
        <v>0.15</v>
      </c>
      <c r="F276" s="919">
        <v>5.8999999999999997E-2</v>
      </c>
    </row>
    <row r="277" spans="1:6" ht="14.25" thickBot="1">
      <c r="A277" s="734" t="s">
        <v>530</v>
      </c>
      <c r="B277" s="728" t="s">
        <v>947</v>
      </c>
      <c r="C277" s="918">
        <v>0.15</v>
      </c>
      <c r="D277" s="918">
        <v>0.15</v>
      </c>
      <c r="E277" s="918">
        <v>0.15</v>
      </c>
      <c r="F277" s="919">
        <v>0.121</v>
      </c>
    </row>
    <row r="278" spans="1:6" ht="14.25" thickBot="1">
      <c r="A278" s="734" t="s">
        <v>530</v>
      </c>
      <c r="B278" s="728" t="s">
        <v>948</v>
      </c>
      <c r="C278" s="918">
        <v>0.15</v>
      </c>
      <c r="D278" s="918">
        <v>0.15</v>
      </c>
      <c r="E278" s="918">
        <v>0.15</v>
      </c>
      <c r="F278" s="919">
        <v>0.13800000000000001</v>
      </c>
    </row>
    <row r="279" spans="1:6" ht="24.75" thickBot="1">
      <c r="A279" s="734" t="s">
        <v>530</v>
      </c>
      <c r="B279" s="728" t="s">
        <v>949</v>
      </c>
      <c r="C279" s="931"/>
      <c r="D279" s="931"/>
      <c r="E279" s="931"/>
      <c r="F279" s="919">
        <v>0.05</v>
      </c>
    </row>
    <row r="280" spans="1:6" ht="24.75" thickBot="1">
      <c r="A280" s="734" t="s">
        <v>530</v>
      </c>
      <c r="B280" s="728" t="s">
        <v>950</v>
      </c>
      <c r="C280" s="931"/>
      <c r="D280" s="931"/>
      <c r="E280" s="931"/>
      <c r="F280" s="919">
        <v>0.05</v>
      </c>
    </row>
    <row r="281" spans="1:6" ht="24.75" thickBot="1">
      <c r="A281" s="734" t="s">
        <v>530</v>
      </c>
      <c r="B281" s="728" t="s">
        <v>951</v>
      </c>
      <c r="C281" s="931"/>
      <c r="D281" s="931"/>
      <c r="E281" s="931"/>
      <c r="F281" s="919">
        <v>0.05</v>
      </c>
    </row>
    <row r="282" spans="1:6" ht="24.75" thickBot="1">
      <c r="A282" s="734" t="s">
        <v>530</v>
      </c>
      <c r="B282" s="728" t="s">
        <v>952</v>
      </c>
      <c r="C282" s="931"/>
      <c r="D282" s="931"/>
      <c r="E282" s="931"/>
      <c r="F282" s="919">
        <v>0.05</v>
      </c>
    </row>
    <row r="283" spans="1:6" ht="24.75" thickBot="1">
      <c r="A283" s="734" t="s">
        <v>530</v>
      </c>
      <c r="B283" s="728" t="s">
        <v>953</v>
      </c>
      <c r="C283" s="931"/>
      <c r="D283" s="931"/>
      <c r="E283" s="931"/>
      <c r="F283" s="919">
        <v>0.05</v>
      </c>
    </row>
    <row r="284" spans="1:6" ht="24.75" thickBot="1">
      <c r="A284" s="734" t="s">
        <v>530</v>
      </c>
      <c r="B284" s="728" t="s">
        <v>954</v>
      </c>
      <c r="C284" s="931"/>
      <c r="D284" s="931"/>
      <c r="E284" s="931"/>
      <c r="F284" s="919">
        <v>0.05</v>
      </c>
    </row>
    <row r="285" spans="1:6" ht="24.75" thickBot="1">
      <c r="A285" s="734" t="s">
        <v>530</v>
      </c>
      <c r="B285" s="728" t="s">
        <v>955</v>
      </c>
      <c r="C285" s="931"/>
      <c r="D285" s="931"/>
      <c r="E285" s="931"/>
      <c r="F285" s="919">
        <v>0.05</v>
      </c>
    </row>
    <row r="286" spans="1:6" ht="24.75" thickBot="1">
      <c r="A286" s="734" t="s">
        <v>530</v>
      </c>
      <c r="B286" s="728" t="s">
        <v>956</v>
      </c>
      <c r="C286" s="931"/>
      <c r="D286" s="931"/>
      <c r="E286" s="931"/>
      <c r="F286" s="919">
        <v>0.05</v>
      </c>
    </row>
    <row r="287" spans="1:6" ht="24.75" thickBot="1">
      <c r="A287" s="734" t="s">
        <v>530</v>
      </c>
      <c r="B287" s="728" t="s">
        <v>957</v>
      </c>
      <c r="C287" s="931"/>
      <c r="D287" s="931"/>
      <c r="E287" s="931"/>
      <c r="F287" s="919">
        <v>0.05</v>
      </c>
    </row>
    <row r="288" spans="1:6" ht="24.75" thickBot="1">
      <c r="A288" s="734" t="s">
        <v>530</v>
      </c>
      <c r="B288" s="728" t="s">
        <v>958</v>
      </c>
      <c r="C288" s="931"/>
      <c r="D288" s="931"/>
      <c r="E288" s="931"/>
      <c r="F288" s="919">
        <v>0.05</v>
      </c>
    </row>
    <row r="289" spans="1:6" ht="24.75" thickBot="1">
      <c r="A289" s="744" t="s">
        <v>530</v>
      </c>
      <c r="B289" s="740" t="s">
        <v>959</v>
      </c>
      <c r="C289" s="928"/>
      <c r="D289" s="928"/>
      <c r="E289" s="928"/>
      <c r="F289" s="921">
        <v>0.05</v>
      </c>
    </row>
    <row r="290" spans="1:6" ht="14.25" thickBot="1">
      <c r="A290" s="734" t="s">
        <v>534</v>
      </c>
      <c r="B290" s="735" t="s">
        <v>960</v>
      </c>
      <c r="C290" s="916">
        <v>0.15</v>
      </c>
      <c r="D290" s="916">
        <v>0.15</v>
      </c>
      <c r="E290" s="916">
        <v>0.15</v>
      </c>
      <c r="F290" s="933"/>
    </row>
    <row r="291" spans="1:6" ht="14.25" thickBot="1">
      <c r="A291" s="734" t="s">
        <v>534</v>
      </c>
      <c r="B291" s="728" t="s">
        <v>196</v>
      </c>
      <c r="C291" s="918">
        <v>0.15</v>
      </c>
      <c r="D291" s="918">
        <v>0.15</v>
      </c>
      <c r="E291" s="918">
        <v>0.15</v>
      </c>
      <c r="F291" s="930"/>
    </row>
    <row r="292" spans="1:6" ht="14.25" thickBot="1">
      <c r="A292" s="734" t="s">
        <v>534</v>
      </c>
      <c r="B292" s="728" t="s">
        <v>961</v>
      </c>
      <c r="C292" s="918">
        <v>0.15</v>
      </c>
      <c r="D292" s="918">
        <v>0.15</v>
      </c>
      <c r="E292" s="918">
        <v>0.15</v>
      </c>
      <c r="F292" s="919">
        <v>0.14699999999999999</v>
      </c>
    </row>
    <row r="293" spans="1:6" ht="14.25" thickBot="1">
      <c r="A293" s="734" t="s">
        <v>534</v>
      </c>
      <c r="B293" s="728" t="s">
        <v>962</v>
      </c>
      <c r="C293" s="931"/>
      <c r="D293" s="931"/>
      <c r="E293" s="931"/>
      <c r="F293" s="919">
        <v>0.1</v>
      </c>
    </row>
    <row r="294" spans="1:6" ht="14.25" thickBot="1">
      <c r="A294" s="734" t="s">
        <v>534</v>
      </c>
      <c r="B294" s="728" t="s">
        <v>963</v>
      </c>
      <c r="C294" s="918">
        <v>0.15</v>
      </c>
      <c r="D294" s="918">
        <v>0.15</v>
      </c>
      <c r="E294" s="918">
        <v>0.15</v>
      </c>
      <c r="F294" s="919">
        <v>0.15</v>
      </c>
    </row>
    <row r="295" spans="1:6" ht="14.25" thickBot="1">
      <c r="A295" s="734" t="s">
        <v>534</v>
      </c>
      <c r="B295" s="728" t="s">
        <v>234</v>
      </c>
      <c r="C295" s="918">
        <v>0.15</v>
      </c>
      <c r="D295" s="918">
        <v>0.15</v>
      </c>
      <c r="E295" s="918">
        <v>0.15</v>
      </c>
      <c r="F295" s="919">
        <v>0.15</v>
      </c>
    </row>
    <row r="296" spans="1:6" ht="14.25" thickBot="1">
      <c r="A296" s="734" t="s">
        <v>534</v>
      </c>
      <c r="B296" s="728" t="s">
        <v>964</v>
      </c>
      <c r="C296" s="918">
        <v>0.15</v>
      </c>
      <c r="D296" s="918">
        <v>0.15</v>
      </c>
      <c r="E296" s="918">
        <v>0.15</v>
      </c>
      <c r="F296" s="919">
        <v>0.15</v>
      </c>
    </row>
    <row r="297" spans="1:6" ht="14.25" thickBot="1">
      <c r="A297" s="734" t="s">
        <v>534</v>
      </c>
      <c r="B297" s="728" t="s">
        <v>965</v>
      </c>
      <c r="C297" s="918">
        <v>0.14799999999999999</v>
      </c>
      <c r="D297" s="918">
        <v>0.14899999999999999</v>
      </c>
      <c r="E297" s="918">
        <v>0.15</v>
      </c>
      <c r="F297" s="919">
        <v>0.13700000000000001</v>
      </c>
    </row>
    <row r="298" spans="1:6" ht="14.25" thickBot="1">
      <c r="A298" s="734" t="s">
        <v>534</v>
      </c>
      <c r="B298" s="728" t="s">
        <v>267</v>
      </c>
      <c r="C298" s="918">
        <v>0.13400000000000001</v>
      </c>
      <c r="D298" s="918">
        <v>0.13400000000000001</v>
      </c>
      <c r="E298" s="918">
        <v>0.14499999999999999</v>
      </c>
      <c r="F298" s="919">
        <v>0.14799999999999999</v>
      </c>
    </row>
    <row r="299" spans="1:6" ht="14.25" thickBot="1">
      <c r="A299" s="734" t="s">
        <v>534</v>
      </c>
      <c r="B299" s="728" t="s">
        <v>279</v>
      </c>
      <c r="C299" s="918">
        <v>0.15</v>
      </c>
      <c r="D299" s="918">
        <v>0.15</v>
      </c>
      <c r="E299" s="918">
        <v>0.15</v>
      </c>
      <c r="F299" s="930"/>
    </row>
    <row r="300" spans="1:6" ht="14.25" thickBot="1">
      <c r="A300" s="734" t="s">
        <v>534</v>
      </c>
      <c r="B300" s="728" t="s">
        <v>966</v>
      </c>
      <c r="C300" s="918">
        <v>0.15</v>
      </c>
      <c r="D300" s="918">
        <v>0.15</v>
      </c>
      <c r="E300" s="918">
        <v>0.15</v>
      </c>
      <c r="F300" s="919">
        <v>0.15</v>
      </c>
    </row>
    <row r="301" spans="1:6" ht="14.25" thickBot="1">
      <c r="A301" s="734" t="s">
        <v>534</v>
      </c>
      <c r="B301" s="728" t="s">
        <v>299</v>
      </c>
      <c r="C301" s="918">
        <v>0.15</v>
      </c>
      <c r="D301" s="918">
        <v>0.15</v>
      </c>
      <c r="E301" s="918">
        <v>0.15</v>
      </c>
      <c r="F301" s="930"/>
    </row>
    <row r="302" spans="1:6" ht="14.25" thickBot="1">
      <c r="A302" s="734" t="s">
        <v>534</v>
      </c>
      <c r="B302" s="728" t="s">
        <v>967</v>
      </c>
      <c r="C302" s="918">
        <v>0.15</v>
      </c>
      <c r="D302" s="918">
        <v>0.15</v>
      </c>
      <c r="E302" s="918">
        <v>0.15</v>
      </c>
      <c r="F302" s="919">
        <v>0.15</v>
      </c>
    </row>
    <row r="303" spans="1:6" ht="14.25" thickBot="1">
      <c r="A303" s="734" t="s">
        <v>534</v>
      </c>
      <c r="B303" s="728" t="s">
        <v>319</v>
      </c>
      <c r="C303" s="918">
        <v>0.15</v>
      </c>
      <c r="D303" s="918">
        <v>0.15</v>
      </c>
      <c r="E303" s="918">
        <v>0.15</v>
      </c>
      <c r="F303" s="919">
        <v>0.15</v>
      </c>
    </row>
    <row r="304" spans="1:6" ht="14.25" thickBot="1">
      <c r="A304" s="734" t="s">
        <v>534</v>
      </c>
      <c r="B304" s="728" t="s">
        <v>330</v>
      </c>
      <c r="C304" s="918">
        <v>0.15</v>
      </c>
      <c r="D304" s="918">
        <v>0.15</v>
      </c>
      <c r="E304" s="918">
        <v>0.15</v>
      </c>
      <c r="F304" s="930"/>
    </row>
    <row r="305" spans="1:6" ht="14.25" thickBot="1">
      <c r="A305" s="734" t="s">
        <v>534</v>
      </c>
      <c r="B305" s="728" t="s">
        <v>968</v>
      </c>
      <c r="C305" s="918">
        <v>0.15</v>
      </c>
      <c r="D305" s="918">
        <v>0.15</v>
      </c>
      <c r="E305" s="918">
        <v>0.15</v>
      </c>
      <c r="F305" s="919">
        <v>0.14000000000000001</v>
      </c>
    </row>
    <row r="306" spans="1:6" ht="14.25" thickBot="1">
      <c r="A306" s="734" t="s">
        <v>534</v>
      </c>
      <c r="B306" s="728" t="s">
        <v>351</v>
      </c>
      <c r="C306" s="918">
        <v>0.15</v>
      </c>
      <c r="D306" s="918">
        <v>0.15</v>
      </c>
      <c r="E306" s="918">
        <v>0.15</v>
      </c>
      <c r="F306" s="930"/>
    </row>
    <row r="307" spans="1:6" ht="14.25" thickBot="1">
      <c r="A307" s="734" t="s">
        <v>534</v>
      </c>
      <c r="B307" s="728" t="s">
        <v>969</v>
      </c>
      <c r="C307" s="918">
        <v>0.15</v>
      </c>
      <c r="D307" s="918">
        <v>0.15</v>
      </c>
      <c r="E307" s="918">
        <v>0.15</v>
      </c>
      <c r="F307" s="919">
        <v>0.14299999999999999</v>
      </c>
    </row>
    <row r="308" spans="1:6" ht="14.25" thickBot="1">
      <c r="A308" s="734" t="s">
        <v>534</v>
      </c>
      <c r="B308" s="728" t="s">
        <v>371</v>
      </c>
      <c r="C308" s="918">
        <v>0.15</v>
      </c>
      <c r="D308" s="918">
        <v>0.15</v>
      </c>
      <c r="E308" s="918">
        <v>0.15</v>
      </c>
      <c r="F308" s="919">
        <v>0.15</v>
      </c>
    </row>
    <row r="309" spans="1:6" ht="14.25" thickBot="1">
      <c r="A309" s="734" t="s">
        <v>534</v>
      </c>
      <c r="B309" s="728" t="s">
        <v>381</v>
      </c>
      <c r="C309" s="918">
        <v>0.15</v>
      </c>
      <c r="D309" s="918">
        <v>0.15</v>
      </c>
      <c r="E309" s="918">
        <v>0.15</v>
      </c>
      <c r="F309" s="930"/>
    </row>
    <row r="310" spans="1:6" ht="14.25" thickBot="1">
      <c r="A310" s="734" t="s">
        <v>534</v>
      </c>
      <c r="B310" s="728" t="s">
        <v>970</v>
      </c>
      <c r="C310" s="918">
        <v>0.15</v>
      </c>
      <c r="D310" s="918">
        <v>0.15</v>
      </c>
      <c r="E310" s="918">
        <v>0.15</v>
      </c>
      <c r="F310" s="919">
        <v>0.13700000000000001</v>
      </c>
    </row>
    <row r="311" spans="1:6" ht="14.25" thickBot="1">
      <c r="A311" s="734" t="s">
        <v>534</v>
      </c>
      <c r="B311" s="728" t="s">
        <v>971</v>
      </c>
      <c r="C311" s="918">
        <v>0.15</v>
      </c>
      <c r="D311" s="918">
        <v>0.15</v>
      </c>
      <c r="E311" s="918">
        <v>0.15</v>
      </c>
      <c r="F311" s="919">
        <v>0.15</v>
      </c>
    </row>
    <row r="312" spans="1:6" ht="14.25" thickBot="1">
      <c r="A312" s="734" t="s">
        <v>534</v>
      </c>
      <c r="B312" s="728" t="s">
        <v>407</v>
      </c>
      <c r="C312" s="918">
        <v>0.15</v>
      </c>
      <c r="D312" s="918">
        <v>0.15</v>
      </c>
      <c r="E312" s="918">
        <v>0.15</v>
      </c>
      <c r="F312" s="919">
        <v>0.1</v>
      </c>
    </row>
    <row r="313" spans="1:6" ht="14.25" thickBot="1">
      <c r="A313" s="734" t="s">
        <v>534</v>
      </c>
      <c r="B313" s="728" t="s">
        <v>972</v>
      </c>
      <c r="C313" s="918">
        <v>0.15</v>
      </c>
      <c r="D313" s="918">
        <v>0.15</v>
      </c>
      <c r="E313" s="918">
        <v>0.15</v>
      </c>
      <c r="F313" s="919">
        <v>0.15</v>
      </c>
    </row>
    <row r="314" spans="1:6" ht="24.75" thickBot="1">
      <c r="A314" s="734" t="s">
        <v>534</v>
      </c>
      <c r="B314" s="728" t="s">
        <v>973</v>
      </c>
      <c r="C314" s="931"/>
      <c r="D314" s="931"/>
      <c r="E314" s="931"/>
      <c r="F314" s="919">
        <v>0.05</v>
      </c>
    </row>
    <row r="315" spans="1:6" ht="24.75" thickBot="1">
      <c r="A315" s="734" t="s">
        <v>534</v>
      </c>
      <c r="B315" s="728" t="s">
        <v>974</v>
      </c>
      <c r="C315" s="931"/>
      <c r="D315" s="931"/>
      <c r="E315" s="931"/>
      <c r="F315" s="919">
        <v>0.05</v>
      </c>
    </row>
    <row r="316" spans="1:6" ht="24.75" thickBot="1">
      <c r="A316" s="744" t="s">
        <v>534</v>
      </c>
      <c r="B316" s="740" t="s">
        <v>975</v>
      </c>
      <c r="C316" s="928"/>
      <c r="D316" s="928"/>
      <c r="E316" s="928"/>
      <c r="F316" s="921">
        <v>0.05</v>
      </c>
    </row>
    <row r="317" spans="1:6" ht="14.25" thickBot="1">
      <c r="A317" s="734" t="s">
        <v>976</v>
      </c>
      <c r="B317" s="735" t="s">
        <v>977</v>
      </c>
      <c r="C317" s="916">
        <v>0.15</v>
      </c>
      <c r="D317" s="916">
        <v>0.15</v>
      </c>
      <c r="E317" s="916">
        <v>0.15</v>
      </c>
      <c r="F317" s="917">
        <v>0.15</v>
      </c>
    </row>
    <row r="318" spans="1:6" ht="14.25" thickBot="1">
      <c r="A318" s="734" t="s">
        <v>976</v>
      </c>
      <c r="B318" s="728" t="s">
        <v>978</v>
      </c>
      <c r="C318" s="918">
        <v>0.107</v>
      </c>
      <c r="D318" s="918">
        <v>0.11</v>
      </c>
      <c r="E318" s="918">
        <v>0.112</v>
      </c>
      <c r="F318" s="930"/>
    </row>
    <row r="319" spans="1:6" ht="14.25" thickBot="1">
      <c r="A319" s="734" t="s">
        <v>976</v>
      </c>
      <c r="B319" s="728" t="s">
        <v>979</v>
      </c>
      <c r="C319" s="918">
        <v>0.15</v>
      </c>
      <c r="D319" s="918">
        <v>0.15</v>
      </c>
      <c r="E319" s="918">
        <v>0.15</v>
      </c>
      <c r="F319" s="919">
        <v>0.15</v>
      </c>
    </row>
    <row r="320" spans="1:6" ht="14.25" thickBot="1">
      <c r="A320" s="734" t="s">
        <v>976</v>
      </c>
      <c r="B320" s="728" t="s">
        <v>223</v>
      </c>
      <c r="C320" s="918">
        <v>0.15</v>
      </c>
      <c r="D320" s="918">
        <v>0.15</v>
      </c>
      <c r="E320" s="918">
        <v>0.15</v>
      </c>
      <c r="F320" s="930"/>
    </row>
    <row r="321" spans="1:6" ht="14.25" thickBot="1">
      <c r="A321" s="734" t="s">
        <v>976</v>
      </c>
      <c r="B321" s="728" t="s">
        <v>980</v>
      </c>
      <c r="C321" s="918">
        <v>0.15</v>
      </c>
      <c r="D321" s="918">
        <v>0.15</v>
      </c>
      <c r="E321" s="918">
        <v>0.15</v>
      </c>
      <c r="F321" s="930"/>
    </row>
    <row r="322" spans="1:6" ht="14.25" thickBot="1">
      <c r="A322" s="734" t="s">
        <v>976</v>
      </c>
      <c r="B322" s="728" t="s">
        <v>981</v>
      </c>
      <c r="C322" s="918">
        <v>0.15</v>
      </c>
      <c r="D322" s="918">
        <v>0.15</v>
      </c>
      <c r="E322" s="918">
        <v>0.15</v>
      </c>
      <c r="F322" s="919">
        <v>0.15</v>
      </c>
    </row>
    <row r="323" spans="1:6" ht="14.25" thickBot="1">
      <c r="A323" s="734" t="s">
        <v>976</v>
      </c>
      <c r="B323" s="728" t="s">
        <v>982</v>
      </c>
      <c r="C323" s="918">
        <v>0.15</v>
      </c>
      <c r="D323" s="918">
        <v>0.15</v>
      </c>
      <c r="E323" s="918">
        <v>0.15</v>
      </c>
      <c r="F323" s="930"/>
    </row>
    <row r="324" spans="1:6" ht="14.25" thickBot="1">
      <c r="A324" s="734" t="s">
        <v>976</v>
      </c>
      <c r="B324" s="728" t="s">
        <v>983</v>
      </c>
      <c r="C324" s="918">
        <v>0.15</v>
      </c>
      <c r="D324" s="918">
        <v>0.15</v>
      </c>
      <c r="E324" s="918">
        <v>0.15</v>
      </c>
      <c r="F324" s="930"/>
    </row>
    <row r="325" spans="1:6" ht="14.25" thickBot="1">
      <c r="A325" s="734" t="s">
        <v>976</v>
      </c>
      <c r="B325" s="728" t="s">
        <v>984</v>
      </c>
      <c r="C325" s="918">
        <v>0.15</v>
      </c>
      <c r="D325" s="918">
        <v>0.15</v>
      </c>
      <c r="E325" s="918">
        <v>0.15</v>
      </c>
      <c r="F325" s="919">
        <v>0.14699999999999999</v>
      </c>
    </row>
    <row r="326" spans="1:6" ht="14.25" thickBot="1">
      <c r="A326" s="734" t="s">
        <v>976</v>
      </c>
      <c r="B326" s="728" t="s">
        <v>290</v>
      </c>
      <c r="C326" s="918">
        <v>0.15</v>
      </c>
      <c r="D326" s="918">
        <v>0.15</v>
      </c>
      <c r="E326" s="918">
        <v>0.15</v>
      </c>
      <c r="F326" s="930"/>
    </row>
    <row r="327" spans="1:6" ht="14.25" thickBot="1">
      <c r="A327" s="734" t="s">
        <v>976</v>
      </c>
      <c r="B327" s="728" t="s">
        <v>985</v>
      </c>
      <c r="C327" s="918">
        <v>0.15</v>
      </c>
      <c r="D327" s="918">
        <v>0.15</v>
      </c>
      <c r="E327" s="918">
        <v>0.15</v>
      </c>
      <c r="F327" s="919">
        <v>0.15</v>
      </c>
    </row>
    <row r="328" spans="1:6" ht="14.25" thickBot="1">
      <c r="A328" s="734" t="s">
        <v>976</v>
      </c>
      <c r="B328" s="728" t="s">
        <v>310</v>
      </c>
      <c r="C328" s="918">
        <v>0.15</v>
      </c>
      <c r="D328" s="918">
        <v>0.15</v>
      </c>
      <c r="E328" s="918">
        <v>0.15</v>
      </c>
      <c r="F328" s="919">
        <v>0.14099999999999999</v>
      </c>
    </row>
    <row r="329" spans="1:6" ht="14.25" thickBot="1">
      <c r="A329" s="734" t="s">
        <v>976</v>
      </c>
      <c r="B329" s="728" t="s">
        <v>320</v>
      </c>
      <c r="C329" s="918">
        <v>0.15</v>
      </c>
      <c r="D329" s="918">
        <v>0.15</v>
      </c>
      <c r="E329" s="918">
        <v>0.15</v>
      </c>
      <c r="F329" s="919">
        <v>0.15</v>
      </c>
    </row>
    <row r="330" spans="1:6" ht="14.25" thickBot="1">
      <c r="A330" s="734" t="s">
        <v>976</v>
      </c>
      <c r="B330" s="728" t="s">
        <v>331</v>
      </c>
      <c r="C330" s="918">
        <v>0.15</v>
      </c>
      <c r="D330" s="918">
        <v>0.15</v>
      </c>
      <c r="E330" s="918">
        <v>0.15</v>
      </c>
      <c r="F330" s="930"/>
    </row>
    <row r="331" spans="1:6" ht="14.25" thickBot="1">
      <c r="A331" s="734" t="s">
        <v>976</v>
      </c>
      <c r="B331" s="728" t="s">
        <v>986</v>
      </c>
      <c r="C331" s="918">
        <v>0.15</v>
      </c>
      <c r="D331" s="918">
        <v>0.15</v>
      </c>
      <c r="E331" s="918">
        <v>0.15</v>
      </c>
      <c r="F331" s="919">
        <v>0.15</v>
      </c>
    </row>
    <row r="332" spans="1:6" ht="14.25" thickBot="1">
      <c r="A332" s="734" t="s">
        <v>976</v>
      </c>
      <c r="B332" s="728" t="s">
        <v>352</v>
      </c>
      <c r="C332" s="918">
        <v>0.15</v>
      </c>
      <c r="D332" s="918">
        <v>0.15</v>
      </c>
      <c r="E332" s="918">
        <v>0.15</v>
      </c>
      <c r="F332" s="919">
        <v>0.15</v>
      </c>
    </row>
    <row r="333" spans="1:6" ht="14.25" thickBot="1">
      <c r="A333" s="734" t="s">
        <v>976</v>
      </c>
      <c r="B333" s="728" t="s">
        <v>987</v>
      </c>
      <c r="C333" s="918">
        <v>0.15</v>
      </c>
      <c r="D333" s="918">
        <v>0.15</v>
      </c>
      <c r="E333" s="918">
        <v>0.15</v>
      </c>
      <c r="F333" s="919">
        <v>0.14099999999999999</v>
      </c>
    </row>
    <row r="334" spans="1:6" ht="14.25" thickBot="1">
      <c r="A334" s="734" t="s">
        <v>976</v>
      </c>
      <c r="B334" s="728" t="s">
        <v>372</v>
      </c>
      <c r="C334" s="918">
        <v>0.15</v>
      </c>
      <c r="D334" s="918">
        <v>0.15</v>
      </c>
      <c r="E334" s="918">
        <v>0.15</v>
      </c>
      <c r="F334" s="919">
        <v>0.15</v>
      </c>
    </row>
    <row r="335" spans="1:6" ht="14.25" thickBot="1">
      <c r="A335" s="734" t="s">
        <v>976</v>
      </c>
      <c r="B335" s="728" t="s">
        <v>382</v>
      </c>
      <c r="C335" s="918">
        <v>0.15</v>
      </c>
      <c r="D335" s="918">
        <v>0.15</v>
      </c>
      <c r="E335" s="918">
        <v>0.15</v>
      </c>
      <c r="F335" s="930"/>
    </row>
    <row r="336" spans="1:6" ht="14.25" thickBot="1">
      <c r="A336" s="734" t="s">
        <v>976</v>
      </c>
      <c r="B336" s="728" t="s">
        <v>988</v>
      </c>
      <c r="C336" s="918">
        <v>0.15</v>
      </c>
      <c r="D336" s="918">
        <v>0.15</v>
      </c>
      <c r="E336" s="918">
        <v>0.15</v>
      </c>
      <c r="F336" s="919">
        <v>0.11799999999999999</v>
      </c>
    </row>
    <row r="337" spans="1:6" ht="14.25" thickBot="1">
      <c r="A337" s="744" t="s">
        <v>976</v>
      </c>
      <c r="B337" s="740" t="s">
        <v>400</v>
      </c>
      <c r="C337" s="928"/>
      <c r="D337" s="928"/>
      <c r="E337" s="928"/>
      <c r="F337" s="921">
        <v>0.14299999999999999</v>
      </c>
    </row>
    <row r="338" spans="1:6" ht="14.25" thickBot="1">
      <c r="A338" s="734" t="s">
        <v>989</v>
      </c>
      <c r="B338" s="735" t="s">
        <v>990</v>
      </c>
      <c r="C338" s="916">
        <v>0.15</v>
      </c>
      <c r="D338" s="916">
        <v>0.15</v>
      </c>
      <c r="E338" s="916">
        <v>0.15</v>
      </c>
      <c r="F338" s="933"/>
    </row>
    <row r="339" spans="1:6" ht="14.25" thickBot="1">
      <c r="A339" s="734" t="s">
        <v>989</v>
      </c>
      <c r="B339" s="728" t="s">
        <v>991</v>
      </c>
      <c r="C339" s="918">
        <v>0.15</v>
      </c>
      <c r="D339" s="918">
        <v>0.15</v>
      </c>
      <c r="E339" s="918">
        <v>0.15</v>
      </c>
      <c r="F339" s="930"/>
    </row>
    <row r="340" spans="1:6" ht="14.25" thickBot="1">
      <c r="A340" s="734" t="s">
        <v>989</v>
      </c>
      <c r="B340" s="728" t="s">
        <v>992</v>
      </c>
      <c r="C340" s="918">
        <v>0.15</v>
      </c>
      <c r="D340" s="918">
        <v>0.15</v>
      </c>
      <c r="E340" s="918">
        <v>0.15</v>
      </c>
      <c r="F340" s="930"/>
    </row>
    <row r="341" spans="1:6" ht="14.25" thickBot="1">
      <c r="A341" s="734" t="s">
        <v>989</v>
      </c>
      <c r="B341" s="728" t="s">
        <v>993</v>
      </c>
      <c r="C341" s="918">
        <v>0.15</v>
      </c>
      <c r="D341" s="918">
        <v>0.15</v>
      </c>
      <c r="E341" s="918">
        <v>0.15</v>
      </c>
      <c r="F341" s="919">
        <v>0.15</v>
      </c>
    </row>
    <row r="342" spans="1:6" ht="14.25" thickBot="1">
      <c r="A342" s="734" t="s">
        <v>989</v>
      </c>
      <c r="B342" s="728" t="s">
        <v>994</v>
      </c>
      <c r="C342" s="918">
        <v>0.15</v>
      </c>
      <c r="D342" s="918">
        <v>0.15</v>
      </c>
      <c r="E342" s="918">
        <v>0.15</v>
      </c>
      <c r="F342" s="919">
        <v>0.15</v>
      </c>
    </row>
    <row r="343" spans="1:6" ht="14.25" thickBot="1">
      <c r="A343" s="734" t="s">
        <v>989</v>
      </c>
      <c r="B343" s="728" t="s">
        <v>995</v>
      </c>
      <c r="C343" s="918">
        <v>0.15</v>
      </c>
      <c r="D343" s="918">
        <v>0.15</v>
      </c>
      <c r="E343" s="918">
        <v>0.15</v>
      </c>
      <c r="F343" s="919">
        <v>0.15</v>
      </c>
    </row>
    <row r="344" spans="1:6" ht="14.25" thickBot="1">
      <c r="A344" s="744" t="s">
        <v>989</v>
      </c>
      <c r="B344" s="740" t="s">
        <v>996</v>
      </c>
      <c r="C344" s="920">
        <v>0.15</v>
      </c>
      <c r="D344" s="920">
        <v>0.15</v>
      </c>
      <c r="E344" s="920">
        <v>0.15</v>
      </c>
      <c r="F344" s="92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391" t="s">
        <v>1278</v>
      </c>
      <c r="E1" s="1385" t="s">
        <v>1282</v>
      </c>
      <c r="F1" s="1386" t="s">
        <v>1286</v>
      </c>
    </row>
    <row r="2" spans="1:13" ht="20.25">
      <c r="A2" s="1392" t="s">
        <v>1279</v>
      </c>
    </row>
    <row r="3" spans="1:13" ht="16.5">
      <c r="A3" s="1393" t="s">
        <v>1280</v>
      </c>
    </row>
    <row r="4" spans="1:13" ht="14.25">
      <c r="A4" s="1383" t="s">
        <v>1281</v>
      </c>
      <c r="B4" s="1388" t="s">
        <v>1283</v>
      </c>
      <c r="C4" s="1389"/>
      <c r="D4" s="1390"/>
      <c r="E4" s="1388" t="s">
        <v>27</v>
      </c>
      <c r="F4" s="1389"/>
      <c r="G4" s="1390"/>
      <c r="H4" s="1388" t="s">
        <v>1284</v>
      </c>
      <c r="I4" s="1389"/>
      <c r="J4" s="1390"/>
      <c r="K4" s="1388" t="s">
        <v>6</v>
      </c>
      <c r="L4" s="1389"/>
      <c r="M4" s="1390"/>
    </row>
    <row r="5" spans="1:13" ht="14.25">
      <c r="A5" s="1384" t="s">
        <v>1285</v>
      </c>
      <c r="B5" s="1383" t="s">
        <v>1287</v>
      </c>
      <c r="C5" s="1383" t="s">
        <v>1288</v>
      </c>
      <c r="D5" s="1383" t="s">
        <v>1289</v>
      </c>
      <c r="E5" s="1383" t="s">
        <v>1287</v>
      </c>
      <c r="F5" s="1383" t="s">
        <v>1288</v>
      </c>
      <c r="G5" s="1383" t="s">
        <v>1289</v>
      </c>
      <c r="H5" s="1383" t="s">
        <v>1287</v>
      </c>
      <c r="I5" s="1383" t="s">
        <v>1288</v>
      </c>
      <c r="J5" s="1383" t="s">
        <v>1289</v>
      </c>
      <c r="K5" s="1383" t="s">
        <v>1287</v>
      </c>
      <c r="L5" s="1383" t="s">
        <v>1288</v>
      </c>
      <c r="M5" s="1383" t="s">
        <v>1289</v>
      </c>
    </row>
    <row r="6" spans="1:13" ht="14.25">
      <c r="A6" s="1387" t="s">
        <v>212</v>
      </c>
      <c r="B6" s="1394">
        <v>26980</v>
      </c>
      <c r="C6" s="1394">
        <v>32980</v>
      </c>
      <c r="D6" s="1394">
        <v>29980</v>
      </c>
      <c r="E6" s="1394">
        <v>26170</v>
      </c>
      <c r="F6" s="1394">
        <v>31990</v>
      </c>
      <c r="G6" s="1394">
        <v>29080</v>
      </c>
      <c r="H6" s="1394">
        <v>25850</v>
      </c>
      <c r="I6" s="1394">
        <v>31590</v>
      </c>
      <c r="J6" s="1394">
        <v>28720</v>
      </c>
      <c r="K6" s="1394">
        <v>9860</v>
      </c>
      <c r="L6" s="1395">
        <v>13340</v>
      </c>
      <c r="M6" s="1394">
        <v>11600</v>
      </c>
    </row>
    <row r="7" spans="1:13" ht="14.25">
      <c r="A7" s="1387" t="s">
        <v>269</v>
      </c>
      <c r="B7" s="1394">
        <v>21970</v>
      </c>
      <c r="C7" s="1394">
        <v>28730</v>
      </c>
      <c r="D7" s="1394">
        <v>25350</v>
      </c>
      <c r="E7" s="1394">
        <v>21480</v>
      </c>
      <c r="F7" s="1394">
        <v>28080</v>
      </c>
      <c r="G7" s="1394">
        <v>24780</v>
      </c>
      <c r="H7" s="1394">
        <v>21250</v>
      </c>
      <c r="I7" s="1394">
        <v>27790</v>
      </c>
      <c r="J7" s="1394">
        <v>24520</v>
      </c>
      <c r="K7" s="1394">
        <v>6660</v>
      </c>
      <c r="L7" s="1395">
        <v>10000</v>
      </c>
      <c r="M7" s="1394">
        <v>8330</v>
      </c>
    </row>
    <row r="8" spans="1:13" ht="14.25">
      <c r="A8" s="1387" t="s">
        <v>442</v>
      </c>
      <c r="B8" s="1394">
        <v>17430</v>
      </c>
      <c r="C8" s="1394">
        <v>24410</v>
      </c>
      <c r="D8" s="1394">
        <v>20920</v>
      </c>
      <c r="E8" s="1394">
        <v>17140</v>
      </c>
      <c r="F8" s="1394">
        <v>24000</v>
      </c>
      <c r="G8" s="1394">
        <v>20570</v>
      </c>
      <c r="H8" s="1394">
        <v>16990</v>
      </c>
      <c r="I8" s="1394">
        <v>23790</v>
      </c>
      <c r="J8" s="1394">
        <v>20390</v>
      </c>
      <c r="K8" s="1394">
        <v>4530</v>
      </c>
      <c r="L8" s="1395">
        <v>6790</v>
      </c>
      <c r="M8" s="1394">
        <v>5660</v>
      </c>
    </row>
    <row r="9" spans="1:13" ht="14.25">
      <c r="A9" s="1387" t="s">
        <v>137</v>
      </c>
      <c r="B9" s="1394">
        <v>13330</v>
      </c>
      <c r="C9" s="1394">
        <v>19990</v>
      </c>
      <c r="D9" s="1394">
        <v>16660</v>
      </c>
      <c r="E9" s="1394">
        <v>13160</v>
      </c>
      <c r="F9" s="1394">
        <v>19740</v>
      </c>
      <c r="G9" s="1394">
        <v>16450</v>
      </c>
      <c r="H9" s="1394">
        <v>13060</v>
      </c>
      <c r="I9" s="1394">
        <v>19600</v>
      </c>
      <c r="J9" s="1394">
        <v>16330</v>
      </c>
      <c r="K9" s="1394">
        <v>3090</v>
      </c>
      <c r="L9" s="1395">
        <v>4650</v>
      </c>
      <c r="M9" s="1394">
        <v>3870</v>
      </c>
    </row>
    <row r="10" spans="1:13" ht="14.25">
      <c r="A10" s="1387" t="s">
        <v>523</v>
      </c>
      <c r="B10" s="1394">
        <v>10420</v>
      </c>
      <c r="C10" s="1394">
        <v>15620</v>
      </c>
      <c r="D10" s="1394">
        <v>13020</v>
      </c>
      <c r="E10" s="1394">
        <v>10310</v>
      </c>
      <c r="F10" s="1394">
        <v>15470</v>
      </c>
      <c r="G10" s="1394">
        <v>12890</v>
      </c>
      <c r="H10" s="1394">
        <v>10250</v>
      </c>
      <c r="I10" s="1394">
        <v>15370</v>
      </c>
      <c r="J10" s="1394">
        <v>12810</v>
      </c>
      <c r="K10" s="1394">
        <v>2140</v>
      </c>
      <c r="L10" s="1395">
        <v>3200</v>
      </c>
      <c r="M10" s="1394">
        <v>2670</v>
      </c>
    </row>
    <row r="11" spans="1:13" ht="14.25">
      <c r="A11" s="1387" t="s">
        <v>56</v>
      </c>
      <c r="B11" s="1394">
        <v>8130</v>
      </c>
      <c r="C11" s="1394">
        <v>12190</v>
      </c>
      <c r="D11" s="1394">
        <v>10160</v>
      </c>
      <c r="E11" s="1394">
        <v>8060</v>
      </c>
      <c r="F11" s="1394">
        <v>12080</v>
      </c>
      <c r="G11" s="1394">
        <v>10070</v>
      </c>
      <c r="H11" s="1394">
        <v>8010</v>
      </c>
      <c r="I11" s="1394">
        <v>12010</v>
      </c>
      <c r="J11" s="1394">
        <v>10010</v>
      </c>
      <c r="K11" s="1394">
        <v>1490</v>
      </c>
      <c r="L11" s="1395">
        <v>2250</v>
      </c>
      <c r="M11" s="1394">
        <v>1870</v>
      </c>
    </row>
    <row r="12" spans="1:13" ht="14.25">
      <c r="A12" s="1387" t="s">
        <v>526</v>
      </c>
      <c r="B12" s="1394">
        <v>5940</v>
      </c>
      <c r="C12" s="1394">
        <v>8900</v>
      </c>
      <c r="D12" s="1394">
        <v>7420</v>
      </c>
      <c r="E12" s="1394">
        <v>5880</v>
      </c>
      <c r="F12" s="1394">
        <v>8820</v>
      </c>
      <c r="G12" s="1394">
        <v>7350</v>
      </c>
      <c r="H12" s="1394">
        <v>5840</v>
      </c>
      <c r="I12" s="1394">
        <v>8760</v>
      </c>
      <c r="J12" s="1394">
        <v>7300</v>
      </c>
      <c r="K12" s="1394">
        <v>1060</v>
      </c>
      <c r="L12" s="1395">
        <v>1600</v>
      </c>
      <c r="M12" s="1394">
        <v>1330</v>
      </c>
    </row>
    <row r="13" spans="1:13" ht="14.25">
      <c r="A13" s="1387" t="s">
        <v>528</v>
      </c>
      <c r="B13" s="1394">
        <v>3970</v>
      </c>
      <c r="C13" s="1394">
        <v>6330</v>
      </c>
      <c r="D13" s="1394">
        <v>5150</v>
      </c>
      <c r="E13" s="1394">
        <v>3920</v>
      </c>
      <c r="F13" s="1394">
        <v>6260</v>
      </c>
      <c r="G13" s="1394">
        <v>5090</v>
      </c>
      <c r="H13" s="1394">
        <v>3890</v>
      </c>
      <c r="I13" s="1394">
        <v>6210</v>
      </c>
      <c r="J13" s="1394">
        <v>5050</v>
      </c>
      <c r="K13" s="1394">
        <v>780</v>
      </c>
      <c r="L13" s="1395">
        <v>1160</v>
      </c>
      <c r="M13" s="1394">
        <v>970</v>
      </c>
    </row>
    <row r="14" spans="1:13" ht="14.25">
      <c r="A14" s="1387" t="s">
        <v>530</v>
      </c>
      <c r="B14" s="1394">
        <v>2680</v>
      </c>
      <c r="C14" s="1394">
        <v>4280</v>
      </c>
      <c r="D14" s="1394">
        <v>3480</v>
      </c>
      <c r="E14" s="1394">
        <v>2640</v>
      </c>
      <c r="F14" s="1394">
        <v>4220</v>
      </c>
      <c r="G14" s="1394">
        <v>3430</v>
      </c>
      <c r="H14" s="1394">
        <v>2620</v>
      </c>
      <c r="I14" s="1394">
        <v>4180</v>
      </c>
      <c r="J14" s="1394">
        <v>3400</v>
      </c>
      <c r="K14" s="1394">
        <v>580</v>
      </c>
      <c r="L14" s="1395">
        <v>880</v>
      </c>
      <c r="M14" s="1394">
        <v>730</v>
      </c>
    </row>
    <row r="15" spans="1:13" ht="14.25">
      <c r="A15" s="1387" t="s">
        <v>534</v>
      </c>
      <c r="B15" s="1394">
        <v>1700</v>
      </c>
      <c r="C15" s="1394">
        <v>2840</v>
      </c>
      <c r="D15" s="1394">
        <v>2270</v>
      </c>
      <c r="E15" s="1394">
        <v>1670</v>
      </c>
      <c r="F15" s="1394">
        <v>2790</v>
      </c>
      <c r="G15" s="1394">
        <v>2230</v>
      </c>
      <c r="H15" s="1394">
        <v>1650</v>
      </c>
      <c r="I15" s="1394">
        <v>2750</v>
      </c>
      <c r="J15" s="1394">
        <v>2200</v>
      </c>
      <c r="K15" s="1394">
        <v>450</v>
      </c>
      <c r="L15" s="1395">
        <v>670</v>
      </c>
      <c r="M15" s="1394">
        <v>560</v>
      </c>
    </row>
    <row r="16" spans="1:13" ht="14.25">
      <c r="A16" s="1387" t="s">
        <v>814</v>
      </c>
      <c r="B16" s="1394">
        <v>1070</v>
      </c>
      <c r="C16" s="1394">
        <v>1790</v>
      </c>
      <c r="D16" s="1394">
        <v>1430</v>
      </c>
      <c r="E16" s="1394">
        <v>1050</v>
      </c>
      <c r="F16" s="1394">
        <v>1750</v>
      </c>
      <c r="G16" s="1394">
        <v>1400</v>
      </c>
      <c r="H16" s="1394">
        <v>1030</v>
      </c>
      <c r="I16" s="1394">
        <v>1730</v>
      </c>
      <c r="J16" s="1394">
        <v>1380</v>
      </c>
      <c r="K16" s="1394">
        <v>350</v>
      </c>
      <c r="L16" s="1395">
        <v>530</v>
      </c>
      <c r="M16" s="1394">
        <v>440</v>
      </c>
    </row>
    <row r="17" spans="1:13" ht="14.25">
      <c r="A17" s="1387" t="s">
        <v>815</v>
      </c>
      <c r="B17" s="1394">
        <v>680</v>
      </c>
      <c r="C17" s="1394">
        <v>1120</v>
      </c>
      <c r="D17" s="1394">
        <v>900</v>
      </c>
      <c r="E17" s="1394">
        <v>650</v>
      </c>
      <c r="F17" s="1394">
        <v>1090</v>
      </c>
      <c r="G17" s="1394">
        <v>870</v>
      </c>
      <c r="H17" s="1394">
        <v>630</v>
      </c>
      <c r="I17" s="1394">
        <v>1070</v>
      </c>
      <c r="J17" s="1394">
        <v>850</v>
      </c>
      <c r="K17" s="1394">
        <v>280</v>
      </c>
      <c r="L17" s="1395">
        <v>420</v>
      </c>
      <c r="M17" s="1394">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0:D80"/>
  <sheetViews>
    <sheetView workbookViewId="0">
      <selection activeCell="B56" sqref="B56"/>
    </sheetView>
  </sheetViews>
  <sheetFormatPr defaultRowHeight="13.5"/>
  <sheetData>
    <row r="10" spans="2:4">
      <c r="B10">
        <v>1550</v>
      </c>
      <c r="C10">
        <v>500</v>
      </c>
      <c r="D10">
        <f>ROUND(B10*10000/C10,0)</f>
        <v>31000</v>
      </c>
    </row>
    <row r="11" spans="2:4">
      <c r="B11">
        <v>495</v>
      </c>
      <c r="C11">
        <v>150</v>
      </c>
      <c r="D11">
        <f t="shared" ref="D11:D74" si="0">ROUND(B11*10000/C11,0)</f>
        <v>33000</v>
      </c>
    </row>
    <row r="12" spans="2:4">
      <c r="B12">
        <v>468</v>
      </c>
      <c r="C12">
        <v>156</v>
      </c>
      <c r="D12">
        <f t="shared" si="0"/>
        <v>30000</v>
      </c>
    </row>
    <row r="13" spans="2:4">
      <c r="B13">
        <v>1140</v>
      </c>
      <c r="C13">
        <v>300</v>
      </c>
      <c r="D13">
        <f t="shared" si="0"/>
        <v>38000</v>
      </c>
    </row>
    <row r="14" spans="2:4">
      <c r="B14">
        <v>10800</v>
      </c>
      <c r="C14">
        <v>2700</v>
      </c>
      <c r="D14">
        <f t="shared" si="0"/>
        <v>40000</v>
      </c>
    </row>
    <row r="15" spans="2:4">
      <c r="B15">
        <v>493</v>
      </c>
      <c r="C15">
        <v>170</v>
      </c>
      <c r="D15">
        <f t="shared" si="0"/>
        <v>29000</v>
      </c>
    </row>
    <row r="16" spans="2:4">
      <c r="B16">
        <v>834.4</v>
      </c>
      <c r="C16">
        <v>298</v>
      </c>
      <c r="D16">
        <f t="shared" si="0"/>
        <v>28000</v>
      </c>
    </row>
    <row r="17" spans="2:4">
      <c r="B17">
        <v>436.8</v>
      </c>
      <c r="C17">
        <v>168</v>
      </c>
      <c r="D17">
        <f t="shared" si="0"/>
        <v>26000</v>
      </c>
    </row>
    <row r="18" spans="2:4">
      <c r="B18">
        <v>468</v>
      </c>
      <c r="C18">
        <v>180</v>
      </c>
      <c r="D18">
        <f t="shared" si="0"/>
        <v>26000</v>
      </c>
    </row>
    <row r="19" spans="2:4">
      <c r="B19">
        <v>2983</v>
      </c>
      <c r="C19">
        <v>785</v>
      </c>
      <c r="D19">
        <f t="shared" si="0"/>
        <v>38000</v>
      </c>
    </row>
    <row r="20" spans="2:4">
      <c r="B20">
        <v>1600</v>
      </c>
      <c r="C20">
        <v>400</v>
      </c>
      <c r="D20">
        <f t="shared" si="0"/>
        <v>40000</v>
      </c>
    </row>
    <row r="21" spans="2:4">
      <c r="B21">
        <v>1732.8</v>
      </c>
      <c r="C21">
        <v>456</v>
      </c>
      <c r="D21">
        <f t="shared" si="0"/>
        <v>38000</v>
      </c>
    </row>
    <row r="22" spans="2:4">
      <c r="B22">
        <v>4200</v>
      </c>
      <c r="C22">
        <v>676.56</v>
      </c>
      <c r="D22">
        <f t="shared" si="0"/>
        <v>62079</v>
      </c>
    </row>
    <row r="23" spans="2:4">
      <c r="B23">
        <v>912</v>
      </c>
      <c r="C23">
        <v>240</v>
      </c>
      <c r="D23">
        <f t="shared" si="0"/>
        <v>38000</v>
      </c>
    </row>
    <row r="24" spans="2:4">
      <c r="B24">
        <v>7000</v>
      </c>
      <c r="C24">
        <v>2000</v>
      </c>
      <c r="D24">
        <f t="shared" si="0"/>
        <v>35000</v>
      </c>
    </row>
    <row r="25" spans="2:4">
      <c r="B25">
        <v>1500.02</v>
      </c>
      <c r="C25">
        <v>462</v>
      </c>
      <c r="D25">
        <f t="shared" si="0"/>
        <v>32468</v>
      </c>
    </row>
    <row r="26" spans="2:4">
      <c r="B26">
        <v>5850</v>
      </c>
      <c r="C26">
        <v>1300</v>
      </c>
      <c r="D26">
        <f t="shared" si="0"/>
        <v>45000</v>
      </c>
    </row>
    <row r="27" spans="2:4">
      <c r="B27">
        <v>500</v>
      </c>
      <c r="C27">
        <v>160</v>
      </c>
      <c r="D27">
        <f t="shared" si="0"/>
        <v>31250</v>
      </c>
    </row>
    <row r="28" spans="2:4">
      <c r="B28">
        <v>1368</v>
      </c>
      <c r="C28">
        <v>456</v>
      </c>
      <c r="D28">
        <f t="shared" si="0"/>
        <v>30000</v>
      </c>
    </row>
    <row r="29" spans="2:4">
      <c r="B29">
        <v>2400</v>
      </c>
      <c r="C29">
        <v>1200</v>
      </c>
      <c r="D29">
        <f t="shared" si="0"/>
        <v>20000</v>
      </c>
    </row>
    <row r="30" spans="2:4">
      <c r="B30">
        <v>45400</v>
      </c>
      <c r="C30">
        <v>9460</v>
      </c>
      <c r="D30">
        <f t="shared" si="0"/>
        <v>47992</v>
      </c>
    </row>
    <row r="31" spans="2:4">
      <c r="B31">
        <v>2660</v>
      </c>
      <c r="C31">
        <v>1330</v>
      </c>
      <c r="D31">
        <f t="shared" si="0"/>
        <v>20000</v>
      </c>
    </row>
    <row r="32" spans="2:4">
      <c r="B32">
        <v>14400</v>
      </c>
      <c r="C32">
        <v>3000</v>
      </c>
      <c r="D32">
        <f t="shared" si="0"/>
        <v>48000</v>
      </c>
    </row>
    <row r="33" spans="2:4">
      <c r="B33">
        <v>602</v>
      </c>
      <c r="C33">
        <v>215</v>
      </c>
      <c r="D33">
        <f t="shared" si="0"/>
        <v>28000</v>
      </c>
    </row>
    <row r="34" spans="2:4">
      <c r="B34">
        <v>520</v>
      </c>
      <c r="C34">
        <v>200</v>
      </c>
      <c r="D34">
        <f t="shared" si="0"/>
        <v>26000</v>
      </c>
    </row>
    <row r="35" spans="2:4">
      <c r="B35">
        <v>970.66</v>
      </c>
      <c r="C35">
        <v>260</v>
      </c>
      <c r="D35">
        <f t="shared" si="0"/>
        <v>37333</v>
      </c>
    </row>
    <row r="36" spans="2:4">
      <c r="B36">
        <v>378</v>
      </c>
      <c r="C36">
        <v>90</v>
      </c>
      <c r="D36">
        <f t="shared" si="0"/>
        <v>42000</v>
      </c>
    </row>
    <row r="37" spans="2:4">
      <c r="B37">
        <v>630</v>
      </c>
      <c r="C37">
        <v>225</v>
      </c>
      <c r="D37">
        <f t="shared" si="0"/>
        <v>28000</v>
      </c>
    </row>
    <row r="38" spans="2:4">
      <c r="B38">
        <v>381.9</v>
      </c>
      <c r="C38">
        <v>134</v>
      </c>
      <c r="D38">
        <f t="shared" si="0"/>
        <v>28500</v>
      </c>
    </row>
    <row r="39" spans="2:4">
      <c r="B39">
        <v>634.6</v>
      </c>
      <c r="C39">
        <v>599.99</v>
      </c>
      <c r="D39">
        <f t="shared" si="0"/>
        <v>10577</v>
      </c>
    </row>
    <row r="40" spans="2:4">
      <c r="B40">
        <v>9600</v>
      </c>
      <c r="C40">
        <v>2400</v>
      </c>
      <c r="D40">
        <f t="shared" si="0"/>
        <v>40000</v>
      </c>
    </row>
    <row r="41" spans="2:4">
      <c r="B41">
        <v>766.65</v>
      </c>
      <c r="C41">
        <v>269</v>
      </c>
      <c r="D41">
        <f t="shared" si="0"/>
        <v>28500</v>
      </c>
    </row>
    <row r="42" spans="2:4">
      <c r="B42">
        <v>528</v>
      </c>
      <c r="C42">
        <v>160</v>
      </c>
      <c r="D42">
        <f t="shared" si="0"/>
        <v>33000</v>
      </c>
    </row>
    <row r="43" spans="2:4">
      <c r="B43">
        <v>990</v>
      </c>
      <c r="C43">
        <v>330</v>
      </c>
      <c r="D43">
        <f t="shared" si="0"/>
        <v>30000</v>
      </c>
    </row>
    <row r="44" spans="2:4">
      <c r="B44">
        <v>580</v>
      </c>
      <c r="C44">
        <v>150</v>
      </c>
      <c r="D44">
        <f t="shared" si="0"/>
        <v>38667</v>
      </c>
    </row>
    <row r="45" spans="2:4">
      <c r="B45">
        <v>3645</v>
      </c>
      <c r="C45">
        <v>1350</v>
      </c>
      <c r="D45">
        <f t="shared" si="0"/>
        <v>27000</v>
      </c>
    </row>
    <row r="46" spans="2:4">
      <c r="B46">
        <v>3200</v>
      </c>
      <c r="C46">
        <v>800</v>
      </c>
      <c r="D46">
        <f t="shared" si="0"/>
        <v>40000</v>
      </c>
    </row>
    <row r="47" spans="2:4">
      <c r="B47">
        <v>1600</v>
      </c>
      <c r="C47">
        <v>400</v>
      </c>
      <c r="D47">
        <f t="shared" si="0"/>
        <v>40000</v>
      </c>
    </row>
    <row r="48" spans="2:4">
      <c r="B48">
        <v>5250</v>
      </c>
      <c r="C48">
        <v>1750</v>
      </c>
      <c r="D48">
        <f t="shared" si="0"/>
        <v>30000</v>
      </c>
    </row>
    <row r="49" spans="2:4">
      <c r="B49">
        <v>2600</v>
      </c>
      <c r="C49">
        <v>1000</v>
      </c>
      <c r="D49">
        <f t="shared" si="0"/>
        <v>26000</v>
      </c>
    </row>
    <row r="50" spans="2:4">
      <c r="B50">
        <v>742</v>
      </c>
      <c r="C50">
        <v>265</v>
      </c>
      <c r="D50">
        <f t="shared" si="0"/>
        <v>28000</v>
      </c>
    </row>
    <row r="51" spans="2:4">
      <c r="B51">
        <v>556.5</v>
      </c>
      <c r="C51">
        <v>159</v>
      </c>
      <c r="D51">
        <f t="shared" si="0"/>
        <v>35000</v>
      </c>
    </row>
    <row r="52" spans="2:4">
      <c r="B52">
        <v>800</v>
      </c>
      <c r="C52">
        <v>280</v>
      </c>
      <c r="D52">
        <f t="shared" si="0"/>
        <v>28571</v>
      </c>
    </row>
    <row r="53" spans="2:4">
      <c r="B53">
        <v>375.2</v>
      </c>
      <c r="C53">
        <v>134</v>
      </c>
      <c r="D53">
        <f t="shared" si="0"/>
        <v>28000</v>
      </c>
    </row>
    <row r="54" spans="2:4">
      <c r="B54">
        <v>391.5</v>
      </c>
      <c r="C54">
        <v>135</v>
      </c>
      <c r="D54">
        <f t="shared" si="0"/>
        <v>29000</v>
      </c>
    </row>
    <row r="55" spans="2:4">
      <c r="B55">
        <v>660</v>
      </c>
      <c r="C55">
        <v>195</v>
      </c>
      <c r="D55">
        <f t="shared" si="0"/>
        <v>33846</v>
      </c>
    </row>
    <row r="56" spans="2:4">
      <c r="D56" t="e">
        <f t="shared" si="0"/>
        <v>#DIV/0!</v>
      </c>
    </row>
    <row r="57" spans="2:4">
      <c r="D57" t="e">
        <f t="shared" si="0"/>
        <v>#DIV/0!</v>
      </c>
    </row>
    <row r="58" spans="2:4">
      <c r="D58" t="e">
        <f t="shared" si="0"/>
        <v>#DIV/0!</v>
      </c>
    </row>
    <row r="59" spans="2:4">
      <c r="D59" t="e">
        <f t="shared" si="0"/>
        <v>#DIV/0!</v>
      </c>
    </row>
    <row r="60" spans="2:4">
      <c r="D60" t="e">
        <f t="shared" si="0"/>
        <v>#DIV/0!</v>
      </c>
    </row>
    <row r="61" spans="2:4">
      <c r="D61" t="e">
        <f t="shared" si="0"/>
        <v>#DIV/0!</v>
      </c>
    </row>
    <row r="62" spans="2:4">
      <c r="D62" t="e">
        <f t="shared" si="0"/>
        <v>#DIV/0!</v>
      </c>
    </row>
    <row r="63" spans="2:4">
      <c r="D63" t="e">
        <f t="shared" si="0"/>
        <v>#DIV/0!</v>
      </c>
    </row>
    <row r="64" spans="2:4">
      <c r="D64" t="e">
        <f t="shared" si="0"/>
        <v>#DIV/0!</v>
      </c>
    </row>
    <row r="65" spans="4:4">
      <c r="D65" t="e">
        <f t="shared" si="0"/>
        <v>#DIV/0!</v>
      </c>
    </row>
    <row r="66" spans="4:4">
      <c r="D66" t="e">
        <f t="shared" si="0"/>
        <v>#DIV/0!</v>
      </c>
    </row>
    <row r="67" spans="4:4">
      <c r="D67" t="e">
        <f t="shared" si="0"/>
        <v>#DIV/0!</v>
      </c>
    </row>
    <row r="68" spans="4:4">
      <c r="D68" t="e">
        <f t="shared" si="0"/>
        <v>#DIV/0!</v>
      </c>
    </row>
    <row r="69" spans="4:4">
      <c r="D69" t="e">
        <f t="shared" si="0"/>
        <v>#DIV/0!</v>
      </c>
    </row>
    <row r="70" spans="4:4">
      <c r="D70" t="e">
        <f t="shared" si="0"/>
        <v>#DIV/0!</v>
      </c>
    </row>
    <row r="71" spans="4:4">
      <c r="D71" t="e">
        <f t="shared" si="0"/>
        <v>#DIV/0!</v>
      </c>
    </row>
    <row r="72" spans="4:4">
      <c r="D72" t="e">
        <f t="shared" si="0"/>
        <v>#DIV/0!</v>
      </c>
    </row>
    <row r="73" spans="4:4">
      <c r="D73" t="e">
        <f t="shared" si="0"/>
        <v>#DIV/0!</v>
      </c>
    </row>
    <row r="74" spans="4:4">
      <c r="D74" t="e">
        <f t="shared" si="0"/>
        <v>#DIV/0!</v>
      </c>
    </row>
    <row r="75" spans="4:4">
      <c r="D75" t="e">
        <f t="shared" ref="D75:D80" si="1">ROUND(B75*10000/C75,0)</f>
        <v>#DIV/0!</v>
      </c>
    </row>
    <row r="76" spans="4:4">
      <c r="D76" t="e">
        <f t="shared" si="1"/>
        <v>#DIV/0!</v>
      </c>
    </row>
    <row r="77" spans="4:4">
      <c r="D77" t="e">
        <f t="shared" si="1"/>
        <v>#DIV/0!</v>
      </c>
    </row>
    <row r="78" spans="4:4">
      <c r="D78" t="e">
        <f t="shared" si="1"/>
        <v>#DIV/0!</v>
      </c>
    </row>
    <row r="79" spans="4:4">
      <c r="D79" t="e">
        <f t="shared" si="1"/>
        <v>#DIV/0!</v>
      </c>
    </row>
    <row r="80" spans="4:4">
      <c r="D80" t="e">
        <f t="shared" si="1"/>
        <v>#DIV/0!</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7:BU83"/>
  <sheetViews>
    <sheetView workbookViewId="0">
      <selection activeCell="AE42" sqref="AE42"/>
    </sheetView>
  </sheetViews>
  <sheetFormatPr defaultRowHeight="13.5"/>
  <cols>
    <col min="1" max="1" width="18.625" customWidth="1"/>
    <col min="4" max="4" width="11.25" bestFit="1" customWidth="1"/>
    <col min="10" max="10" width="9.125" bestFit="1" customWidth="1"/>
    <col min="12" max="13" width="9.125" bestFit="1" customWidth="1"/>
    <col min="17" max="19" width="9.125" bestFit="1" customWidth="1"/>
    <col min="20" max="20" width="18.625" bestFit="1" customWidth="1"/>
    <col min="21" max="23" width="9.125" bestFit="1" customWidth="1"/>
    <col min="24" max="24" width="18.625" bestFit="1" customWidth="1"/>
    <col min="25" max="28" width="9.125" bestFit="1" customWidth="1"/>
    <col min="34" max="34" width="9.125" bestFit="1" customWidth="1"/>
    <col min="38" max="38" width="9.125" bestFit="1" customWidth="1"/>
    <col min="51" max="51" width="9.125" bestFit="1" customWidth="1"/>
    <col min="57" max="57" width="11.25" bestFit="1" customWidth="1"/>
    <col min="59" max="59" width="13.75" bestFit="1" customWidth="1"/>
    <col min="62" max="62" width="12.75" bestFit="1" customWidth="1"/>
    <col min="69" max="70" width="9.125" bestFit="1" customWidth="1"/>
  </cols>
  <sheetData>
    <row r="27" spans="1:73" s="3011" customFormat="1" ht="14.25" customHeight="1">
      <c r="A27" s="2989"/>
      <c r="B27" s="2990"/>
      <c r="C27" s="2991"/>
      <c r="D27" s="2991"/>
      <c r="E27" s="2991"/>
      <c r="F27" s="2991"/>
      <c r="G27" s="2991"/>
      <c r="H27" s="2991"/>
      <c r="I27" s="2991"/>
      <c r="J27" s="2991"/>
      <c r="K27" s="2992"/>
      <c r="L27" s="2993"/>
      <c r="M27" s="2992"/>
      <c r="N27" s="2994"/>
      <c r="O27" s="2993"/>
      <c r="P27" s="2994"/>
      <c r="Q27" s="2993"/>
      <c r="R27" s="2993"/>
      <c r="S27" s="2993"/>
      <c r="T27" s="2995"/>
      <c r="U27" s="2993"/>
      <c r="V27" s="2993" t="s">
        <v>3311</v>
      </c>
      <c r="W27" s="2993"/>
      <c r="X27" s="2995"/>
      <c r="Y27" s="2993"/>
      <c r="Z27" s="2993" t="s">
        <v>3312</v>
      </c>
      <c r="AA27" s="2993"/>
      <c r="AB27" s="2993"/>
      <c r="AC27" s="2994"/>
      <c r="AD27" s="2996"/>
      <c r="AE27" s="2994"/>
      <c r="AF27" s="2990"/>
      <c r="AG27" s="2990"/>
      <c r="AH27" s="2997"/>
      <c r="AI27" s="2990"/>
      <c r="AJ27" s="2998"/>
      <c r="AK27" s="2990"/>
      <c r="AL27" s="2999"/>
      <c r="AM27" s="3000"/>
      <c r="AN27" s="3001" t="s">
        <v>3313</v>
      </c>
      <c r="AO27" s="3001" t="s">
        <v>3314</v>
      </c>
      <c r="AP27" s="3001"/>
      <c r="AQ27" s="3001"/>
      <c r="AR27" s="3002"/>
      <c r="AS27" s="3002" t="s">
        <v>3315</v>
      </c>
      <c r="AT27" s="3002"/>
      <c r="AU27" s="3002"/>
      <c r="AV27" s="3001"/>
      <c r="AW27" s="3003"/>
      <c r="AX27" s="3003"/>
      <c r="AY27" s="3004"/>
      <c r="AZ27" s="3003"/>
      <c r="BA27" s="3003"/>
      <c r="BB27" s="3004"/>
      <c r="BC27" s="3003"/>
      <c r="BD27" s="3005"/>
      <c r="BE27" s="3003"/>
      <c r="BF27" s="3006"/>
      <c r="BG27" s="3007"/>
      <c r="BH27" s="3003"/>
      <c r="BI27" s="3003"/>
      <c r="BJ27" s="3008" t="s">
        <v>3316</v>
      </c>
      <c r="BK27" s="3009" t="s">
        <v>3317</v>
      </c>
      <c r="BL27" s="2992"/>
      <c r="BM27" s="3010"/>
      <c r="BN27" s="3010"/>
      <c r="BO27" s="3010"/>
      <c r="BP27" s="3010"/>
      <c r="BQ27" s="3002"/>
      <c r="BR27" s="3002"/>
    </row>
    <row r="28" spans="1:73" s="3023" customFormat="1" ht="15.75">
      <c r="A28" s="3012" t="s">
        <v>608</v>
      </c>
      <c r="B28" s="3001" t="s">
        <v>3318</v>
      </c>
      <c r="C28" s="3012" t="s">
        <v>3319</v>
      </c>
      <c r="D28" s="3012" t="s">
        <v>3320</v>
      </c>
      <c r="E28" s="3012" t="s">
        <v>3321</v>
      </c>
      <c r="F28" s="3012" t="s">
        <v>3322</v>
      </c>
      <c r="G28" s="3012" t="s">
        <v>3323</v>
      </c>
      <c r="H28" s="3012" t="s">
        <v>3324</v>
      </c>
      <c r="I28" s="3012" t="s">
        <v>3325</v>
      </c>
      <c r="J28" s="3012" t="s">
        <v>3326</v>
      </c>
      <c r="K28" s="3001" t="s">
        <v>3327</v>
      </c>
      <c r="L28" s="3013" t="s">
        <v>3328</v>
      </c>
      <c r="M28" s="3014" t="s">
        <v>3329</v>
      </c>
      <c r="N28" s="3001" t="s">
        <v>3330</v>
      </c>
      <c r="O28" s="3001" t="s">
        <v>3331</v>
      </c>
      <c r="P28" s="3001" t="s">
        <v>3332</v>
      </c>
      <c r="Q28" s="3013" t="s">
        <v>3333</v>
      </c>
      <c r="R28" s="3013" t="s">
        <v>3334</v>
      </c>
      <c r="S28" s="3013" t="s">
        <v>3335</v>
      </c>
      <c r="T28" s="3015" t="s">
        <v>3336</v>
      </c>
      <c r="U28" s="3013" t="s">
        <v>3337</v>
      </c>
      <c r="V28" s="3013" t="s">
        <v>3338</v>
      </c>
      <c r="W28" s="3013" t="s">
        <v>3339</v>
      </c>
      <c r="X28" s="3015" t="s">
        <v>3340</v>
      </c>
      <c r="Y28" s="3013" t="s">
        <v>3341</v>
      </c>
      <c r="Z28" s="3013" t="s">
        <v>3342</v>
      </c>
      <c r="AA28" s="3013" t="s">
        <v>3343</v>
      </c>
      <c r="AB28" s="3013" t="s">
        <v>3344</v>
      </c>
      <c r="AC28" s="3001" t="s">
        <v>3345</v>
      </c>
      <c r="AD28" s="2999" t="s">
        <v>3346</v>
      </c>
      <c r="AE28" s="3001" t="s">
        <v>3347</v>
      </c>
      <c r="AF28" s="3001" t="s">
        <v>3348</v>
      </c>
      <c r="AG28" s="3001" t="s">
        <v>3349</v>
      </c>
      <c r="AH28" s="3001" t="s">
        <v>3350</v>
      </c>
      <c r="AI28" s="3001" t="s">
        <v>3351</v>
      </c>
      <c r="AJ28" s="3016" t="s">
        <v>3352</v>
      </c>
      <c r="AK28" s="3001" t="s">
        <v>3353</v>
      </c>
      <c r="AL28" s="2999" t="s">
        <v>3354</v>
      </c>
      <c r="AM28" s="3000" t="s">
        <v>3355</v>
      </c>
      <c r="AN28" s="3001" t="s">
        <v>3356</v>
      </c>
      <c r="AO28" s="3001" t="s">
        <v>3357</v>
      </c>
      <c r="AP28" s="3001" t="s">
        <v>3358</v>
      </c>
      <c r="AQ28" s="3001" t="s">
        <v>3359</v>
      </c>
      <c r="AR28" s="3002" t="s">
        <v>3360</v>
      </c>
      <c r="AS28" s="3002" t="s">
        <v>3342</v>
      </c>
      <c r="AT28" s="3002" t="s">
        <v>3343</v>
      </c>
      <c r="AU28" s="3002" t="s">
        <v>3361</v>
      </c>
      <c r="AV28" s="2999" t="s">
        <v>3362</v>
      </c>
      <c r="AW28" s="3017" t="s">
        <v>3363</v>
      </c>
      <c r="AX28" s="3018" t="s">
        <v>3364</v>
      </c>
      <c r="AY28" s="3019" t="s">
        <v>3365</v>
      </c>
      <c r="AZ28" s="3017" t="s">
        <v>3366</v>
      </c>
      <c r="BA28" s="3017" t="s">
        <v>3367</v>
      </c>
      <c r="BB28" s="3019" t="s">
        <v>3368</v>
      </c>
      <c r="BC28" s="3017" t="s">
        <v>3369</v>
      </c>
      <c r="BD28" s="3020" t="s">
        <v>3370</v>
      </c>
      <c r="BE28" s="3017" t="s">
        <v>3371</v>
      </c>
      <c r="BF28" s="3021" t="s">
        <v>3372</v>
      </c>
      <c r="BG28" s="3022" t="s">
        <v>3373</v>
      </c>
      <c r="BH28" s="3022" t="s">
        <v>3374</v>
      </c>
      <c r="BI28" s="3022" t="s">
        <v>3375</v>
      </c>
      <c r="BJ28" s="3008" t="s">
        <v>3376</v>
      </c>
      <c r="BK28" s="3009" t="s">
        <v>3377</v>
      </c>
      <c r="BL28" s="3002" t="s">
        <v>3378</v>
      </c>
      <c r="BM28" s="3010" t="s">
        <v>3379</v>
      </c>
      <c r="BN28" s="3010" t="s">
        <v>3380</v>
      </c>
      <c r="BO28" s="3010" t="s">
        <v>3381</v>
      </c>
      <c r="BP28" s="3010"/>
      <c r="BQ28" s="3002" t="s">
        <v>3382</v>
      </c>
      <c r="BR28" s="3002" t="s">
        <v>3383</v>
      </c>
    </row>
    <row r="29" spans="1:73" s="3041" customFormat="1" ht="12" customHeight="1">
      <c r="A29" s="3024" t="s">
        <v>3384</v>
      </c>
      <c r="B29" s="3024" t="s">
        <v>3385</v>
      </c>
      <c r="C29" s="3025" t="s">
        <v>3386</v>
      </c>
      <c r="D29" s="3024">
        <v>13681499980</v>
      </c>
      <c r="E29" s="3024" t="s">
        <v>724</v>
      </c>
      <c r="F29" s="3024" t="s">
        <v>3387</v>
      </c>
      <c r="G29" s="3024"/>
      <c r="H29" s="3024" t="s">
        <v>3388</v>
      </c>
      <c r="I29" s="3024" t="s">
        <v>3389</v>
      </c>
      <c r="J29" s="3026">
        <v>401</v>
      </c>
      <c r="K29" s="3024" t="s">
        <v>3385</v>
      </c>
      <c r="L29" s="3027">
        <v>79.5</v>
      </c>
      <c r="M29" s="3024">
        <v>4</v>
      </c>
      <c r="N29" s="3024" t="s">
        <v>3390</v>
      </c>
      <c r="O29" s="3024"/>
      <c r="P29" s="3024" t="s">
        <v>3391</v>
      </c>
      <c r="Q29" s="3024">
        <v>1750000</v>
      </c>
      <c r="R29" s="3024">
        <v>22013</v>
      </c>
      <c r="S29" s="3028">
        <v>188.85</v>
      </c>
      <c r="T29" s="3029">
        <v>1888500</v>
      </c>
      <c r="U29" s="3024">
        <v>23755</v>
      </c>
      <c r="V29" s="3030">
        <v>0.2</v>
      </c>
      <c r="W29" s="3028">
        <v>151.08000000000001</v>
      </c>
      <c r="X29" s="3031">
        <v>1510800.0000000002</v>
      </c>
      <c r="Y29" s="3032">
        <v>2013</v>
      </c>
      <c r="Z29" s="3032">
        <v>8</v>
      </c>
      <c r="AA29" s="3024">
        <v>14</v>
      </c>
      <c r="AB29" s="3024">
        <v>1500</v>
      </c>
      <c r="AC29" s="3024" t="s">
        <v>3392</v>
      </c>
      <c r="AD29" s="3026" t="s">
        <v>3393</v>
      </c>
      <c r="AE29" s="3024" t="s">
        <v>3394</v>
      </c>
      <c r="AF29" s="3024" t="s">
        <v>3122</v>
      </c>
      <c r="AG29" s="3024" t="s">
        <v>3395</v>
      </c>
      <c r="AH29" s="3024">
        <v>27925</v>
      </c>
      <c r="AI29" s="3024" t="s">
        <v>3396</v>
      </c>
      <c r="AJ29" s="3033"/>
      <c r="AK29" s="3034" t="s">
        <v>3397</v>
      </c>
      <c r="AL29" s="3024">
        <v>31</v>
      </c>
      <c r="AM29" s="3024" t="s">
        <v>3398</v>
      </c>
      <c r="AN29" s="3032" t="s">
        <v>3399</v>
      </c>
      <c r="AO29" s="3024"/>
      <c r="AP29" s="3032" t="s">
        <v>3400</v>
      </c>
      <c r="AQ29" s="3032" t="s">
        <v>3401</v>
      </c>
      <c r="AR29" s="3024"/>
      <c r="AS29" s="3024"/>
      <c r="AT29" s="3024"/>
      <c r="AU29" s="3024"/>
      <c r="AV29" s="3024"/>
      <c r="AW29" s="3024" t="s">
        <v>3402</v>
      </c>
      <c r="AX29" s="3024" t="s">
        <v>3403</v>
      </c>
      <c r="AY29" s="3035" t="s">
        <v>3404</v>
      </c>
      <c r="AZ29" s="3024" t="s">
        <v>3405</v>
      </c>
      <c r="BA29" s="3024"/>
      <c r="BB29" s="3035"/>
      <c r="BC29" s="3024"/>
      <c r="BD29" s="3036"/>
      <c r="BE29" s="3024">
        <v>13718372056</v>
      </c>
      <c r="BF29" s="3037"/>
      <c r="BG29" s="3033">
        <v>41460</v>
      </c>
      <c r="BH29" s="3024"/>
      <c r="BI29" s="3032" t="s">
        <v>3400</v>
      </c>
      <c r="BJ29" s="3038">
        <v>41465</v>
      </c>
      <c r="BK29" s="3033"/>
      <c r="BL29" s="3032" t="s">
        <v>3406</v>
      </c>
      <c r="BM29" s="3032" t="s">
        <v>3407</v>
      </c>
      <c r="BN29" s="3032" t="s">
        <v>3408</v>
      </c>
      <c r="BO29" s="3024" t="s">
        <v>3409</v>
      </c>
      <c r="BP29" s="3024"/>
      <c r="BQ29" s="3032" t="e">
        <v>#DIV/0!</v>
      </c>
      <c r="BR29" s="3032" t="e">
        <v>#DIV/0!</v>
      </c>
      <c r="BS29" s="3039" t="s">
        <v>3410</v>
      </c>
      <c r="BT29" s="3039" t="s">
        <v>3411</v>
      </c>
      <c r="BU29" s="3040"/>
    </row>
    <row r="30" spans="1:73" s="3041" customFormat="1" ht="12" customHeight="1">
      <c r="A30" s="3042" t="s">
        <v>3412</v>
      </c>
      <c r="B30" s="3024" t="s">
        <v>3413</v>
      </c>
      <c r="C30" s="3043" t="s">
        <v>3414</v>
      </c>
      <c r="D30" s="3044" t="s">
        <v>3415</v>
      </c>
      <c r="E30" s="3024" t="s">
        <v>724</v>
      </c>
      <c r="F30" s="3024" t="s">
        <v>3387</v>
      </c>
      <c r="G30" s="3024"/>
      <c r="H30" s="3024" t="s">
        <v>3416</v>
      </c>
      <c r="I30" s="3024" t="s">
        <v>3417</v>
      </c>
      <c r="J30" s="3026">
        <v>402</v>
      </c>
      <c r="K30" s="3024" t="s">
        <v>3418</v>
      </c>
      <c r="L30" s="3024">
        <v>69.52</v>
      </c>
      <c r="M30" s="3024">
        <v>4</v>
      </c>
      <c r="N30" s="3024" t="s">
        <v>3419</v>
      </c>
      <c r="O30" s="3024"/>
      <c r="P30" s="3024" t="s">
        <v>3391</v>
      </c>
      <c r="Q30" s="3024">
        <v>1150000</v>
      </c>
      <c r="R30" s="3024">
        <v>16542</v>
      </c>
      <c r="S30" s="3028">
        <v>185.87</v>
      </c>
      <c r="T30" s="3031">
        <v>1858700</v>
      </c>
      <c r="U30" s="3024">
        <v>26737</v>
      </c>
      <c r="V30" s="3030">
        <v>0.2</v>
      </c>
      <c r="W30" s="3028">
        <v>148.69</v>
      </c>
      <c r="X30" s="3031">
        <v>1486900</v>
      </c>
      <c r="Y30" s="3024">
        <v>2013</v>
      </c>
      <c r="Z30" s="3024">
        <v>9</v>
      </c>
      <c r="AA30" s="3024">
        <v>6</v>
      </c>
      <c r="AB30" s="3024">
        <v>1500</v>
      </c>
      <c r="AC30" s="3024" t="s">
        <v>3392</v>
      </c>
      <c r="AD30" s="3035" t="s">
        <v>3420</v>
      </c>
      <c r="AE30" s="3024" t="s">
        <v>3421</v>
      </c>
      <c r="AF30" s="3024" t="s">
        <v>3422</v>
      </c>
      <c r="AG30" s="3024" t="s">
        <v>3395</v>
      </c>
      <c r="AH30" s="3024">
        <v>28193</v>
      </c>
      <c r="AI30" s="3024" t="s">
        <v>3396</v>
      </c>
      <c r="AJ30" s="3033"/>
      <c r="AK30" s="3034" t="s">
        <v>3423</v>
      </c>
      <c r="AL30" s="3024">
        <v>31</v>
      </c>
      <c r="AM30" s="3024" t="s">
        <v>3424</v>
      </c>
      <c r="AN30" s="3045" t="s">
        <v>3425</v>
      </c>
      <c r="AO30" s="3024"/>
      <c r="AP30" s="3035" t="s">
        <v>3426</v>
      </c>
      <c r="AQ30" s="3032" t="s">
        <v>3401</v>
      </c>
      <c r="AR30" s="3046"/>
      <c r="AS30" s="3046"/>
      <c r="AT30" s="3046"/>
      <c r="AU30" s="3024"/>
      <c r="AV30" s="3024"/>
      <c r="AW30" s="3024" t="s">
        <v>3427</v>
      </c>
      <c r="AX30" s="3024" t="s">
        <v>3403</v>
      </c>
      <c r="AY30" s="3035" t="s">
        <v>3428</v>
      </c>
      <c r="AZ30" s="3024" t="s">
        <v>3418</v>
      </c>
      <c r="BA30" s="3024"/>
      <c r="BB30" s="3035"/>
      <c r="BC30" s="3024"/>
      <c r="BD30" s="3036"/>
      <c r="BE30" s="3024">
        <v>18610350103</v>
      </c>
      <c r="BF30" s="3037"/>
      <c r="BG30" s="3033">
        <v>41421</v>
      </c>
      <c r="BH30" s="3024"/>
      <c r="BI30" s="3035" t="s">
        <v>3426</v>
      </c>
      <c r="BJ30" s="3038">
        <v>41467</v>
      </c>
      <c r="BK30" s="3047"/>
      <c r="BL30" s="3024" t="s">
        <v>3429</v>
      </c>
      <c r="BM30" s="3032" t="s">
        <v>3407</v>
      </c>
      <c r="BN30" s="3032" t="s">
        <v>3430</v>
      </c>
      <c r="BO30" s="3032" t="s">
        <v>3431</v>
      </c>
      <c r="BP30" s="3032"/>
      <c r="BQ30" s="3032" t="e">
        <v>#DIV/0!</v>
      </c>
      <c r="BR30" s="3032" t="e">
        <v>#DIV/0!</v>
      </c>
      <c r="BS30" s="3039" t="s">
        <v>3432</v>
      </c>
      <c r="BT30" s="3039" t="s">
        <v>3411</v>
      </c>
    </row>
    <row r="31" spans="1:73" s="3067" customFormat="1" ht="12" customHeight="1">
      <c r="A31" s="3048" t="s">
        <v>3433</v>
      </c>
      <c r="B31" s="3049" t="s">
        <v>3434</v>
      </c>
      <c r="C31" s="3050" t="s">
        <v>3435</v>
      </c>
      <c r="D31" s="3050" t="s">
        <v>3436</v>
      </c>
      <c r="E31" s="3049" t="s">
        <v>724</v>
      </c>
      <c r="F31" s="3049" t="s">
        <v>3387</v>
      </c>
      <c r="G31" s="3049"/>
      <c r="H31" s="3049" t="s">
        <v>3437</v>
      </c>
      <c r="I31" s="3049" t="s">
        <v>3438</v>
      </c>
      <c r="J31" s="3050">
        <v>501</v>
      </c>
      <c r="K31" s="3049" t="s">
        <v>3434</v>
      </c>
      <c r="L31" s="3051">
        <v>78.349999999999994</v>
      </c>
      <c r="M31" s="3049">
        <v>5</v>
      </c>
      <c r="N31" s="3049" t="s">
        <v>3390</v>
      </c>
      <c r="O31" s="3049"/>
      <c r="P31" s="3049" t="s">
        <v>3391</v>
      </c>
      <c r="Q31" s="3052">
        <v>900000</v>
      </c>
      <c r="R31" s="3051">
        <v>11487</v>
      </c>
      <c r="S31" s="3053">
        <v>206.43</v>
      </c>
      <c r="T31" s="3054">
        <v>2064300</v>
      </c>
      <c r="U31" s="3051">
        <v>26348</v>
      </c>
      <c r="V31" s="3055">
        <v>0.2</v>
      </c>
      <c r="W31" s="3053">
        <v>165.14</v>
      </c>
      <c r="X31" s="3054">
        <v>1651399.9999999998</v>
      </c>
      <c r="Y31" s="3056">
        <v>2013</v>
      </c>
      <c r="Z31" s="3056">
        <v>10</v>
      </c>
      <c r="AA31" s="3056">
        <v>14</v>
      </c>
      <c r="AB31" s="3051">
        <v>1500</v>
      </c>
      <c r="AC31" s="3048" t="s">
        <v>3392</v>
      </c>
      <c r="AD31" s="3057" t="s">
        <v>3439</v>
      </c>
      <c r="AE31" s="3058" t="s">
        <v>3440</v>
      </c>
      <c r="AF31" s="3049" t="s">
        <v>3422</v>
      </c>
      <c r="AG31" s="3049" t="s">
        <v>3441</v>
      </c>
      <c r="AH31" s="3049">
        <v>29866</v>
      </c>
      <c r="AI31" s="3049" t="s">
        <v>3396</v>
      </c>
      <c r="AJ31" s="3059"/>
      <c r="AK31" s="3060" t="s">
        <v>3442</v>
      </c>
      <c r="AL31" s="3061">
        <v>30</v>
      </c>
      <c r="AM31" s="3049"/>
      <c r="AN31" s="3061" t="s">
        <v>3399</v>
      </c>
      <c r="AO31" s="3058"/>
      <c r="AP31" s="3058" t="s">
        <v>3443</v>
      </c>
      <c r="AQ31" s="3058" t="s">
        <v>3401</v>
      </c>
      <c r="AR31" s="3058"/>
      <c r="AS31" s="3058"/>
      <c r="AT31" s="3058"/>
      <c r="AU31" s="3058"/>
      <c r="AV31" s="3058"/>
      <c r="AW31" s="3058" t="s">
        <v>3444</v>
      </c>
      <c r="AX31" s="3058" t="s">
        <v>3403</v>
      </c>
      <c r="AY31" s="3062">
        <v>801606</v>
      </c>
      <c r="AZ31" s="3058" t="s">
        <v>3445</v>
      </c>
      <c r="BA31" s="3058"/>
      <c r="BB31" s="3062"/>
      <c r="BC31" s="3058"/>
      <c r="BD31" s="3063"/>
      <c r="BE31" s="3058">
        <v>15611729664</v>
      </c>
      <c r="BF31" s="3064"/>
      <c r="BG31" s="3065">
        <v>41523</v>
      </c>
      <c r="BH31" s="3058"/>
      <c r="BI31" s="3058" t="s">
        <v>3443</v>
      </c>
      <c r="BJ31" s="3066">
        <v>41533</v>
      </c>
      <c r="BK31" s="3066"/>
      <c r="BL31" s="3049" t="s">
        <v>3429</v>
      </c>
      <c r="BM31" s="3058" t="s">
        <v>3407</v>
      </c>
      <c r="BN31" s="3058" t="s">
        <v>3430</v>
      </c>
      <c r="BO31" s="3058" t="s">
        <v>3431</v>
      </c>
      <c r="BP31" s="3058"/>
      <c r="BQ31" s="3058" t="e">
        <v>#DIV/0!</v>
      </c>
      <c r="BR31" s="3058" t="e">
        <v>#DIV/0!</v>
      </c>
      <c r="BS31" s="3039" t="s">
        <v>3446</v>
      </c>
      <c r="BT31" s="3039" t="s">
        <v>3411</v>
      </c>
    </row>
    <row r="32" spans="1:73" s="3085" customFormat="1" ht="12" customHeight="1">
      <c r="A32" s="3068" t="s">
        <v>3447</v>
      </c>
      <c r="B32" s="3068" t="s">
        <v>3448</v>
      </c>
      <c r="C32" s="3069" t="s">
        <v>3449</v>
      </c>
      <c r="D32" s="3069" t="s">
        <v>3450</v>
      </c>
      <c r="E32" s="3068" t="s">
        <v>724</v>
      </c>
      <c r="F32" s="3068" t="s">
        <v>3451</v>
      </c>
      <c r="G32" s="3068"/>
      <c r="H32" s="3068" t="s">
        <v>3452</v>
      </c>
      <c r="I32" s="3068" t="s">
        <v>3453</v>
      </c>
      <c r="J32" s="3069" t="s">
        <v>3454</v>
      </c>
      <c r="K32" s="3068" t="s">
        <v>3455</v>
      </c>
      <c r="L32" s="3070">
        <v>69.52</v>
      </c>
      <c r="M32" s="3068">
        <v>2</v>
      </c>
      <c r="N32" s="3068" t="s">
        <v>3419</v>
      </c>
      <c r="O32" s="3068"/>
      <c r="P32" s="3068" t="s">
        <v>3391</v>
      </c>
      <c r="Q32" s="3071">
        <v>1000000</v>
      </c>
      <c r="R32" s="3068">
        <v>14384</v>
      </c>
      <c r="S32" s="3072">
        <v>189.49</v>
      </c>
      <c r="T32" s="3073">
        <v>1894900</v>
      </c>
      <c r="U32" s="3068">
        <v>27258</v>
      </c>
      <c r="V32" s="3074">
        <v>0.2</v>
      </c>
      <c r="W32" s="3072">
        <v>151.59</v>
      </c>
      <c r="X32" s="3075">
        <v>1515900</v>
      </c>
      <c r="Y32" s="3076">
        <v>2013</v>
      </c>
      <c r="Z32" s="3076">
        <v>11</v>
      </c>
      <c r="AA32" s="3076">
        <v>22</v>
      </c>
      <c r="AB32" s="3068">
        <v>1500</v>
      </c>
      <c r="AC32" s="3068" t="s">
        <v>3392</v>
      </c>
      <c r="AD32" s="3069" t="s">
        <v>3456</v>
      </c>
      <c r="AE32" s="3076" t="s">
        <v>3440</v>
      </c>
      <c r="AF32" s="3068" t="s">
        <v>3422</v>
      </c>
      <c r="AG32" s="3068" t="s">
        <v>3395</v>
      </c>
      <c r="AH32" s="3068">
        <v>29632</v>
      </c>
      <c r="AI32" s="3068" t="s">
        <v>3396</v>
      </c>
      <c r="AJ32" s="3077"/>
      <c r="AK32" s="3068" t="s">
        <v>3457</v>
      </c>
      <c r="AL32" s="3076">
        <v>31</v>
      </c>
      <c r="AM32" s="3068"/>
      <c r="AN32" s="3068" t="s">
        <v>3399</v>
      </c>
      <c r="AO32" s="3076"/>
      <c r="AP32" s="3068" t="s">
        <v>3426</v>
      </c>
      <c r="AQ32" s="3068" t="s">
        <v>3401</v>
      </c>
      <c r="AR32" s="3076"/>
      <c r="AS32" s="3076"/>
      <c r="AT32" s="3076"/>
      <c r="AU32" s="3076"/>
      <c r="AV32" s="3076"/>
      <c r="AW32" s="3076" t="s">
        <v>3444</v>
      </c>
      <c r="AX32" s="3076" t="s">
        <v>3403</v>
      </c>
      <c r="AY32" s="3078" t="s">
        <v>3458</v>
      </c>
      <c r="AZ32" s="3076" t="s">
        <v>3455</v>
      </c>
      <c r="BA32" s="3076"/>
      <c r="BB32" s="3078"/>
      <c r="BC32" s="3076"/>
      <c r="BD32" s="3079"/>
      <c r="BE32" s="3076">
        <v>13522028098</v>
      </c>
      <c r="BF32" s="3080"/>
      <c r="BG32" s="3081">
        <v>41565</v>
      </c>
      <c r="BH32" s="3076"/>
      <c r="BI32" s="3068" t="s">
        <v>3426</v>
      </c>
      <c r="BJ32" s="3082">
        <v>41579</v>
      </c>
      <c r="BK32" s="3083"/>
      <c r="BL32" s="3068" t="s">
        <v>3429</v>
      </c>
      <c r="BM32" s="3076" t="s">
        <v>3407</v>
      </c>
      <c r="BN32" s="3076" t="s">
        <v>3430</v>
      </c>
      <c r="BO32" s="3076" t="s">
        <v>3431</v>
      </c>
      <c r="BP32" s="3076"/>
      <c r="BQ32" s="3076" t="e">
        <v>#DIV/0!</v>
      </c>
      <c r="BR32" s="3076" t="e">
        <v>#DIV/0!</v>
      </c>
      <c r="BS32" s="3084" t="s">
        <v>3432</v>
      </c>
      <c r="BT32" s="3084" t="s">
        <v>3411</v>
      </c>
    </row>
    <row r="33" spans="1:73" s="3094" customFormat="1" ht="12" customHeight="1">
      <c r="A33" s="3086" t="s">
        <v>3459</v>
      </c>
      <c r="B33" s="3068" t="s">
        <v>3460</v>
      </c>
      <c r="C33" s="3087" t="s">
        <v>3461</v>
      </c>
      <c r="D33" s="3068">
        <v>13426318716</v>
      </c>
      <c r="E33" s="3068" t="s">
        <v>724</v>
      </c>
      <c r="F33" s="3068" t="s">
        <v>3387</v>
      </c>
      <c r="G33" s="3068"/>
      <c r="H33" s="3068" t="s">
        <v>3462</v>
      </c>
      <c r="I33" s="3068" t="s">
        <v>3453</v>
      </c>
      <c r="J33" s="3068">
        <v>201</v>
      </c>
      <c r="K33" s="3068" t="s">
        <v>3460</v>
      </c>
      <c r="L33" s="3088">
        <v>69.77</v>
      </c>
      <c r="M33" s="3068">
        <v>2</v>
      </c>
      <c r="N33" s="3068" t="s">
        <v>3419</v>
      </c>
      <c r="O33" s="3089"/>
      <c r="P33" s="3068" t="s">
        <v>3391</v>
      </c>
      <c r="Q33" s="3090">
        <v>1000000</v>
      </c>
      <c r="R33" s="3068">
        <v>14333</v>
      </c>
      <c r="S33" s="3072">
        <v>195.5</v>
      </c>
      <c r="T33" s="3073">
        <v>1955000</v>
      </c>
      <c r="U33" s="3068">
        <v>28022</v>
      </c>
      <c r="V33" s="3074">
        <v>0.2</v>
      </c>
      <c r="W33" s="3072">
        <v>156.4</v>
      </c>
      <c r="X33" s="3075">
        <v>1564000</v>
      </c>
      <c r="Y33" s="3076">
        <v>2013</v>
      </c>
      <c r="Z33" s="3076">
        <v>12</v>
      </c>
      <c r="AA33" s="3068">
        <v>6</v>
      </c>
      <c r="AB33" s="3068">
        <v>1500</v>
      </c>
      <c r="AC33" s="3068" t="s">
        <v>3392</v>
      </c>
      <c r="AD33" s="3091" t="s">
        <v>3463</v>
      </c>
      <c r="AE33" s="3068" t="s">
        <v>3440</v>
      </c>
      <c r="AF33" s="3068" t="s">
        <v>3422</v>
      </c>
      <c r="AG33" s="3068" t="s">
        <v>3395</v>
      </c>
      <c r="AH33" s="3068">
        <v>31102</v>
      </c>
      <c r="AI33" s="3068" t="s">
        <v>3396</v>
      </c>
      <c r="AJ33" s="3077"/>
      <c r="AK33" s="3092" t="s">
        <v>3464</v>
      </c>
      <c r="AL33" s="3068">
        <v>33</v>
      </c>
      <c r="AM33" s="3068" t="s">
        <v>3465</v>
      </c>
      <c r="AN33" s="3092" t="s">
        <v>3466</v>
      </c>
      <c r="AO33" s="3068"/>
      <c r="AP33" s="3068" t="s">
        <v>3467</v>
      </c>
      <c r="AQ33" s="3068" t="s">
        <v>3401</v>
      </c>
      <c r="AR33" s="3068"/>
      <c r="AS33" s="3068"/>
      <c r="AT33" s="3068"/>
      <c r="AU33" s="3068"/>
      <c r="AV33" s="3068"/>
      <c r="AW33" s="3068" t="s">
        <v>3444</v>
      </c>
      <c r="AX33" s="3068" t="s">
        <v>3403</v>
      </c>
      <c r="AY33" s="3069" t="s">
        <v>3468</v>
      </c>
      <c r="AZ33" s="3068" t="s">
        <v>3469</v>
      </c>
      <c r="BA33" s="3068"/>
      <c r="BB33" s="3069"/>
      <c r="BC33" s="3068"/>
      <c r="BD33" s="3093"/>
      <c r="BE33" s="3068">
        <v>13120058635</v>
      </c>
      <c r="BF33" s="3089"/>
      <c r="BG33" s="3077">
        <v>41568</v>
      </c>
      <c r="BH33" s="3068"/>
      <c r="BI33" s="3068" t="s">
        <v>3467</v>
      </c>
      <c r="BJ33" s="3083">
        <v>41586</v>
      </c>
      <c r="BK33" s="3077"/>
      <c r="BL33" s="3076" t="s">
        <v>3429</v>
      </c>
      <c r="BM33" s="3076" t="s">
        <v>3407</v>
      </c>
      <c r="BN33" s="3076" t="s">
        <v>3430</v>
      </c>
      <c r="BO33" s="3068" t="s">
        <v>3431</v>
      </c>
      <c r="BP33" s="3068"/>
      <c r="BQ33" s="3076" t="e">
        <v>#DIV/0!</v>
      </c>
      <c r="BR33" s="3076" t="e">
        <v>#DIV/0!</v>
      </c>
      <c r="BS33" s="3084" t="s">
        <v>3470</v>
      </c>
      <c r="BT33" s="3084" t="s">
        <v>3411</v>
      </c>
      <c r="BU33" s="3085"/>
    </row>
    <row r="34" spans="1:73" s="3094" customFormat="1" ht="12" customHeight="1">
      <c r="A34" s="3086" t="s">
        <v>3471</v>
      </c>
      <c r="B34" s="3068" t="s">
        <v>3472</v>
      </c>
      <c r="C34" s="3069" t="s">
        <v>3473</v>
      </c>
      <c r="D34" s="3068">
        <v>15201037054</v>
      </c>
      <c r="E34" s="3068" t="s">
        <v>724</v>
      </c>
      <c r="F34" s="3068" t="s">
        <v>3387</v>
      </c>
      <c r="G34" s="3068"/>
      <c r="H34" s="3068" t="s">
        <v>3462</v>
      </c>
      <c r="I34" s="3068" t="s">
        <v>3453</v>
      </c>
      <c r="J34" s="3068">
        <v>202</v>
      </c>
      <c r="K34" s="3068" t="s">
        <v>3472</v>
      </c>
      <c r="L34" s="3070">
        <v>85.98</v>
      </c>
      <c r="M34" s="3068">
        <v>2</v>
      </c>
      <c r="N34" s="3068" t="s">
        <v>3390</v>
      </c>
      <c r="O34" s="3068"/>
      <c r="P34" s="3068" t="s">
        <v>3391</v>
      </c>
      <c r="Q34" s="3070">
        <v>2220000</v>
      </c>
      <c r="R34" s="3070">
        <v>25820</v>
      </c>
      <c r="S34" s="3072">
        <v>245.51</v>
      </c>
      <c r="T34" s="3075">
        <v>2455100</v>
      </c>
      <c r="U34" s="3070">
        <v>28555</v>
      </c>
      <c r="V34" s="3095">
        <v>0.2</v>
      </c>
      <c r="W34" s="3072">
        <v>196.4</v>
      </c>
      <c r="X34" s="3075">
        <v>1964000</v>
      </c>
      <c r="Y34" s="3070">
        <v>2014</v>
      </c>
      <c r="Z34" s="3070">
        <v>4</v>
      </c>
      <c r="AA34" s="3070">
        <v>2</v>
      </c>
      <c r="AB34" s="3070">
        <v>1500</v>
      </c>
      <c r="AC34" s="3068" t="s">
        <v>3392</v>
      </c>
      <c r="AD34" s="3091" t="s">
        <v>3474</v>
      </c>
      <c r="AE34" s="3068" t="s">
        <v>3440</v>
      </c>
      <c r="AF34" s="3068" t="s">
        <v>3422</v>
      </c>
      <c r="AG34" s="3068" t="s">
        <v>3395</v>
      </c>
      <c r="AH34" s="3068">
        <v>30240</v>
      </c>
      <c r="AI34" s="3068" t="s">
        <v>3396</v>
      </c>
      <c r="AJ34" s="3068"/>
      <c r="AK34" s="3092" t="s">
        <v>3475</v>
      </c>
      <c r="AL34" s="3068">
        <v>32</v>
      </c>
      <c r="AM34" s="3086" t="s">
        <v>3476</v>
      </c>
      <c r="AN34" s="3076" t="s">
        <v>3477</v>
      </c>
      <c r="AO34" s="3068"/>
      <c r="AP34" s="3076" t="s">
        <v>3467</v>
      </c>
      <c r="AQ34" s="3068" t="s">
        <v>3401</v>
      </c>
      <c r="AR34" s="3068"/>
      <c r="AS34" s="3068"/>
      <c r="AT34" s="3068"/>
      <c r="AU34" s="3068"/>
      <c r="AV34" s="3068"/>
      <c r="AW34" s="3068" t="s">
        <v>3444</v>
      </c>
      <c r="AX34" s="3068" t="s">
        <v>3403</v>
      </c>
      <c r="AY34" s="3069" t="s">
        <v>3478</v>
      </c>
      <c r="AZ34" s="3068" t="s">
        <v>3479</v>
      </c>
      <c r="BA34" s="3068"/>
      <c r="BB34" s="3069"/>
      <c r="BC34" s="3068"/>
      <c r="BD34" s="3093"/>
      <c r="BE34" s="3068">
        <v>13671288846</v>
      </c>
      <c r="BF34" s="3089"/>
      <c r="BG34" s="3077">
        <v>41645</v>
      </c>
      <c r="BH34" s="3068"/>
      <c r="BI34" s="3068" t="s">
        <v>3467</v>
      </c>
      <c r="BJ34" s="3082">
        <v>41655</v>
      </c>
      <c r="BK34" s="3082"/>
      <c r="BL34" s="3068" t="s">
        <v>3429</v>
      </c>
      <c r="BM34" s="3068" t="s">
        <v>3407</v>
      </c>
      <c r="BN34" s="3068" t="s">
        <v>3430</v>
      </c>
      <c r="BO34" s="3068" t="s">
        <v>3431</v>
      </c>
      <c r="BP34" s="3068"/>
      <c r="BQ34" s="3068" t="e">
        <v>#DIV/0!</v>
      </c>
      <c r="BR34" s="3068" t="e">
        <v>#DIV/0!</v>
      </c>
      <c r="BS34" s="3096" t="s">
        <v>3470</v>
      </c>
      <c r="BT34" s="3096" t="s">
        <v>3411</v>
      </c>
    </row>
    <row r="38" spans="1:73" s="3101" customFormat="1" ht="12">
      <c r="A38" s="3097"/>
      <c r="B38" s="3098"/>
      <c r="C38" s="3002"/>
      <c r="D38" s="3002"/>
      <c r="E38" s="3002"/>
      <c r="F38" s="3002"/>
      <c r="G38" s="3002"/>
      <c r="H38" s="3002"/>
      <c r="I38" s="3002" t="s">
        <v>3482</v>
      </c>
      <c r="J38" s="3002" t="s">
        <v>3483</v>
      </c>
      <c r="K38" s="3002" t="s">
        <v>3484</v>
      </c>
      <c r="L38" s="3002" t="s">
        <v>3482</v>
      </c>
      <c r="M38" s="3002" t="s">
        <v>3483</v>
      </c>
      <c r="N38" s="3002" t="s">
        <v>3484</v>
      </c>
      <c r="O38" s="3002" t="s">
        <v>3482</v>
      </c>
      <c r="P38" s="3002" t="s">
        <v>3483</v>
      </c>
      <c r="Q38" s="3002" t="s">
        <v>3484</v>
      </c>
      <c r="R38" s="3002"/>
      <c r="S38" s="3002" t="s">
        <v>3482</v>
      </c>
      <c r="T38" s="3002" t="s">
        <v>3483</v>
      </c>
      <c r="U38" s="3002" t="s">
        <v>3484</v>
      </c>
      <c r="V38" s="3002"/>
      <c r="W38" s="3002" t="s">
        <v>3485</v>
      </c>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99"/>
      <c r="AT38" s="3002"/>
      <c r="AU38" s="3002"/>
      <c r="AV38" s="3002"/>
      <c r="AW38" s="3002"/>
      <c r="AX38" s="3002"/>
      <c r="AY38" s="3002"/>
      <c r="AZ38" s="3002"/>
      <c r="BA38" s="3002"/>
      <c r="BB38" s="3002"/>
      <c r="BC38" s="3100" t="s">
        <v>3486</v>
      </c>
      <c r="BD38" s="3100"/>
      <c r="BE38" s="3100"/>
      <c r="BF38" s="3100"/>
      <c r="BG38" s="3100"/>
      <c r="BH38" s="3100"/>
      <c r="BI38" s="3100"/>
      <c r="BJ38" s="3100"/>
      <c r="BK38" s="3100"/>
    </row>
    <row r="39" spans="1:73" s="3101" customFormat="1" ht="12">
      <c r="A39" s="3102" t="s">
        <v>3487</v>
      </c>
      <c r="B39" s="3103" t="s">
        <v>3488</v>
      </c>
      <c r="C39" s="3104" t="s">
        <v>3321</v>
      </c>
      <c r="D39" s="3104" t="s">
        <v>3489</v>
      </c>
      <c r="E39" s="3104" t="s">
        <v>3490</v>
      </c>
      <c r="F39" s="3104" t="s">
        <v>3491</v>
      </c>
      <c r="G39" s="3104" t="s">
        <v>3492</v>
      </c>
      <c r="H39" s="3104" t="s">
        <v>3493</v>
      </c>
      <c r="I39" s="3104" t="s">
        <v>3494</v>
      </c>
      <c r="J39" s="3104" t="s">
        <v>3494</v>
      </c>
      <c r="K39" s="3104" t="s">
        <v>3494</v>
      </c>
      <c r="L39" s="3104" t="s">
        <v>3495</v>
      </c>
      <c r="M39" s="3104" t="s">
        <v>3495</v>
      </c>
      <c r="N39" s="3104" t="s">
        <v>3495</v>
      </c>
      <c r="O39" s="3104" t="s">
        <v>3496</v>
      </c>
      <c r="P39" s="3104" t="s">
        <v>3496</v>
      </c>
      <c r="Q39" s="3104" t="s">
        <v>3496</v>
      </c>
      <c r="R39" s="3104" t="s">
        <v>3497</v>
      </c>
      <c r="S39" s="3104" t="s">
        <v>3498</v>
      </c>
      <c r="T39" s="3104" t="s">
        <v>3498</v>
      </c>
      <c r="U39" s="3104" t="s">
        <v>3498</v>
      </c>
      <c r="V39" s="3104" t="s">
        <v>3499</v>
      </c>
      <c r="W39" s="3104" t="s">
        <v>3500</v>
      </c>
      <c r="X39" s="3104" t="s">
        <v>3501</v>
      </c>
      <c r="Y39" s="3104" t="s">
        <v>3502</v>
      </c>
      <c r="Z39" s="3104" t="s">
        <v>3503</v>
      </c>
      <c r="AA39" s="3104" t="s">
        <v>3504</v>
      </c>
      <c r="AB39" s="3104" t="s">
        <v>3505</v>
      </c>
      <c r="AC39" s="3104" t="s">
        <v>3506</v>
      </c>
      <c r="AD39" s="3104" t="s">
        <v>3214</v>
      </c>
      <c r="AE39" s="3104" t="s">
        <v>3204</v>
      </c>
      <c r="AF39" s="3104" t="s">
        <v>3507</v>
      </c>
      <c r="AG39" s="3104" t="s">
        <v>3508</v>
      </c>
      <c r="AH39" s="3104" t="s">
        <v>3509</v>
      </c>
      <c r="AI39" s="3104" t="s">
        <v>3510</v>
      </c>
      <c r="AJ39" s="3104" t="s">
        <v>3511</v>
      </c>
      <c r="AK39" s="3104" t="s">
        <v>3512</v>
      </c>
      <c r="AL39" s="3104" t="s">
        <v>3513</v>
      </c>
      <c r="AM39" s="3104" t="s">
        <v>3514</v>
      </c>
      <c r="AN39" s="3104" t="s">
        <v>3515</v>
      </c>
      <c r="AO39" s="3104" t="s">
        <v>3516</v>
      </c>
      <c r="AP39" s="3104" t="s">
        <v>3517</v>
      </c>
      <c r="AQ39" s="3104" t="s">
        <v>3518</v>
      </c>
      <c r="AR39" s="3104" t="s">
        <v>3519</v>
      </c>
      <c r="AS39" s="3105" t="s">
        <v>3520</v>
      </c>
      <c r="AT39" s="3104" t="s">
        <v>3521</v>
      </c>
      <c r="AU39" s="3104" t="s">
        <v>3522</v>
      </c>
      <c r="AV39" s="3104" t="s">
        <v>3523</v>
      </c>
      <c r="AW39" s="3104" t="s">
        <v>3524</v>
      </c>
      <c r="AX39" s="3104" t="s">
        <v>3525</v>
      </c>
      <c r="AY39" s="3104" t="s">
        <v>3526</v>
      </c>
      <c r="AZ39" s="3104" t="s">
        <v>3527</v>
      </c>
      <c r="BA39" s="3104" t="s">
        <v>3528</v>
      </c>
      <c r="BB39" s="3104" t="s">
        <v>3529</v>
      </c>
      <c r="BC39" s="3106" t="s">
        <v>3530</v>
      </c>
      <c r="BD39" s="3106" t="s">
        <v>3531</v>
      </c>
      <c r="BE39" s="3106" t="s">
        <v>3532</v>
      </c>
      <c r="BF39" s="3106" t="s">
        <v>3533</v>
      </c>
      <c r="BG39" s="3106" t="s">
        <v>3534</v>
      </c>
      <c r="BH39" s="3106" t="s">
        <v>3535</v>
      </c>
      <c r="BI39" s="3106" t="s">
        <v>3536</v>
      </c>
      <c r="BJ39" s="3106" t="s">
        <v>3537</v>
      </c>
      <c r="BK39" s="3106" t="s">
        <v>3538</v>
      </c>
    </row>
    <row r="40" spans="1:73">
      <c r="A40" t="s">
        <v>3539</v>
      </c>
      <c r="B40" t="s">
        <v>3540</v>
      </c>
      <c r="C40" t="s">
        <v>3541</v>
      </c>
      <c r="D40" t="s">
        <v>3542</v>
      </c>
      <c r="G40" t="s">
        <v>3543</v>
      </c>
      <c r="H40" t="s">
        <v>3544</v>
      </c>
      <c r="I40" t="s">
        <v>3543</v>
      </c>
      <c r="J40" t="s">
        <v>3545</v>
      </c>
      <c r="K40" t="s">
        <v>3545</v>
      </c>
      <c r="L40" t="s">
        <v>3543</v>
      </c>
      <c r="M40" t="s">
        <v>3546</v>
      </c>
      <c r="N40" t="s">
        <v>3546</v>
      </c>
      <c r="O40" t="s">
        <v>3547</v>
      </c>
      <c r="P40" t="s">
        <v>3547</v>
      </c>
      <c r="Q40" t="s">
        <v>3547</v>
      </c>
      <c r="R40" t="s">
        <v>3548</v>
      </c>
      <c r="S40" t="s">
        <v>3121</v>
      </c>
      <c r="T40" t="s">
        <v>3549</v>
      </c>
      <c r="U40" t="s">
        <v>3550</v>
      </c>
      <c r="X40" t="s">
        <v>3551</v>
      </c>
      <c r="Z40" t="s">
        <v>3552</v>
      </c>
      <c r="AA40" t="s">
        <v>3553</v>
      </c>
      <c r="AB40" t="s">
        <v>3554</v>
      </c>
      <c r="AC40" t="s">
        <v>3555</v>
      </c>
      <c r="AD40" t="s">
        <v>3556</v>
      </c>
      <c r="AE40" t="s">
        <v>3557</v>
      </c>
      <c r="AG40" t="s">
        <v>3558</v>
      </c>
      <c r="AH40" t="s">
        <v>3559</v>
      </c>
      <c r="AI40" t="s">
        <v>3560</v>
      </c>
      <c r="AJ40" t="s">
        <v>3121</v>
      </c>
      <c r="AK40" t="s">
        <v>3561</v>
      </c>
      <c r="AL40" t="s">
        <v>3562</v>
      </c>
      <c r="AM40" t="s">
        <v>3563</v>
      </c>
      <c r="AN40" t="s">
        <v>3564</v>
      </c>
      <c r="AO40" t="s">
        <v>3565</v>
      </c>
      <c r="AP40" t="s">
        <v>3566</v>
      </c>
      <c r="AQ40" t="s">
        <v>3567</v>
      </c>
      <c r="AR40" t="s">
        <v>3568</v>
      </c>
      <c r="AU40" t="s">
        <v>3569</v>
      </c>
      <c r="AV40" t="s">
        <v>3570</v>
      </c>
      <c r="AW40" t="s">
        <v>3570</v>
      </c>
      <c r="AX40" t="s">
        <v>3571</v>
      </c>
      <c r="AY40" t="s">
        <v>3570</v>
      </c>
      <c r="AZ40" t="s">
        <v>3216</v>
      </c>
      <c r="BA40" t="s">
        <v>3572</v>
      </c>
      <c r="BC40">
        <v>2013</v>
      </c>
      <c r="BD40">
        <v>7</v>
      </c>
      <c r="BE40">
        <v>8</v>
      </c>
      <c r="BF40" t="s">
        <v>3573</v>
      </c>
      <c r="BG40" t="s">
        <v>3574</v>
      </c>
      <c r="BH40">
        <v>1994</v>
      </c>
      <c r="BI40" t="s">
        <v>3575</v>
      </c>
      <c r="BJ40">
        <v>92</v>
      </c>
      <c r="BK40">
        <v>30</v>
      </c>
    </row>
    <row r="41" spans="1:73">
      <c r="A41" t="s">
        <v>3576</v>
      </c>
      <c r="B41" t="s">
        <v>3540</v>
      </c>
      <c r="C41" t="s">
        <v>3541</v>
      </c>
      <c r="D41" t="s">
        <v>3577</v>
      </c>
      <c r="G41" t="s">
        <v>3543</v>
      </c>
      <c r="H41" t="s">
        <v>3578</v>
      </c>
      <c r="I41" t="s">
        <v>3543</v>
      </c>
      <c r="J41" t="s">
        <v>3543</v>
      </c>
      <c r="K41" t="s">
        <v>3543</v>
      </c>
      <c r="L41" t="s">
        <v>3543</v>
      </c>
      <c r="M41" t="s">
        <v>3546</v>
      </c>
      <c r="N41" t="s">
        <v>3546</v>
      </c>
      <c r="O41" t="s">
        <v>3547</v>
      </c>
      <c r="P41" t="s">
        <v>3547</v>
      </c>
      <c r="Q41" t="s">
        <v>3547</v>
      </c>
      <c r="R41" t="s">
        <v>3548</v>
      </c>
      <c r="S41" t="s">
        <v>3121</v>
      </c>
      <c r="T41" t="s">
        <v>3579</v>
      </c>
      <c r="U41" t="s">
        <v>3550</v>
      </c>
      <c r="X41" t="s">
        <v>3551</v>
      </c>
      <c r="Z41" t="s">
        <v>3552</v>
      </c>
      <c r="AA41" t="s">
        <v>3553</v>
      </c>
      <c r="AB41" t="s">
        <v>3554</v>
      </c>
      <c r="AC41" t="s">
        <v>3555</v>
      </c>
      <c r="AD41" t="s">
        <v>3556</v>
      </c>
      <c r="AE41" t="s">
        <v>3557</v>
      </c>
      <c r="AG41" t="s">
        <v>3558</v>
      </c>
      <c r="AH41" t="s">
        <v>3559</v>
      </c>
      <c r="AI41" t="s">
        <v>3560</v>
      </c>
      <c r="AJ41" t="s">
        <v>3121</v>
      </c>
      <c r="AK41" t="s">
        <v>3580</v>
      </c>
      <c r="AL41" t="s">
        <v>3562</v>
      </c>
      <c r="AM41" t="s">
        <v>3563</v>
      </c>
      <c r="AN41" t="s">
        <v>3564</v>
      </c>
      <c r="AO41" t="s">
        <v>3565</v>
      </c>
      <c r="AP41" t="s">
        <v>3581</v>
      </c>
      <c r="AQ41" t="s">
        <v>3567</v>
      </c>
      <c r="AR41" t="s">
        <v>3568</v>
      </c>
      <c r="AU41" t="s">
        <v>3569</v>
      </c>
      <c r="AV41" t="s">
        <v>3582</v>
      </c>
      <c r="AW41" t="s">
        <v>3570</v>
      </c>
      <c r="AX41" t="s">
        <v>3571</v>
      </c>
      <c r="AY41" t="s">
        <v>3570</v>
      </c>
      <c r="AZ41" t="s">
        <v>3217</v>
      </c>
      <c r="BA41" t="s">
        <v>3432</v>
      </c>
      <c r="BC41">
        <v>2013</v>
      </c>
      <c r="BD41">
        <v>9</v>
      </c>
      <c r="BE41">
        <v>12</v>
      </c>
      <c r="BF41" t="s">
        <v>3573</v>
      </c>
      <c r="BG41" t="s">
        <v>3574</v>
      </c>
      <c r="BH41" t="s">
        <v>3583</v>
      </c>
      <c r="BI41" t="s">
        <v>3575</v>
      </c>
      <c r="BJ41">
        <v>60</v>
      </c>
      <c r="BK41">
        <v>30</v>
      </c>
    </row>
    <row r="42" spans="1:73" s="3112" customFormat="1">
      <c r="A42" s="3112" t="s">
        <v>3584</v>
      </c>
      <c r="B42" s="3112" t="s">
        <v>3540</v>
      </c>
      <c r="C42" s="3112" t="s">
        <v>3541</v>
      </c>
      <c r="D42" s="3112" t="s">
        <v>3585</v>
      </c>
      <c r="G42" s="3112" t="s">
        <v>3543</v>
      </c>
      <c r="H42" s="3112" t="s">
        <v>3586</v>
      </c>
      <c r="I42" s="3112" t="s">
        <v>3543</v>
      </c>
      <c r="J42" s="3112" t="s">
        <v>3545</v>
      </c>
      <c r="K42" s="3112" t="s">
        <v>3545</v>
      </c>
      <c r="L42" s="3112" t="s">
        <v>3543</v>
      </c>
      <c r="M42" s="3112" t="s">
        <v>3546</v>
      </c>
      <c r="N42" s="3112" t="s">
        <v>3546</v>
      </c>
      <c r="O42" s="3112" t="s">
        <v>3547</v>
      </c>
      <c r="P42" s="3112" t="s">
        <v>3547</v>
      </c>
      <c r="Q42" s="3112" t="s">
        <v>3547</v>
      </c>
      <c r="R42" s="3112" t="s">
        <v>3548</v>
      </c>
      <c r="S42" s="3112" t="s">
        <v>3121</v>
      </c>
      <c r="T42" s="3112" t="s">
        <v>3579</v>
      </c>
      <c r="U42" s="3112" t="s">
        <v>3550</v>
      </c>
      <c r="X42" s="3112" t="s">
        <v>3551</v>
      </c>
      <c r="Z42" s="3112" t="s">
        <v>3552</v>
      </c>
      <c r="AA42" s="3112" t="s">
        <v>3553</v>
      </c>
      <c r="AB42" s="3112" t="s">
        <v>3554</v>
      </c>
      <c r="AC42" s="3112" t="s">
        <v>3555</v>
      </c>
      <c r="AD42" s="3112" t="s">
        <v>3556</v>
      </c>
      <c r="AE42" s="3112" t="s">
        <v>3557</v>
      </c>
      <c r="AG42" s="3112" t="s">
        <v>3558</v>
      </c>
      <c r="AH42" s="3112" t="s">
        <v>3559</v>
      </c>
      <c r="AI42" s="3112" t="s">
        <v>3560</v>
      </c>
      <c r="AJ42" s="3112" t="s">
        <v>3121</v>
      </c>
      <c r="AK42" s="3112" t="s">
        <v>3580</v>
      </c>
      <c r="AL42" s="3112" t="s">
        <v>3562</v>
      </c>
      <c r="AM42" s="3112" t="s">
        <v>3563</v>
      </c>
      <c r="AN42" s="3112" t="s">
        <v>3564</v>
      </c>
      <c r="AO42" s="3112" t="s">
        <v>3565</v>
      </c>
      <c r="AP42" s="3112" t="s">
        <v>3587</v>
      </c>
      <c r="AQ42" s="3112" t="s">
        <v>3567</v>
      </c>
      <c r="AR42" s="3112" t="s">
        <v>3568</v>
      </c>
      <c r="AU42" s="3112" t="s">
        <v>3569</v>
      </c>
      <c r="AV42" s="3112" t="s">
        <v>3582</v>
      </c>
      <c r="AW42" s="3112" t="s">
        <v>3570</v>
      </c>
      <c r="AX42" s="3112" t="s">
        <v>3571</v>
      </c>
      <c r="AY42" s="3112" t="s">
        <v>3570</v>
      </c>
      <c r="AZ42" s="3112" t="s">
        <v>3217</v>
      </c>
      <c r="BA42" s="3112" t="s">
        <v>3446</v>
      </c>
      <c r="BC42" s="3112">
        <v>2013</v>
      </c>
      <c r="BD42" s="3112">
        <v>10</v>
      </c>
      <c r="BE42" s="3112">
        <v>24</v>
      </c>
      <c r="BF42" s="3112" t="s">
        <v>3588</v>
      </c>
      <c r="BG42" s="3112" t="s">
        <v>3574</v>
      </c>
      <c r="BH42" s="3112">
        <v>1994</v>
      </c>
      <c r="BI42" s="3112" t="s">
        <v>3575</v>
      </c>
      <c r="BJ42" s="3112">
        <v>80</v>
      </c>
      <c r="BK42" s="3112">
        <v>30</v>
      </c>
    </row>
    <row r="43" spans="1:73" s="3112" customFormat="1">
      <c r="A43" s="3112" t="s">
        <v>3589</v>
      </c>
      <c r="B43" s="3112" t="s">
        <v>3540</v>
      </c>
      <c r="C43" s="3112" t="s">
        <v>3541</v>
      </c>
      <c r="D43" s="3112" t="s">
        <v>3590</v>
      </c>
      <c r="G43" s="3112" t="s">
        <v>3543</v>
      </c>
      <c r="H43" s="3112" t="s">
        <v>3578</v>
      </c>
      <c r="I43" s="3112" t="s">
        <v>3543</v>
      </c>
      <c r="J43" s="3112" t="s">
        <v>3543</v>
      </c>
      <c r="K43" s="3112" t="s">
        <v>3543</v>
      </c>
      <c r="L43" s="3112" t="s">
        <v>3543</v>
      </c>
      <c r="M43" s="3112" t="s">
        <v>3546</v>
      </c>
      <c r="N43" s="3112" t="s">
        <v>3546</v>
      </c>
      <c r="O43" s="3112" t="s">
        <v>3547</v>
      </c>
      <c r="P43" s="3112" t="s">
        <v>3547</v>
      </c>
      <c r="Q43" s="3112" t="s">
        <v>3547</v>
      </c>
      <c r="R43" s="3112" t="s">
        <v>3548</v>
      </c>
      <c r="S43" s="3112" t="s">
        <v>3121</v>
      </c>
      <c r="T43" s="3112" t="s">
        <v>3549</v>
      </c>
      <c r="U43" s="3112" t="s">
        <v>3550</v>
      </c>
      <c r="X43" s="3112" t="s">
        <v>3551</v>
      </c>
      <c r="Z43" s="3112" t="s">
        <v>3552</v>
      </c>
      <c r="AA43" s="3112" t="s">
        <v>3553</v>
      </c>
      <c r="AB43" s="3112" t="s">
        <v>3554</v>
      </c>
      <c r="AC43" s="3112" t="s">
        <v>3555</v>
      </c>
      <c r="AD43" s="3112" t="s">
        <v>3556</v>
      </c>
      <c r="AE43" s="3112" t="s">
        <v>3557</v>
      </c>
      <c r="AG43" s="3112" t="s">
        <v>3558</v>
      </c>
      <c r="AH43" s="3112" t="s">
        <v>3559</v>
      </c>
      <c r="AI43" s="3112" t="s">
        <v>3560</v>
      </c>
      <c r="AJ43" s="3112" t="s">
        <v>3121</v>
      </c>
      <c r="AK43" s="3112" t="s">
        <v>3580</v>
      </c>
      <c r="AL43" s="3112" t="s">
        <v>3562</v>
      </c>
      <c r="AM43" s="3112" t="s">
        <v>3563</v>
      </c>
      <c r="AN43" s="3112" t="s">
        <v>3564</v>
      </c>
      <c r="AO43" s="3112" t="s">
        <v>3565</v>
      </c>
      <c r="AP43" s="3112" t="s">
        <v>3587</v>
      </c>
      <c r="AQ43" s="3112" t="s">
        <v>3567</v>
      </c>
      <c r="AR43" s="3112" t="s">
        <v>3568</v>
      </c>
      <c r="AU43" s="3112" t="s">
        <v>3569</v>
      </c>
      <c r="AV43" s="3112" t="s">
        <v>3582</v>
      </c>
      <c r="AW43" s="3112" t="s">
        <v>3570</v>
      </c>
      <c r="AX43" s="3112" t="s">
        <v>3571</v>
      </c>
      <c r="AY43" s="3112" t="s">
        <v>3570</v>
      </c>
      <c r="AZ43" s="3112" t="s">
        <v>3217</v>
      </c>
      <c r="BA43" s="3112" t="s">
        <v>3572</v>
      </c>
      <c r="BC43" s="3112">
        <v>2013</v>
      </c>
      <c r="BD43" s="3112">
        <v>10</v>
      </c>
      <c r="BE43" s="3112">
        <v>28</v>
      </c>
      <c r="BF43" s="3112" t="s">
        <v>3591</v>
      </c>
      <c r="BG43" s="3112" t="s">
        <v>3574</v>
      </c>
      <c r="BH43" s="3112" t="s">
        <v>3592</v>
      </c>
      <c r="BI43" s="3112" t="s">
        <v>3575</v>
      </c>
      <c r="BJ43" s="3112">
        <v>80</v>
      </c>
      <c r="BK43" s="3112">
        <v>30</v>
      </c>
    </row>
    <row r="44" spans="1:73" s="3112" customFormat="1">
      <c r="A44" s="3112" t="s">
        <v>3593</v>
      </c>
      <c r="B44" s="3112" t="s">
        <v>3540</v>
      </c>
      <c r="C44" s="3112" t="s">
        <v>3541</v>
      </c>
      <c r="D44" s="3112" t="s">
        <v>3594</v>
      </c>
      <c r="G44" s="3112" t="s">
        <v>3543</v>
      </c>
      <c r="H44" s="3112" t="s">
        <v>3586</v>
      </c>
      <c r="I44" s="3112" t="s">
        <v>3543</v>
      </c>
      <c r="J44" s="3112" t="s">
        <v>3545</v>
      </c>
      <c r="K44" s="3112" t="s">
        <v>3545</v>
      </c>
      <c r="L44" s="3112" t="s">
        <v>3543</v>
      </c>
      <c r="M44" s="3112" t="s">
        <v>3546</v>
      </c>
      <c r="N44" s="3112" t="s">
        <v>3546</v>
      </c>
      <c r="O44" s="3112" t="s">
        <v>3547</v>
      </c>
      <c r="P44" s="3112" t="s">
        <v>3547</v>
      </c>
      <c r="Q44" s="3112" t="s">
        <v>3547</v>
      </c>
      <c r="R44" s="3112" t="s">
        <v>3548</v>
      </c>
      <c r="S44" s="3112" t="s">
        <v>3121</v>
      </c>
      <c r="T44" s="3112" t="s">
        <v>3595</v>
      </c>
      <c r="U44" s="3112" t="s">
        <v>3550</v>
      </c>
      <c r="X44" s="3112" t="s">
        <v>3551</v>
      </c>
      <c r="Z44" s="3112" t="s">
        <v>3552</v>
      </c>
      <c r="AA44" s="3112" t="s">
        <v>3553</v>
      </c>
      <c r="AB44" s="3112" t="s">
        <v>3554</v>
      </c>
      <c r="AC44" s="3112" t="s">
        <v>3555</v>
      </c>
      <c r="AD44" s="3112" t="s">
        <v>3596</v>
      </c>
      <c r="AE44" s="3112" t="s">
        <v>3557</v>
      </c>
      <c r="AG44" s="3112" t="s">
        <v>3558</v>
      </c>
      <c r="AH44" s="3112" t="s">
        <v>3559</v>
      </c>
      <c r="AI44" s="3112" t="s">
        <v>3560</v>
      </c>
      <c r="AJ44" s="3112" t="s">
        <v>3121</v>
      </c>
      <c r="AK44" s="3112" t="s">
        <v>3580</v>
      </c>
      <c r="AL44" s="3112" t="s">
        <v>3562</v>
      </c>
      <c r="AM44" s="3112" t="s">
        <v>3563</v>
      </c>
      <c r="AN44" s="3112" t="s">
        <v>3564</v>
      </c>
      <c r="AO44" s="3112" t="s">
        <v>3565</v>
      </c>
      <c r="AP44" s="3112" t="s">
        <v>3597</v>
      </c>
      <c r="AQ44" s="3112" t="s">
        <v>3567</v>
      </c>
      <c r="AR44" s="3112" t="s">
        <v>3568</v>
      </c>
      <c r="AU44" s="3112" t="s">
        <v>3569</v>
      </c>
      <c r="AV44" s="3112" t="s">
        <v>3570</v>
      </c>
      <c r="AW44" s="3112" t="s">
        <v>3570</v>
      </c>
      <c r="AX44" s="3112" t="s">
        <v>3571</v>
      </c>
      <c r="AY44" s="3112" t="s">
        <v>3570</v>
      </c>
      <c r="AZ44" s="3112" t="s">
        <v>3216</v>
      </c>
      <c r="BA44" s="3112" t="s">
        <v>3598</v>
      </c>
      <c r="BC44" s="3112">
        <v>2014</v>
      </c>
      <c r="BD44" s="3112">
        <v>1</v>
      </c>
      <c r="BE44" s="3112">
        <v>9</v>
      </c>
      <c r="BF44" s="3112" t="s">
        <v>3573</v>
      </c>
      <c r="BG44" s="3112" t="s">
        <v>3574</v>
      </c>
      <c r="BH44" s="3112" t="s">
        <v>3599</v>
      </c>
      <c r="BI44" s="3112" t="s">
        <v>3575</v>
      </c>
      <c r="BJ44" s="3112">
        <v>155</v>
      </c>
      <c r="BK44" s="3112">
        <v>30</v>
      </c>
    </row>
    <row r="48" spans="1:73" s="1288" customFormat="1">
      <c r="A48" s="3107"/>
      <c r="B48" s="3002"/>
      <c r="C48" s="3098"/>
      <c r="D48" s="3002"/>
      <c r="E48" s="3002"/>
      <c r="F48" s="3002" t="s">
        <v>3600</v>
      </c>
      <c r="G48" s="3002"/>
      <c r="H48" s="3002"/>
      <c r="I48" s="3002"/>
      <c r="J48" s="3002"/>
      <c r="K48" s="3002"/>
      <c r="L48" s="3002"/>
      <c r="M48" s="3002"/>
      <c r="N48" s="3002"/>
      <c r="O48" s="3488" t="s">
        <v>3601</v>
      </c>
      <c r="P48" s="3488"/>
      <c r="Q48" s="3488"/>
      <c r="R48" s="3488"/>
      <c r="S48" s="3002"/>
      <c r="T48" s="3002"/>
      <c r="U48" s="3489" t="s">
        <v>3602</v>
      </c>
      <c r="V48" s="3489"/>
      <c r="W48" s="3490" t="s">
        <v>3603</v>
      </c>
      <c r="X48" s="3490"/>
      <c r="Y48" s="3109"/>
      <c r="Z48" s="3002"/>
      <c r="AA48" s="3002"/>
      <c r="AB48" s="3002"/>
      <c r="AC48" s="3002"/>
      <c r="AD48" s="3002"/>
      <c r="AE48" s="3002"/>
      <c r="AF48" s="3100" t="s">
        <v>3486</v>
      </c>
      <c r="AG48" s="3100"/>
      <c r="AH48" s="3100"/>
      <c r="AI48" s="3100"/>
      <c r="AJ48" s="3100"/>
      <c r="AK48" s="3100"/>
    </row>
    <row r="49" spans="1:37" s="1288" customFormat="1">
      <c r="A49" s="3002" t="s">
        <v>3604</v>
      </c>
      <c r="B49" s="3002" t="s">
        <v>3605</v>
      </c>
      <c r="C49" s="3098" t="s">
        <v>3606</v>
      </c>
      <c r="D49" s="3002" t="s">
        <v>3607</v>
      </c>
      <c r="E49" s="3002" t="s">
        <v>3608</v>
      </c>
      <c r="F49" s="3002" t="s">
        <v>3609</v>
      </c>
      <c r="G49" s="3002" t="s">
        <v>3610</v>
      </c>
      <c r="H49" s="3002" t="s">
        <v>3611</v>
      </c>
      <c r="I49" s="3002" t="s">
        <v>3612</v>
      </c>
      <c r="J49" s="3002" t="s">
        <v>3613</v>
      </c>
      <c r="K49" s="3002" t="s">
        <v>3614</v>
      </c>
      <c r="L49" s="3002" t="s">
        <v>3615</v>
      </c>
      <c r="M49" s="3002" t="s">
        <v>3616</v>
      </c>
      <c r="N49" s="3002" t="s">
        <v>3617</v>
      </c>
      <c r="O49" s="3014" t="s">
        <v>3618</v>
      </c>
      <c r="P49" s="3014" t="s">
        <v>3619</v>
      </c>
      <c r="Q49" s="3110" t="s">
        <v>3620</v>
      </c>
      <c r="R49" s="3001" t="s">
        <v>3621</v>
      </c>
      <c r="S49" s="3002"/>
      <c r="T49" s="3002"/>
      <c r="U49" s="3108" t="s">
        <v>3622</v>
      </c>
      <c r="V49" s="3108" t="s">
        <v>3623</v>
      </c>
      <c r="W49" s="3111" t="s">
        <v>3624</v>
      </c>
      <c r="X49" s="3111" t="s">
        <v>3625</v>
      </c>
      <c r="Y49" s="3109" t="s">
        <v>3626</v>
      </c>
      <c r="Z49" s="3002" t="s">
        <v>3627</v>
      </c>
      <c r="AA49" s="3002" t="s">
        <v>3628</v>
      </c>
      <c r="AB49" s="3002" t="s">
        <v>3629</v>
      </c>
      <c r="AC49" s="3002" t="s">
        <v>3630</v>
      </c>
      <c r="AD49" s="3002" t="s">
        <v>3631</v>
      </c>
      <c r="AE49" s="3002" t="s">
        <v>3632</v>
      </c>
      <c r="AF49" s="3100" t="s">
        <v>3530</v>
      </c>
      <c r="AG49" s="3100" t="s">
        <v>3531</v>
      </c>
      <c r="AH49" s="3100" t="s">
        <v>3532</v>
      </c>
      <c r="AI49" s="3100" t="s">
        <v>3533</v>
      </c>
      <c r="AJ49" s="3100" t="s">
        <v>3633</v>
      </c>
      <c r="AK49" s="3100" t="s">
        <v>3634</v>
      </c>
    </row>
    <row r="50" spans="1:37" s="3115" customFormat="1" ht="12">
      <c r="A50" s="3049" t="s">
        <v>3539</v>
      </c>
      <c r="B50" s="3049" t="s">
        <v>3635</v>
      </c>
      <c r="C50" s="3049" t="s">
        <v>3636</v>
      </c>
      <c r="D50" s="3049" t="s">
        <v>3637</v>
      </c>
      <c r="E50" s="3049" t="s">
        <v>3638</v>
      </c>
      <c r="F50" s="3049" t="s">
        <v>3639</v>
      </c>
      <c r="G50" s="3049" t="s">
        <v>3640</v>
      </c>
      <c r="H50" s="3049" t="s">
        <v>3641</v>
      </c>
      <c r="I50" s="3049">
        <v>6</v>
      </c>
      <c r="J50" s="3049" t="s">
        <v>3310</v>
      </c>
      <c r="K50" s="3049">
        <v>1994</v>
      </c>
      <c r="L50" s="3049"/>
      <c r="M50" s="3049"/>
      <c r="N50" s="3049" t="s">
        <v>3642</v>
      </c>
      <c r="O50" s="3049" t="s">
        <v>3643</v>
      </c>
      <c r="P50" s="3049" t="s">
        <v>3638</v>
      </c>
      <c r="Q50" s="3049" t="s">
        <v>3644</v>
      </c>
      <c r="R50" s="3049" t="s">
        <v>3645</v>
      </c>
      <c r="S50" s="3049"/>
      <c r="T50" s="3049"/>
      <c r="U50" s="3049"/>
      <c r="V50" s="3049"/>
      <c r="W50" s="3049"/>
      <c r="X50" s="3049"/>
      <c r="Y50" s="3049"/>
      <c r="Z50" s="3049"/>
      <c r="AA50" s="3049"/>
      <c r="AB50" s="3049"/>
      <c r="AC50" s="3049"/>
      <c r="AD50" s="3049"/>
      <c r="AE50" s="3049" t="s">
        <v>3432</v>
      </c>
      <c r="AF50" s="3049">
        <v>2013</v>
      </c>
      <c r="AG50" s="3049">
        <v>9</v>
      </c>
      <c r="AH50" s="3049">
        <v>6</v>
      </c>
      <c r="AI50" s="3049" t="s">
        <v>3425</v>
      </c>
      <c r="AJ50" s="3049">
        <v>50</v>
      </c>
      <c r="AK50" s="3049">
        <v>31</v>
      </c>
    </row>
    <row r="51" spans="1:37" s="3115" customFormat="1" ht="12">
      <c r="A51" s="3049" t="s">
        <v>3576</v>
      </c>
      <c r="B51" s="3049" t="s">
        <v>3646</v>
      </c>
      <c r="C51" s="3049" t="s">
        <v>3647</v>
      </c>
      <c r="D51" s="3049" t="s">
        <v>3648</v>
      </c>
      <c r="E51" s="3049" t="s">
        <v>3649</v>
      </c>
      <c r="F51" s="3049" t="s">
        <v>3650</v>
      </c>
      <c r="G51" s="3049" t="s">
        <v>3651</v>
      </c>
      <c r="H51" s="3049" t="s">
        <v>3641</v>
      </c>
      <c r="I51" s="3049">
        <v>6</v>
      </c>
      <c r="J51" s="3049" t="s">
        <v>3310</v>
      </c>
      <c r="K51" s="3049" t="s">
        <v>3583</v>
      </c>
      <c r="L51" s="3049"/>
      <c r="M51" s="3049"/>
      <c r="N51" s="3049" t="s">
        <v>3652</v>
      </c>
      <c r="O51" s="3049" t="s">
        <v>3653</v>
      </c>
      <c r="P51" s="3049" t="s">
        <v>3638</v>
      </c>
      <c r="Q51" s="3049" t="s">
        <v>3654</v>
      </c>
      <c r="R51" s="3049" t="s">
        <v>3645</v>
      </c>
      <c r="S51" s="3049"/>
      <c r="T51" s="3049"/>
      <c r="U51" s="3049"/>
      <c r="V51" s="3049"/>
      <c r="W51" s="3049"/>
      <c r="X51" s="3049"/>
      <c r="Y51" s="3049"/>
      <c r="Z51" s="3049"/>
      <c r="AA51" s="3049"/>
      <c r="AB51" s="3049"/>
      <c r="AC51" s="3049"/>
      <c r="AD51" s="3049"/>
      <c r="AE51" s="3049" t="s">
        <v>3446</v>
      </c>
      <c r="AF51" s="3049">
        <v>2013</v>
      </c>
      <c r="AG51" s="3049">
        <v>10</v>
      </c>
      <c r="AH51" s="3049">
        <v>14</v>
      </c>
      <c r="AI51" s="3049" t="s">
        <v>3655</v>
      </c>
      <c r="AJ51" s="3049"/>
      <c r="AK51" s="3049">
        <v>30</v>
      </c>
    </row>
    <row r="52" spans="1:37" s="3114" customFormat="1" ht="12">
      <c r="A52" s="3113" t="s">
        <v>3584</v>
      </c>
      <c r="B52" s="3113" t="s">
        <v>3656</v>
      </c>
      <c r="C52" s="3113" t="s">
        <v>3657</v>
      </c>
      <c r="D52" s="3113" t="s">
        <v>3637</v>
      </c>
      <c r="E52" s="3113" t="s">
        <v>3638</v>
      </c>
      <c r="F52" s="3113" t="s">
        <v>3658</v>
      </c>
      <c r="G52" s="3113" t="s">
        <v>3659</v>
      </c>
      <c r="H52" s="3113" t="s">
        <v>3641</v>
      </c>
      <c r="I52" s="3113">
        <v>6</v>
      </c>
      <c r="J52" s="3113" t="s">
        <v>3310</v>
      </c>
      <c r="K52" s="3113">
        <v>1994</v>
      </c>
      <c r="L52" s="3113"/>
      <c r="M52" s="3113"/>
      <c r="N52" s="3113" t="s">
        <v>3660</v>
      </c>
      <c r="O52" s="3113" t="s">
        <v>3661</v>
      </c>
      <c r="P52" s="3113" t="s">
        <v>3638</v>
      </c>
      <c r="Q52" s="3113" t="s">
        <v>3662</v>
      </c>
      <c r="R52" s="3113" t="s">
        <v>3645</v>
      </c>
      <c r="S52" s="3113"/>
      <c r="T52" s="3113"/>
      <c r="U52" s="3113"/>
      <c r="V52" s="3113"/>
      <c r="W52" s="3113"/>
      <c r="X52" s="3113"/>
      <c r="Y52" s="3113"/>
      <c r="Z52" s="3113"/>
      <c r="AA52" s="3113"/>
      <c r="AB52" s="3113"/>
      <c r="AC52" s="3113"/>
      <c r="AD52" s="3113"/>
      <c r="AE52" s="3113" t="s">
        <v>3432</v>
      </c>
      <c r="AF52" s="3113">
        <v>2013</v>
      </c>
      <c r="AG52" s="3113">
        <v>11</v>
      </c>
      <c r="AH52" s="3113">
        <v>22</v>
      </c>
      <c r="AI52" s="3113" t="s">
        <v>3655</v>
      </c>
      <c r="AJ52" s="3113">
        <v>50</v>
      </c>
      <c r="AK52" s="3113">
        <v>31</v>
      </c>
    </row>
    <row r="53" spans="1:37" s="3114" customFormat="1" ht="12">
      <c r="A53" s="3113" t="s">
        <v>3589</v>
      </c>
      <c r="B53" s="3113" t="s">
        <v>3663</v>
      </c>
      <c r="C53" s="3113" t="s">
        <v>3664</v>
      </c>
      <c r="D53" s="3113" t="s">
        <v>3665</v>
      </c>
      <c r="E53" s="3113" t="s">
        <v>3666</v>
      </c>
      <c r="F53" s="3113" t="s">
        <v>3667</v>
      </c>
      <c r="G53" s="3113" t="s">
        <v>3659</v>
      </c>
      <c r="H53" s="3113" t="s">
        <v>3641</v>
      </c>
      <c r="I53" s="3113">
        <v>6</v>
      </c>
      <c r="J53" s="3113" t="s">
        <v>3310</v>
      </c>
      <c r="K53" s="3113"/>
      <c r="L53" s="3113"/>
      <c r="M53" s="3113"/>
      <c r="N53" s="3113" t="s">
        <v>3668</v>
      </c>
      <c r="O53" s="3113" t="s">
        <v>3469</v>
      </c>
      <c r="P53" s="3113" t="s">
        <v>3666</v>
      </c>
      <c r="Q53" s="3113" t="s">
        <v>3669</v>
      </c>
      <c r="R53" s="3113" t="s">
        <v>3645</v>
      </c>
      <c r="S53" s="3113"/>
      <c r="T53" s="3113"/>
      <c r="U53" s="3113"/>
      <c r="V53" s="3113"/>
      <c r="W53" s="3113"/>
      <c r="X53" s="3113"/>
      <c r="Y53" s="3113"/>
      <c r="Z53" s="3113"/>
      <c r="AA53" s="3113"/>
      <c r="AB53" s="3113"/>
      <c r="AC53" s="3113"/>
      <c r="AD53" s="3113"/>
      <c r="AE53" s="3113" t="s">
        <v>3470</v>
      </c>
      <c r="AF53" s="3113">
        <v>2013</v>
      </c>
      <c r="AG53" s="3113">
        <v>12</v>
      </c>
      <c r="AH53" s="3113">
        <v>6</v>
      </c>
      <c r="AI53" s="3113" t="s">
        <v>3573</v>
      </c>
      <c r="AJ53" s="3113">
        <v>50</v>
      </c>
      <c r="AK53" s="3113">
        <v>33</v>
      </c>
    </row>
    <row r="54" spans="1:37" s="3114" customFormat="1" ht="12">
      <c r="A54" s="3113" t="s">
        <v>3670</v>
      </c>
      <c r="B54" s="3113" t="s">
        <v>3671</v>
      </c>
      <c r="C54" s="3113" t="s">
        <v>3672</v>
      </c>
      <c r="D54" s="3113" t="s">
        <v>3673</v>
      </c>
      <c r="E54" s="3113" t="s">
        <v>3674</v>
      </c>
      <c r="F54" s="3113">
        <v>15</v>
      </c>
      <c r="G54" s="3113" t="s">
        <v>3675</v>
      </c>
      <c r="H54" s="3113" t="s">
        <v>3641</v>
      </c>
      <c r="I54" s="3113">
        <v>6</v>
      </c>
      <c r="J54" s="3113" t="s">
        <v>3310</v>
      </c>
      <c r="K54" s="3113"/>
      <c r="L54" s="3113"/>
      <c r="M54" s="3113"/>
      <c r="N54" s="3113"/>
      <c r="O54" s="3113"/>
      <c r="P54" s="3113"/>
      <c r="Q54" s="3113"/>
      <c r="R54" s="3113"/>
      <c r="S54" s="3113"/>
      <c r="T54" s="3113"/>
      <c r="U54" s="3113"/>
      <c r="V54" s="3113"/>
      <c r="W54" s="3113"/>
      <c r="X54" s="3113"/>
      <c r="Y54" s="3113"/>
      <c r="Z54" s="3113"/>
      <c r="AA54" s="3113"/>
      <c r="AB54" s="3113"/>
      <c r="AC54" s="3113"/>
      <c r="AD54" s="3113"/>
      <c r="AE54" s="3113" t="s">
        <v>3598</v>
      </c>
      <c r="AF54" s="3113">
        <v>2014</v>
      </c>
      <c r="AG54" s="3113">
        <v>1</v>
      </c>
      <c r="AH54" s="3113">
        <v>9</v>
      </c>
      <c r="AI54" s="3113" t="s">
        <v>3573</v>
      </c>
      <c r="AJ54" s="3113">
        <v>50</v>
      </c>
      <c r="AK54" s="3113">
        <v>32</v>
      </c>
    </row>
    <row r="80" spans="2:6">
      <c r="B80" s="3131">
        <v>41548</v>
      </c>
      <c r="C80" s="3131">
        <v>41579</v>
      </c>
      <c r="D80" s="3131">
        <v>41609</v>
      </c>
      <c r="E80" s="3131">
        <v>41640</v>
      </c>
      <c r="F80" s="3131">
        <v>41671</v>
      </c>
    </row>
    <row r="81" spans="2:6">
      <c r="B81">
        <v>100</v>
      </c>
      <c r="C81">
        <v>101.4</v>
      </c>
      <c r="D81">
        <v>100.4</v>
      </c>
      <c r="E81">
        <v>99.8</v>
      </c>
      <c r="F81">
        <v>99.9</v>
      </c>
    </row>
    <row r="82" spans="2:6">
      <c r="B82">
        <f>B81</f>
        <v>100</v>
      </c>
      <c r="C82">
        <f>ROUND(C81*B81/100,2)</f>
        <v>101.4</v>
      </c>
      <c r="D82">
        <f>ROUND(D81*C81/100,2)</f>
        <v>101.81</v>
      </c>
      <c r="E82">
        <f t="shared" ref="E82:F82" si="0">ROUND(E81*D81/100,2)</f>
        <v>100.2</v>
      </c>
      <c r="F82">
        <f t="shared" si="0"/>
        <v>99.7</v>
      </c>
    </row>
    <row r="83" spans="2:6">
      <c r="B83">
        <f t="shared" ref="B83:D83" si="1">ROUND(B82*100/$F$82,2)</f>
        <v>100.3</v>
      </c>
      <c r="C83">
        <f t="shared" si="1"/>
        <v>101.71</v>
      </c>
      <c r="D83">
        <f t="shared" si="1"/>
        <v>102.12</v>
      </c>
      <c r="E83">
        <f>ROUND(E82*100/$F$82,2)</f>
        <v>100.5</v>
      </c>
      <c r="F83">
        <v>100</v>
      </c>
    </row>
  </sheetData>
  <mergeCells count="3">
    <mergeCell ref="O48:R48"/>
    <mergeCell ref="U48:V48"/>
    <mergeCell ref="W48:X48"/>
  </mergeCells>
  <phoneticPr fontId="140" type="noConversion"/>
  <pageMargins left="0.7" right="0.7" top="0.75" bottom="0.75" header="0.3" footer="0.3"/>
  <pageSetup paperSize="9" orientation="portrait" verticalDpi="0"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A24" sqref="A24:XFD24"/>
    </sheetView>
  </sheetViews>
  <sheetFormatPr defaultRowHeight="13.5"/>
  <cols>
    <col min="1" max="1" width="4.875" style="1291" customWidth="1"/>
    <col min="2" max="2" width="13.25" style="1297" customWidth="1"/>
    <col min="3" max="3" width="15.625" style="1297" customWidth="1"/>
    <col min="4" max="4" width="9.375" style="1297" bestFit="1" customWidth="1"/>
    <col min="5" max="5" width="13.5" style="1297" customWidth="1"/>
    <col min="6" max="6" width="9" style="1297"/>
    <col min="7" max="7" width="9.375" style="1297" bestFit="1" customWidth="1"/>
    <col min="8" max="8" width="12.25" style="1297" customWidth="1"/>
    <col min="9" max="9" width="9" style="1297"/>
    <col min="10" max="10" width="9.375" style="1297" bestFit="1" customWidth="1"/>
    <col min="11" max="11" width="4" style="1291" customWidth="1"/>
    <col min="12" max="12" width="5.125" style="1297" customWidth="1"/>
    <col min="13" max="13" width="13.75" style="1297" customWidth="1"/>
    <col min="14" max="256" width="9" style="1297"/>
    <col min="257" max="257" width="4.875" style="1288" customWidth="1"/>
    <col min="258" max="258" width="13.25" style="1288" customWidth="1"/>
    <col min="259" max="259" width="15.625" style="1288" customWidth="1"/>
    <col min="260" max="260" width="9.375" style="1288" bestFit="1" customWidth="1"/>
    <col min="261" max="261" width="13.5" style="1288" customWidth="1"/>
    <col min="262" max="262" width="9" style="1288"/>
    <col min="263" max="263" width="9.375" style="1288" bestFit="1" customWidth="1"/>
    <col min="264" max="265" width="9" style="1288"/>
    <col min="266" max="266" width="9.375" style="1288" bestFit="1" customWidth="1"/>
    <col min="267" max="267" width="4" style="1288" customWidth="1"/>
    <col min="268" max="268" width="5.125" style="1288" customWidth="1"/>
    <col min="269" max="269" width="13.75" style="1288" customWidth="1"/>
    <col min="270" max="512" width="9" style="1288"/>
    <col min="513" max="513" width="4.875" style="1288" customWidth="1"/>
    <col min="514" max="514" width="13.25" style="1288" customWidth="1"/>
    <col min="515" max="515" width="15.625" style="1288" customWidth="1"/>
    <col min="516" max="516" width="9.375" style="1288" bestFit="1" customWidth="1"/>
    <col min="517" max="517" width="13.5" style="1288" customWidth="1"/>
    <col min="518" max="518" width="9" style="1288"/>
    <col min="519" max="519" width="9.375" style="1288" bestFit="1" customWidth="1"/>
    <col min="520" max="521" width="9" style="1288"/>
    <col min="522" max="522" width="9.375" style="1288" bestFit="1" customWidth="1"/>
    <col min="523" max="523" width="4" style="1288" customWidth="1"/>
    <col min="524" max="524" width="5.125" style="1288" customWidth="1"/>
    <col min="525" max="525" width="13.75" style="1288" customWidth="1"/>
    <col min="526" max="768" width="9" style="1288"/>
    <col min="769" max="769" width="4.875" style="1288" customWidth="1"/>
    <col min="770" max="770" width="13.25" style="1288" customWidth="1"/>
    <col min="771" max="771" width="15.625" style="1288" customWidth="1"/>
    <col min="772" max="772" width="9.375" style="1288" bestFit="1" customWidth="1"/>
    <col min="773" max="773" width="13.5" style="1288" customWidth="1"/>
    <col min="774" max="774" width="9" style="1288"/>
    <col min="775" max="775" width="9.375" style="1288" bestFit="1" customWidth="1"/>
    <col min="776" max="777" width="9" style="1288"/>
    <col min="778" max="778" width="9.375" style="1288" bestFit="1" customWidth="1"/>
    <col min="779" max="779" width="4" style="1288" customWidth="1"/>
    <col min="780" max="780" width="5.125" style="1288" customWidth="1"/>
    <col min="781" max="781" width="13.75" style="1288" customWidth="1"/>
    <col min="782" max="1024" width="9" style="1288"/>
    <col min="1025" max="1025" width="4.875" style="1288" customWidth="1"/>
    <col min="1026" max="1026" width="13.25" style="1288" customWidth="1"/>
    <col min="1027" max="1027" width="15.625" style="1288" customWidth="1"/>
    <col min="1028" max="1028" width="9.375" style="1288" bestFit="1" customWidth="1"/>
    <col min="1029" max="1029" width="13.5" style="1288" customWidth="1"/>
    <col min="1030" max="1030" width="9" style="1288"/>
    <col min="1031" max="1031" width="9.375" style="1288" bestFit="1" customWidth="1"/>
    <col min="1032" max="1033" width="9" style="1288"/>
    <col min="1034" max="1034" width="9.375" style="1288" bestFit="1" customWidth="1"/>
    <col min="1035" max="1035" width="4" style="1288" customWidth="1"/>
    <col min="1036" max="1036" width="5.125" style="1288" customWidth="1"/>
    <col min="1037" max="1037" width="13.75" style="1288" customWidth="1"/>
    <col min="1038" max="1280" width="9" style="1288"/>
    <col min="1281" max="1281" width="4.875" style="1288" customWidth="1"/>
    <col min="1282" max="1282" width="13.25" style="1288" customWidth="1"/>
    <col min="1283" max="1283" width="15.625" style="1288" customWidth="1"/>
    <col min="1284" max="1284" width="9.375" style="1288" bestFit="1" customWidth="1"/>
    <col min="1285" max="1285" width="13.5" style="1288" customWidth="1"/>
    <col min="1286" max="1286" width="9" style="1288"/>
    <col min="1287" max="1287" width="9.375" style="1288" bestFit="1" customWidth="1"/>
    <col min="1288" max="1289" width="9" style="1288"/>
    <col min="1290" max="1290" width="9.375" style="1288" bestFit="1" customWidth="1"/>
    <col min="1291" max="1291" width="4" style="1288" customWidth="1"/>
    <col min="1292" max="1292" width="5.125" style="1288" customWidth="1"/>
    <col min="1293" max="1293" width="13.75" style="1288" customWidth="1"/>
    <col min="1294" max="1536" width="9" style="1288"/>
    <col min="1537" max="1537" width="4.875" style="1288" customWidth="1"/>
    <col min="1538" max="1538" width="13.25" style="1288" customWidth="1"/>
    <col min="1539" max="1539" width="15.625" style="1288" customWidth="1"/>
    <col min="1540" max="1540" width="9.375" style="1288" bestFit="1" customWidth="1"/>
    <col min="1541" max="1541" width="13.5" style="1288" customWidth="1"/>
    <col min="1542" max="1542" width="9" style="1288"/>
    <col min="1543" max="1543" width="9.375" style="1288" bestFit="1" customWidth="1"/>
    <col min="1544" max="1545" width="9" style="1288"/>
    <col min="1546" max="1546" width="9.375" style="1288" bestFit="1" customWidth="1"/>
    <col min="1547" max="1547" width="4" style="1288" customWidth="1"/>
    <col min="1548" max="1548" width="5.125" style="1288" customWidth="1"/>
    <col min="1549" max="1549" width="13.75" style="1288" customWidth="1"/>
    <col min="1550" max="1792" width="9" style="1288"/>
    <col min="1793" max="1793" width="4.875" style="1288" customWidth="1"/>
    <col min="1794" max="1794" width="13.25" style="1288" customWidth="1"/>
    <col min="1795" max="1795" width="15.625" style="1288" customWidth="1"/>
    <col min="1796" max="1796" width="9.375" style="1288" bestFit="1" customWidth="1"/>
    <col min="1797" max="1797" width="13.5" style="1288" customWidth="1"/>
    <col min="1798" max="1798" width="9" style="1288"/>
    <col min="1799" max="1799" width="9.375" style="1288" bestFit="1" customWidth="1"/>
    <col min="1800" max="1801" width="9" style="1288"/>
    <col min="1802" max="1802" width="9.375" style="1288" bestFit="1" customWidth="1"/>
    <col min="1803" max="1803" width="4" style="1288" customWidth="1"/>
    <col min="1804" max="1804" width="5.125" style="1288" customWidth="1"/>
    <col min="1805" max="1805" width="13.75" style="1288" customWidth="1"/>
    <col min="1806" max="2048" width="9" style="1288"/>
    <col min="2049" max="2049" width="4.875" style="1288" customWidth="1"/>
    <col min="2050" max="2050" width="13.25" style="1288" customWidth="1"/>
    <col min="2051" max="2051" width="15.625" style="1288" customWidth="1"/>
    <col min="2052" max="2052" width="9.375" style="1288" bestFit="1" customWidth="1"/>
    <col min="2053" max="2053" width="13.5" style="1288" customWidth="1"/>
    <col min="2054" max="2054" width="9" style="1288"/>
    <col min="2055" max="2055" width="9.375" style="1288" bestFit="1" customWidth="1"/>
    <col min="2056" max="2057" width="9" style="1288"/>
    <col min="2058" max="2058" width="9.375" style="1288" bestFit="1" customWidth="1"/>
    <col min="2059" max="2059" width="4" style="1288" customWidth="1"/>
    <col min="2060" max="2060" width="5.125" style="1288" customWidth="1"/>
    <col min="2061" max="2061" width="13.75" style="1288" customWidth="1"/>
    <col min="2062" max="2304" width="9" style="1288"/>
    <col min="2305" max="2305" width="4.875" style="1288" customWidth="1"/>
    <col min="2306" max="2306" width="13.25" style="1288" customWidth="1"/>
    <col min="2307" max="2307" width="15.625" style="1288" customWidth="1"/>
    <col min="2308" max="2308" width="9.375" style="1288" bestFit="1" customWidth="1"/>
    <col min="2309" max="2309" width="13.5" style="1288" customWidth="1"/>
    <col min="2310" max="2310" width="9" style="1288"/>
    <col min="2311" max="2311" width="9.375" style="1288" bestFit="1" customWidth="1"/>
    <col min="2312" max="2313" width="9" style="1288"/>
    <col min="2314" max="2314" width="9.375" style="1288" bestFit="1" customWidth="1"/>
    <col min="2315" max="2315" width="4" style="1288" customWidth="1"/>
    <col min="2316" max="2316" width="5.125" style="1288" customWidth="1"/>
    <col min="2317" max="2317" width="13.75" style="1288" customWidth="1"/>
    <col min="2318" max="2560" width="9" style="1288"/>
    <col min="2561" max="2561" width="4.875" style="1288" customWidth="1"/>
    <col min="2562" max="2562" width="13.25" style="1288" customWidth="1"/>
    <col min="2563" max="2563" width="15.625" style="1288" customWidth="1"/>
    <col min="2564" max="2564" width="9.375" style="1288" bestFit="1" customWidth="1"/>
    <col min="2565" max="2565" width="13.5" style="1288" customWidth="1"/>
    <col min="2566" max="2566" width="9" style="1288"/>
    <col min="2567" max="2567" width="9.375" style="1288" bestFit="1" customWidth="1"/>
    <col min="2568" max="2569" width="9" style="1288"/>
    <col min="2570" max="2570" width="9.375" style="1288" bestFit="1" customWidth="1"/>
    <col min="2571" max="2571" width="4" style="1288" customWidth="1"/>
    <col min="2572" max="2572" width="5.125" style="1288" customWidth="1"/>
    <col min="2573" max="2573" width="13.75" style="1288" customWidth="1"/>
    <col min="2574" max="2816" width="9" style="1288"/>
    <col min="2817" max="2817" width="4.875" style="1288" customWidth="1"/>
    <col min="2818" max="2818" width="13.25" style="1288" customWidth="1"/>
    <col min="2819" max="2819" width="15.625" style="1288" customWidth="1"/>
    <col min="2820" max="2820" width="9.375" style="1288" bestFit="1" customWidth="1"/>
    <col min="2821" max="2821" width="13.5" style="1288" customWidth="1"/>
    <col min="2822" max="2822" width="9" style="1288"/>
    <col min="2823" max="2823" width="9.375" style="1288" bestFit="1" customWidth="1"/>
    <col min="2824" max="2825" width="9" style="1288"/>
    <col min="2826" max="2826" width="9.375" style="1288" bestFit="1" customWidth="1"/>
    <col min="2827" max="2827" width="4" style="1288" customWidth="1"/>
    <col min="2828" max="2828" width="5.125" style="1288" customWidth="1"/>
    <col min="2829" max="2829" width="13.75" style="1288" customWidth="1"/>
    <col min="2830" max="3072" width="9" style="1288"/>
    <col min="3073" max="3073" width="4.875" style="1288" customWidth="1"/>
    <col min="3074" max="3074" width="13.25" style="1288" customWidth="1"/>
    <col min="3075" max="3075" width="15.625" style="1288" customWidth="1"/>
    <col min="3076" max="3076" width="9.375" style="1288" bestFit="1" customWidth="1"/>
    <col min="3077" max="3077" width="13.5" style="1288" customWidth="1"/>
    <col min="3078" max="3078" width="9" style="1288"/>
    <col min="3079" max="3079" width="9.375" style="1288" bestFit="1" customWidth="1"/>
    <col min="3080" max="3081" width="9" style="1288"/>
    <col min="3082" max="3082" width="9.375" style="1288" bestFit="1" customWidth="1"/>
    <col min="3083" max="3083" width="4" style="1288" customWidth="1"/>
    <col min="3084" max="3084" width="5.125" style="1288" customWidth="1"/>
    <col min="3085" max="3085" width="13.75" style="1288" customWidth="1"/>
    <col min="3086" max="3328" width="9" style="1288"/>
    <col min="3329" max="3329" width="4.875" style="1288" customWidth="1"/>
    <col min="3330" max="3330" width="13.25" style="1288" customWidth="1"/>
    <col min="3331" max="3331" width="15.625" style="1288" customWidth="1"/>
    <col min="3332" max="3332" width="9.375" style="1288" bestFit="1" customWidth="1"/>
    <col min="3333" max="3333" width="13.5" style="1288" customWidth="1"/>
    <col min="3334" max="3334" width="9" style="1288"/>
    <col min="3335" max="3335" width="9.375" style="1288" bestFit="1" customWidth="1"/>
    <col min="3336" max="3337" width="9" style="1288"/>
    <col min="3338" max="3338" width="9.375" style="1288" bestFit="1" customWidth="1"/>
    <col min="3339" max="3339" width="4" style="1288" customWidth="1"/>
    <col min="3340" max="3340" width="5.125" style="1288" customWidth="1"/>
    <col min="3341" max="3341" width="13.75" style="1288" customWidth="1"/>
    <col min="3342" max="3584" width="9" style="1288"/>
    <col min="3585" max="3585" width="4.875" style="1288" customWidth="1"/>
    <col min="3586" max="3586" width="13.25" style="1288" customWidth="1"/>
    <col min="3587" max="3587" width="15.625" style="1288" customWidth="1"/>
    <col min="3588" max="3588" width="9.375" style="1288" bestFit="1" customWidth="1"/>
    <col min="3589" max="3589" width="13.5" style="1288" customWidth="1"/>
    <col min="3590" max="3590" width="9" style="1288"/>
    <col min="3591" max="3591" width="9.375" style="1288" bestFit="1" customWidth="1"/>
    <col min="3592" max="3593" width="9" style="1288"/>
    <col min="3594" max="3594" width="9.375" style="1288" bestFit="1" customWidth="1"/>
    <col min="3595" max="3595" width="4" style="1288" customWidth="1"/>
    <col min="3596" max="3596" width="5.125" style="1288" customWidth="1"/>
    <col min="3597" max="3597" width="13.75" style="1288" customWidth="1"/>
    <col min="3598" max="3840" width="9" style="1288"/>
    <col min="3841" max="3841" width="4.875" style="1288" customWidth="1"/>
    <col min="3842" max="3842" width="13.25" style="1288" customWidth="1"/>
    <col min="3843" max="3843" width="15.625" style="1288" customWidth="1"/>
    <col min="3844" max="3844" width="9.375" style="1288" bestFit="1" customWidth="1"/>
    <col min="3845" max="3845" width="13.5" style="1288" customWidth="1"/>
    <col min="3846" max="3846" width="9" style="1288"/>
    <col min="3847" max="3847" width="9.375" style="1288" bestFit="1" customWidth="1"/>
    <col min="3848" max="3849" width="9" style="1288"/>
    <col min="3850" max="3850" width="9.375" style="1288" bestFit="1" customWidth="1"/>
    <col min="3851" max="3851" width="4" style="1288" customWidth="1"/>
    <col min="3852" max="3852" width="5.125" style="1288" customWidth="1"/>
    <col min="3853" max="3853" width="13.75" style="1288" customWidth="1"/>
    <col min="3854" max="4096" width="9" style="1288"/>
    <col min="4097" max="4097" width="4.875" style="1288" customWidth="1"/>
    <col min="4098" max="4098" width="13.25" style="1288" customWidth="1"/>
    <col min="4099" max="4099" width="15.625" style="1288" customWidth="1"/>
    <col min="4100" max="4100" width="9.375" style="1288" bestFit="1" customWidth="1"/>
    <col min="4101" max="4101" width="13.5" style="1288" customWidth="1"/>
    <col min="4102" max="4102" width="9" style="1288"/>
    <col min="4103" max="4103" width="9.375" style="1288" bestFit="1" customWidth="1"/>
    <col min="4104" max="4105" width="9" style="1288"/>
    <col min="4106" max="4106" width="9.375" style="1288" bestFit="1" customWidth="1"/>
    <col min="4107" max="4107" width="4" style="1288" customWidth="1"/>
    <col min="4108" max="4108" width="5.125" style="1288" customWidth="1"/>
    <col min="4109" max="4109" width="13.75" style="1288" customWidth="1"/>
    <col min="4110" max="4352" width="9" style="1288"/>
    <col min="4353" max="4353" width="4.875" style="1288" customWidth="1"/>
    <col min="4354" max="4354" width="13.25" style="1288" customWidth="1"/>
    <col min="4355" max="4355" width="15.625" style="1288" customWidth="1"/>
    <col min="4356" max="4356" width="9.375" style="1288" bestFit="1" customWidth="1"/>
    <col min="4357" max="4357" width="13.5" style="1288" customWidth="1"/>
    <col min="4358" max="4358" width="9" style="1288"/>
    <col min="4359" max="4359" width="9.375" style="1288" bestFit="1" customWidth="1"/>
    <col min="4360" max="4361" width="9" style="1288"/>
    <col min="4362" max="4362" width="9.375" style="1288" bestFit="1" customWidth="1"/>
    <col min="4363" max="4363" width="4" style="1288" customWidth="1"/>
    <col min="4364" max="4364" width="5.125" style="1288" customWidth="1"/>
    <col min="4365" max="4365" width="13.75" style="1288" customWidth="1"/>
    <col min="4366" max="4608" width="9" style="1288"/>
    <col min="4609" max="4609" width="4.875" style="1288" customWidth="1"/>
    <col min="4610" max="4610" width="13.25" style="1288" customWidth="1"/>
    <col min="4611" max="4611" width="15.625" style="1288" customWidth="1"/>
    <col min="4612" max="4612" width="9.375" style="1288" bestFit="1" customWidth="1"/>
    <col min="4613" max="4613" width="13.5" style="1288" customWidth="1"/>
    <col min="4614" max="4614" width="9" style="1288"/>
    <col min="4615" max="4615" width="9.375" style="1288" bestFit="1" customWidth="1"/>
    <col min="4616" max="4617" width="9" style="1288"/>
    <col min="4618" max="4618" width="9.375" style="1288" bestFit="1" customWidth="1"/>
    <col min="4619" max="4619" width="4" style="1288" customWidth="1"/>
    <col min="4620" max="4620" width="5.125" style="1288" customWidth="1"/>
    <col min="4621" max="4621" width="13.75" style="1288" customWidth="1"/>
    <col min="4622" max="4864" width="9" style="1288"/>
    <col min="4865" max="4865" width="4.875" style="1288" customWidth="1"/>
    <col min="4866" max="4866" width="13.25" style="1288" customWidth="1"/>
    <col min="4867" max="4867" width="15.625" style="1288" customWidth="1"/>
    <col min="4868" max="4868" width="9.375" style="1288" bestFit="1" customWidth="1"/>
    <col min="4869" max="4869" width="13.5" style="1288" customWidth="1"/>
    <col min="4870" max="4870" width="9" style="1288"/>
    <col min="4871" max="4871" width="9.375" style="1288" bestFit="1" customWidth="1"/>
    <col min="4872" max="4873" width="9" style="1288"/>
    <col min="4874" max="4874" width="9.375" style="1288" bestFit="1" customWidth="1"/>
    <col min="4875" max="4875" width="4" style="1288" customWidth="1"/>
    <col min="4876" max="4876" width="5.125" style="1288" customWidth="1"/>
    <col min="4877" max="4877" width="13.75" style="1288" customWidth="1"/>
    <col min="4878" max="5120" width="9" style="1288"/>
    <col min="5121" max="5121" width="4.875" style="1288" customWidth="1"/>
    <col min="5122" max="5122" width="13.25" style="1288" customWidth="1"/>
    <col min="5123" max="5123" width="15.625" style="1288" customWidth="1"/>
    <col min="5124" max="5124" width="9.375" style="1288" bestFit="1" customWidth="1"/>
    <col min="5125" max="5125" width="13.5" style="1288" customWidth="1"/>
    <col min="5126" max="5126" width="9" style="1288"/>
    <col min="5127" max="5127" width="9.375" style="1288" bestFit="1" customWidth="1"/>
    <col min="5128" max="5129" width="9" style="1288"/>
    <col min="5130" max="5130" width="9.375" style="1288" bestFit="1" customWidth="1"/>
    <col min="5131" max="5131" width="4" style="1288" customWidth="1"/>
    <col min="5132" max="5132" width="5.125" style="1288" customWidth="1"/>
    <col min="5133" max="5133" width="13.75" style="1288" customWidth="1"/>
    <col min="5134" max="5376" width="9" style="1288"/>
    <col min="5377" max="5377" width="4.875" style="1288" customWidth="1"/>
    <col min="5378" max="5378" width="13.25" style="1288" customWidth="1"/>
    <col min="5379" max="5379" width="15.625" style="1288" customWidth="1"/>
    <col min="5380" max="5380" width="9.375" style="1288" bestFit="1" customWidth="1"/>
    <col min="5381" max="5381" width="13.5" style="1288" customWidth="1"/>
    <col min="5382" max="5382" width="9" style="1288"/>
    <col min="5383" max="5383" width="9.375" style="1288" bestFit="1" customWidth="1"/>
    <col min="5384" max="5385" width="9" style="1288"/>
    <col min="5386" max="5386" width="9.375" style="1288" bestFit="1" customWidth="1"/>
    <col min="5387" max="5387" width="4" style="1288" customWidth="1"/>
    <col min="5388" max="5388" width="5.125" style="1288" customWidth="1"/>
    <col min="5389" max="5389" width="13.75" style="1288" customWidth="1"/>
    <col min="5390" max="5632" width="9" style="1288"/>
    <col min="5633" max="5633" width="4.875" style="1288" customWidth="1"/>
    <col min="5634" max="5634" width="13.25" style="1288" customWidth="1"/>
    <col min="5635" max="5635" width="15.625" style="1288" customWidth="1"/>
    <col min="5636" max="5636" width="9.375" style="1288" bestFit="1" customWidth="1"/>
    <col min="5637" max="5637" width="13.5" style="1288" customWidth="1"/>
    <col min="5638" max="5638" width="9" style="1288"/>
    <col min="5639" max="5639" width="9.375" style="1288" bestFit="1" customWidth="1"/>
    <col min="5640" max="5641" width="9" style="1288"/>
    <col min="5642" max="5642" width="9.375" style="1288" bestFit="1" customWidth="1"/>
    <col min="5643" max="5643" width="4" style="1288" customWidth="1"/>
    <col min="5644" max="5644" width="5.125" style="1288" customWidth="1"/>
    <col min="5645" max="5645" width="13.75" style="1288" customWidth="1"/>
    <col min="5646" max="5888" width="9" style="1288"/>
    <col min="5889" max="5889" width="4.875" style="1288" customWidth="1"/>
    <col min="5890" max="5890" width="13.25" style="1288" customWidth="1"/>
    <col min="5891" max="5891" width="15.625" style="1288" customWidth="1"/>
    <col min="5892" max="5892" width="9.375" style="1288" bestFit="1" customWidth="1"/>
    <col min="5893" max="5893" width="13.5" style="1288" customWidth="1"/>
    <col min="5894" max="5894" width="9" style="1288"/>
    <col min="5895" max="5895" width="9.375" style="1288" bestFit="1" customWidth="1"/>
    <col min="5896" max="5897" width="9" style="1288"/>
    <col min="5898" max="5898" width="9.375" style="1288" bestFit="1" customWidth="1"/>
    <col min="5899" max="5899" width="4" style="1288" customWidth="1"/>
    <col min="5900" max="5900" width="5.125" style="1288" customWidth="1"/>
    <col min="5901" max="5901" width="13.75" style="1288" customWidth="1"/>
    <col min="5902" max="6144" width="9" style="1288"/>
    <col min="6145" max="6145" width="4.875" style="1288" customWidth="1"/>
    <col min="6146" max="6146" width="13.25" style="1288" customWidth="1"/>
    <col min="6147" max="6147" width="15.625" style="1288" customWidth="1"/>
    <col min="6148" max="6148" width="9.375" style="1288" bestFit="1" customWidth="1"/>
    <col min="6149" max="6149" width="13.5" style="1288" customWidth="1"/>
    <col min="6150" max="6150" width="9" style="1288"/>
    <col min="6151" max="6151" width="9.375" style="1288" bestFit="1" customWidth="1"/>
    <col min="6152" max="6153" width="9" style="1288"/>
    <col min="6154" max="6154" width="9.375" style="1288" bestFit="1" customWidth="1"/>
    <col min="6155" max="6155" width="4" style="1288" customWidth="1"/>
    <col min="6156" max="6156" width="5.125" style="1288" customWidth="1"/>
    <col min="6157" max="6157" width="13.75" style="1288" customWidth="1"/>
    <col min="6158" max="6400" width="9" style="1288"/>
    <col min="6401" max="6401" width="4.875" style="1288" customWidth="1"/>
    <col min="6402" max="6402" width="13.25" style="1288" customWidth="1"/>
    <col min="6403" max="6403" width="15.625" style="1288" customWidth="1"/>
    <col min="6404" max="6404" width="9.375" style="1288" bestFit="1" customWidth="1"/>
    <col min="6405" max="6405" width="13.5" style="1288" customWidth="1"/>
    <col min="6406" max="6406" width="9" style="1288"/>
    <col min="6407" max="6407" width="9.375" style="1288" bestFit="1" customWidth="1"/>
    <col min="6408" max="6409" width="9" style="1288"/>
    <col min="6410" max="6410" width="9.375" style="1288" bestFit="1" customWidth="1"/>
    <col min="6411" max="6411" width="4" style="1288" customWidth="1"/>
    <col min="6412" max="6412" width="5.125" style="1288" customWidth="1"/>
    <col min="6413" max="6413" width="13.75" style="1288" customWidth="1"/>
    <col min="6414" max="6656" width="9" style="1288"/>
    <col min="6657" max="6657" width="4.875" style="1288" customWidth="1"/>
    <col min="6658" max="6658" width="13.25" style="1288" customWidth="1"/>
    <col min="6659" max="6659" width="15.625" style="1288" customWidth="1"/>
    <col min="6660" max="6660" width="9.375" style="1288" bestFit="1" customWidth="1"/>
    <col min="6661" max="6661" width="13.5" style="1288" customWidth="1"/>
    <col min="6662" max="6662" width="9" style="1288"/>
    <col min="6663" max="6663" width="9.375" style="1288" bestFit="1" customWidth="1"/>
    <col min="6664" max="6665" width="9" style="1288"/>
    <col min="6666" max="6666" width="9.375" style="1288" bestFit="1" customWidth="1"/>
    <col min="6667" max="6667" width="4" style="1288" customWidth="1"/>
    <col min="6668" max="6668" width="5.125" style="1288" customWidth="1"/>
    <col min="6669" max="6669" width="13.75" style="1288" customWidth="1"/>
    <col min="6670" max="6912" width="9" style="1288"/>
    <col min="6913" max="6913" width="4.875" style="1288" customWidth="1"/>
    <col min="6914" max="6914" width="13.25" style="1288" customWidth="1"/>
    <col min="6915" max="6915" width="15.625" style="1288" customWidth="1"/>
    <col min="6916" max="6916" width="9.375" style="1288" bestFit="1" customWidth="1"/>
    <col min="6917" max="6917" width="13.5" style="1288" customWidth="1"/>
    <col min="6918" max="6918" width="9" style="1288"/>
    <col min="6919" max="6919" width="9.375" style="1288" bestFit="1" customWidth="1"/>
    <col min="6920" max="6921" width="9" style="1288"/>
    <col min="6922" max="6922" width="9.375" style="1288" bestFit="1" customWidth="1"/>
    <col min="6923" max="6923" width="4" style="1288" customWidth="1"/>
    <col min="6924" max="6924" width="5.125" style="1288" customWidth="1"/>
    <col min="6925" max="6925" width="13.75" style="1288" customWidth="1"/>
    <col min="6926" max="7168" width="9" style="1288"/>
    <col min="7169" max="7169" width="4.875" style="1288" customWidth="1"/>
    <col min="7170" max="7170" width="13.25" style="1288" customWidth="1"/>
    <col min="7171" max="7171" width="15.625" style="1288" customWidth="1"/>
    <col min="7172" max="7172" width="9.375" style="1288" bestFit="1" customWidth="1"/>
    <col min="7173" max="7173" width="13.5" style="1288" customWidth="1"/>
    <col min="7174" max="7174" width="9" style="1288"/>
    <col min="7175" max="7175" width="9.375" style="1288" bestFit="1" customWidth="1"/>
    <col min="7176" max="7177" width="9" style="1288"/>
    <col min="7178" max="7178" width="9.375" style="1288" bestFit="1" customWidth="1"/>
    <col min="7179" max="7179" width="4" style="1288" customWidth="1"/>
    <col min="7180" max="7180" width="5.125" style="1288" customWidth="1"/>
    <col min="7181" max="7181" width="13.75" style="1288" customWidth="1"/>
    <col min="7182" max="7424" width="9" style="1288"/>
    <col min="7425" max="7425" width="4.875" style="1288" customWidth="1"/>
    <col min="7426" max="7426" width="13.25" style="1288" customWidth="1"/>
    <col min="7427" max="7427" width="15.625" style="1288" customWidth="1"/>
    <col min="7428" max="7428" width="9.375" style="1288" bestFit="1" customWidth="1"/>
    <col min="7429" max="7429" width="13.5" style="1288" customWidth="1"/>
    <col min="7430" max="7430" width="9" style="1288"/>
    <col min="7431" max="7431" width="9.375" style="1288" bestFit="1" customWidth="1"/>
    <col min="7432" max="7433" width="9" style="1288"/>
    <col min="7434" max="7434" width="9.375" style="1288" bestFit="1" customWidth="1"/>
    <col min="7435" max="7435" width="4" style="1288" customWidth="1"/>
    <col min="7436" max="7436" width="5.125" style="1288" customWidth="1"/>
    <col min="7437" max="7437" width="13.75" style="1288" customWidth="1"/>
    <col min="7438" max="7680" width="9" style="1288"/>
    <col min="7681" max="7681" width="4.875" style="1288" customWidth="1"/>
    <col min="7682" max="7682" width="13.25" style="1288" customWidth="1"/>
    <col min="7683" max="7683" width="15.625" style="1288" customWidth="1"/>
    <col min="7684" max="7684" width="9.375" style="1288" bestFit="1" customWidth="1"/>
    <col min="7685" max="7685" width="13.5" style="1288" customWidth="1"/>
    <col min="7686" max="7686" width="9" style="1288"/>
    <col min="7687" max="7687" width="9.375" style="1288" bestFit="1" customWidth="1"/>
    <col min="7688" max="7689" width="9" style="1288"/>
    <col min="7690" max="7690" width="9.375" style="1288" bestFit="1" customWidth="1"/>
    <col min="7691" max="7691" width="4" style="1288" customWidth="1"/>
    <col min="7692" max="7692" width="5.125" style="1288" customWidth="1"/>
    <col min="7693" max="7693" width="13.75" style="1288" customWidth="1"/>
    <col min="7694" max="7936" width="9" style="1288"/>
    <col min="7937" max="7937" width="4.875" style="1288" customWidth="1"/>
    <col min="7938" max="7938" width="13.25" style="1288" customWidth="1"/>
    <col min="7939" max="7939" width="15.625" style="1288" customWidth="1"/>
    <col min="7940" max="7940" width="9.375" style="1288" bestFit="1" customWidth="1"/>
    <col min="7941" max="7941" width="13.5" style="1288" customWidth="1"/>
    <col min="7942" max="7942" width="9" style="1288"/>
    <col min="7943" max="7943" width="9.375" style="1288" bestFit="1" customWidth="1"/>
    <col min="7944" max="7945" width="9" style="1288"/>
    <col min="7946" max="7946" width="9.375" style="1288" bestFit="1" customWidth="1"/>
    <col min="7947" max="7947" width="4" style="1288" customWidth="1"/>
    <col min="7948" max="7948" width="5.125" style="1288" customWidth="1"/>
    <col min="7949" max="7949" width="13.75" style="1288" customWidth="1"/>
    <col min="7950" max="8192" width="9" style="1288"/>
    <col min="8193" max="8193" width="4.875" style="1288" customWidth="1"/>
    <col min="8194" max="8194" width="13.25" style="1288" customWidth="1"/>
    <col min="8195" max="8195" width="15.625" style="1288" customWidth="1"/>
    <col min="8196" max="8196" width="9.375" style="1288" bestFit="1" customWidth="1"/>
    <col min="8197" max="8197" width="13.5" style="1288" customWidth="1"/>
    <col min="8198" max="8198" width="9" style="1288"/>
    <col min="8199" max="8199" width="9.375" style="1288" bestFit="1" customWidth="1"/>
    <col min="8200" max="8201" width="9" style="1288"/>
    <col min="8202" max="8202" width="9.375" style="1288" bestFit="1" customWidth="1"/>
    <col min="8203" max="8203" width="4" style="1288" customWidth="1"/>
    <col min="8204" max="8204" width="5.125" style="1288" customWidth="1"/>
    <col min="8205" max="8205" width="13.75" style="1288" customWidth="1"/>
    <col min="8206" max="8448" width="9" style="1288"/>
    <col min="8449" max="8449" width="4.875" style="1288" customWidth="1"/>
    <col min="8450" max="8450" width="13.25" style="1288" customWidth="1"/>
    <col min="8451" max="8451" width="15.625" style="1288" customWidth="1"/>
    <col min="8452" max="8452" width="9.375" style="1288" bestFit="1" customWidth="1"/>
    <col min="8453" max="8453" width="13.5" style="1288" customWidth="1"/>
    <col min="8454" max="8454" width="9" style="1288"/>
    <col min="8455" max="8455" width="9.375" style="1288" bestFit="1" customWidth="1"/>
    <col min="8456" max="8457" width="9" style="1288"/>
    <col min="8458" max="8458" width="9.375" style="1288" bestFit="1" customWidth="1"/>
    <col min="8459" max="8459" width="4" style="1288" customWidth="1"/>
    <col min="8460" max="8460" width="5.125" style="1288" customWidth="1"/>
    <col min="8461" max="8461" width="13.75" style="1288" customWidth="1"/>
    <col min="8462" max="8704" width="9" style="1288"/>
    <col min="8705" max="8705" width="4.875" style="1288" customWidth="1"/>
    <col min="8706" max="8706" width="13.25" style="1288" customWidth="1"/>
    <col min="8707" max="8707" width="15.625" style="1288" customWidth="1"/>
    <col min="8708" max="8708" width="9.375" style="1288" bestFit="1" customWidth="1"/>
    <col min="8709" max="8709" width="13.5" style="1288" customWidth="1"/>
    <col min="8710" max="8710" width="9" style="1288"/>
    <col min="8711" max="8711" width="9.375" style="1288" bestFit="1" customWidth="1"/>
    <col min="8712" max="8713" width="9" style="1288"/>
    <col min="8714" max="8714" width="9.375" style="1288" bestFit="1" customWidth="1"/>
    <col min="8715" max="8715" width="4" style="1288" customWidth="1"/>
    <col min="8716" max="8716" width="5.125" style="1288" customWidth="1"/>
    <col min="8717" max="8717" width="13.75" style="1288" customWidth="1"/>
    <col min="8718" max="8960" width="9" style="1288"/>
    <col min="8961" max="8961" width="4.875" style="1288" customWidth="1"/>
    <col min="8962" max="8962" width="13.25" style="1288" customWidth="1"/>
    <col min="8963" max="8963" width="15.625" style="1288" customWidth="1"/>
    <col min="8964" max="8964" width="9.375" style="1288" bestFit="1" customWidth="1"/>
    <col min="8965" max="8965" width="13.5" style="1288" customWidth="1"/>
    <col min="8966" max="8966" width="9" style="1288"/>
    <col min="8967" max="8967" width="9.375" style="1288" bestFit="1" customWidth="1"/>
    <col min="8968" max="8969" width="9" style="1288"/>
    <col min="8970" max="8970" width="9.375" style="1288" bestFit="1" customWidth="1"/>
    <col min="8971" max="8971" width="4" style="1288" customWidth="1"/>
    <col min="8972" max="8972" width="5.125" style="1288" customWidth="1"/>
    <col min="8973" max="8973" width="13.75" style="1288" customWidth="1"/>
    <col min="8974" max="9216" width="9" style="1288"/>
    <col min="9217" max="9217" width="4.875" style="1288" customWidth="1"/>
    <col min="9218" max="9218" width="13.25" style="1288" customWidth="1"/>
    <col min="9219" max="9219" width="15.625" style="1288" customWidth="1"/>
    <col min="9220" max="9220" width="9.375" style="1288" bestFit="1" customWidth="1"/>
    <col min="9221" max="9221" width="13.5" style="1288" customWidth="1"/>
    <col min="9222" max="9222" width="9" style="1288"/>
    <col min="9223" max="9223" width="9.375" style="1288" bestFit="1" customWidth="1"/>
    <col min="9224" max="9225" width="9" style="1288"/>
    <col min="9226" max="9226" width="9.375" style="1288" bestFit="1" customWidth="1"/>
    <col min="9227" max="9227" width="4" style="1288" customWidth="1"/>
    <col min="9228" max="9228" width="5.125" style="1288" customWidth="1"/>
    <col min="9229" max="9229" width="13.75" style="1288" customWidth="1"/>
    <col min="9230" max="9472" width="9" style="1288"/>
    <col min="9473" max="9473" width="4.875" style="1288" customWidth="1"/>
    <col min="9474" max="9474" width="13.25" style="1288" customWidth="1"/>
    <col min="9475" max="9475" width="15.625" style="1288" customWidth="1"/>
    <col min="9476" max="9476" width="9.375" style="1288" bestFit="1" customWidth="1"/>
    <col min="9477" max="9477" width="13.5" style="1288" customWidth="1"/>
    <col min="9478" max="9478" width="9" style="1288"/>
    <col min="9479" max="9479" width="9.375" style="1288" bestFit="1" customWidth="1"/>
    <col min="9480" max="9481" width="9" style="1288"/>
    <col min="9482" max="9482" width="9.375" style="1288" bestFit="1" customWidth="1"/>
    <col min="9483" max="9483" width="4" style="1288" customWidth="1"/>
    <col min="9484" max="9484" width="5.125" style="1288" customWidth="1"/>
    <col min="9485" max="9485" width="13.75" style="1288" customWidth="1"/>
    <col min="9486" max="9728" width="9" style="1288"/>
    <col min="9729" max="9729" width="4.875" style="1288" customWidth="1"/>
    <col min="9730" max="9730" width="13.25" style="1288" customWidth="1"/>
    <col min="9731" max="9731" width="15.625" style="1288" customWidth="1"/>
    <col min="9732" max="9732" width="9.375" style="1288" bestFit="1" customWidth="1"/>
    <col min="9733" max="9733" width="13.5" style="1288" customWidth="1"/>
    <col min="9734" max="9734" width="9" style="1288"/>
    <col min="9735" max="9735" width="9.375" style="1288" bestFit="1" customWidth="1"/>
    <col min="9736" max="9737" width="9" style="1288"/>
    <col min="9738" max="9738" width="9.375" style="1288" bestFit="1" customWidth="1"/>
    <col min="9739" max="9739" width="4" style="1288" customWidth="1"/>
    <col min="9740" max="9740" width="5.125" style="1288" customWidth="1"/>
    <col min="9741" max="9741" width="13.75" style="1288" customWidth="1"/>
    <col min="9742" max="9984" width="9" style="1288"/>
    <col min="9985" max="9985" width="4.875" style="1288" customWidth="1"/>
    <col min="9986" max="9986" width="13.25" style="1288" customWidth="1"/>
    <col min="9987" max="9987" width="15.625" style="1288" customWidth="1"/>
    <col min="9988" max="9988" width="9.375" style="1288" bestFit="1" customWidth="1"/>
    <col min="9989" max="9989" width="13.5" style="1288" customWidth="1"/>
    <col min="9990" max="9990" width="9" style="1288"/>
    <col min="9991" max="9991" width="9.375" style="1288" bestFit="1" customWidth="1"/>
    <col min="9992" max="9993" width="9" style="1288"/>
    <col min="9994" max="9994" width="9.375" style="1288" bestFit="1" customWidth="1"/>
    <col min="9995" max="9995" width="4" style="1288" customWidth="1"/>
    <col min="9996" max="9996" width="5.125" style="1288" customWidth="1"/>
    <col min="9997" max="9997" width="13.75" style="1288" customWidth="1"/>
    <col min="9998" max="10240" width="9" style="1288"/>
    <col min="10241" max="10241" width="4.875" style="1288" customWidth="1"/>
    <col min="10242" max="10242" width="13.25" style="1288" customWidth="1"/>
    <col min="10243" max="10243" width="15.625" style="1288" customWidth="1"/>
    <col min="10244" max="10244" width="9.375" style="1288" bestFit="1" customWidth="1"/>
    <col min="10245" max="10245" width="13.5" style="1288" customWidth="1"/>
    <col min="10246" max="10246" width="9" style="1288"/>
    <col min="10247" max="10247" width="9.375" style="1288" bestFit="1" customWidth="1"/>
    <col min="10248" max="10249" width="9" style="1288"/>
    <col min="10250" max="10250" width="9.375" style="1288" bestFit="1" customWidth="1"/>
    <col min="10251" max="10251" width="4" style="1288" customWidth="1"/>
    <col min="10252" max="10252" width="5.125" style="1288" customWidth="1"/>
    <col min="10253" max="10253" width="13.75" style="1288" customWidth="1"/>
    <col min="10254" max="10496" width="9" style="1288"/>
    <col min="10497" max="10497" width="4.875" style="1288" customWidth="1"/>
    <col min="10498" max="10498" width="13.25" style="1288" customWidth="1"/>
    <col min="10499" max="10499" width="15.625" style="1288" customWidth="1"/>
    <col min="10500" max="10500" width="9.375" style="1288" bestFit="1" customWidth="1"/>
    <col min="10501" max="10501" width="13.5" style="1288" customWidth="1"/>
    <col min="10502" max="10502" width="9" style="1288"/>
    <col min="10503" max="10503" width="9.375" style="1288" bestFit="1" customWidth="1"/>
    <col min="10504" max="10505" width="9" style="1288"/>
    <col min="10506" max="10506" width="9.375" style="1288" bestFit="1" customWidth="1"/>
    <col min="10507" max="10507" width="4" style="1288" customWidth="1"/>
    <col min="10508" max="10508" width="5.125" style="1288" customWidth="1"/>
    <col min="10509" max="10509" width="13.75" style="1288" customWidth="1"/>
    <col min="10510" max="10752" width="9" style="1288"/>
    <col min="10753" max="10753" width="4.875" style="1288" customWidth="1"/>
    <col min="10754" max="10754" width="13.25" style="1288" customWidth="1"/>
    <col min="10755" max="10755" width="15.625" style="1288" customWidth="1"/>
    <col min="10756" max="10756" width="9.375" style="1288" bestFit="1" customWidth="1"/>
    <col min="10757" max="10757" width="13.5" style="1288" customWidth="1"/>
    <col min="10758" max="10758" width="9" style="1288"/>
    <col min="10759" max="10759" width="9.375" style="1288" bestFit="1" customWidth="1"/>
    <col min="10760" max="10761" width="9" style="1288"/>
    <col min="10762" max="10762" width="9.375" style="1288" bestFit="1" customWidth="1"/>
    <col min="10763" max="10763" width="4" style="1288" customWidth="1"/>
    <col min="10764" max="10764" width="5.125" style="1288" customWidth="1"/>
    <col min="10765" max="10765" width="13.75" style="1288" customWidth="1"/>
    <col min="10766" max="11008" width="9" style="1288"/>
    <col min="11009" max="11009" width="4.875" style="1288" customWidth="1"/>
    <col min="11010" max="11010" width="13.25" style="1288" customWidth="1"/>
    <col min="11011" max="11011" width="15.625" style="1288" customWidth="1"/>
    <col min="11012" max="11012" width="9.375" style="1288" bestFit="1" customWidth="1"/>
    <col min="11013" max="11013" width="13.5" style="1288" customWidth="1"/>
    <col min="11014" max="11014" width="9" style="1288"/>
    <col min="11015" max="11015" width="9.375" style="1288" bestFit="1" customWidth="1"/>
    <col min="11016" max="11017" width="9" style="1288"/>
    <col min="11018" max="11018" width="9.375" style="1288" bestFit="1" customWidth="1"/>
    <col min="11019" max="11019" width="4" style="1288" customWidth="1"/>
    <col min="11020" max="11020" width="5.125" style="1288" customWidth="1"/>
    <col min="11021" max="11021" width="13.75" style="1288" customWidth="1"/>
    <col min="11022" max="11264" width="9" style="1288"/>
    <col min="11265" max="11265" width="4.875" style="1288" customWidth="1"/>
    <col min="11266" max="11266" width="13.25" style="1288" customWidth="1"/>
    <col min="11267" max="11267" width="15.625" style="1288" customWidth="1"/>
    <col min="11268" max="11268" width="9.375" style="1288" bestFit="1" customWidth="1"/>
    <col min="11269" max="11269" width="13.5" style="1288" customWidth="1"/>
    <col min="11270" max="11270" width="9" style="1288"/>
    <col min="11271" max="11271" width="9.375" style="1288" bestFit="1" customWidth="1"/>
    <col min="11272" max="11273" width="9" style="1288"/>
    <col min="11274" max="11274" width="9.375" style="1288" bestFit="1" customWidth="1"/>
    <col min="11275" max="11275" width="4" style="1288" customWidth="1"/>
    <col min="11276" max="11276" width="5.125" style="1288" customWidth="1"/>
    <col min="11277" max="11277" width="13.75" style="1288" customWidth="1"/>
    <col min="11278" max="11520" width="9" style="1288"/>
    <col min="11521" max="11521" width="4.875" style="1288" customWidth="1"/>
    <col min="11522" max="11522" width="13.25" style="1288" customWidth="1"/>
    <col min="11523" max="11523" width="15.625" style="1288" customWidth="1"/>
    <col min="11524" max="11524" width="9.375" style="1288" bestFit="1" customWidth="1"/>
    <col min="11525" max="11525" width="13.5" style="1288" customWidth="1"/>
    <col min="11526" max="11526" width="9" style="1288"/>
    <col min="11527" max="11527" width="9.375" style="1288" bestFit="1" customWidth="1"/>
    <col min="11528" max="11529" width="9" style="1288"/>
    <col min="11530" max="11530" width="9.375" style="1288" bestFit="1" customWidth="1"/>
    <col min="11531" max="11531" width="4" style="1288" customWidth="1"/>
    <col min="11532" max="11532" width="5.125" style="1288" customWidth="1"/>
    <col min="11533" max="11533" width="13.75" style="1288" customWidth="1"/>
    <col min="11534" max="11776" width="9" style="1288"/>
    <col min="11777" max="11777" width="4.875" style="1288" customWidth="1"/>
    <col min="11778" max="11778" width="13.25" style="1288" customWidth="1"/>
    <col min="11779" max="11779" width="15.625" style="1288" customWidth="1"/>
    <col min="11780" max="11780" width="9.375" style="1288" bestFit="1" customWidth="1"/>
    <col min="11781" max="11781" width="13.5" style="1288" customWidth="1"/>
    <col min="11782" max="11782" width="9" style="1288"/>
    <col min="11783" max="11783" width="9.375" style="1288" bestFit="1" customWidth="1"/>
    <col min="11784" max="11785" width="9" style="1288"/>
    <col min="11786" max="11786" width="9.375" style="1288" bestFit="1" customWidth="1"/>
    <col min="11787" max="11787" width="4" style="1288" customWidth="1"/>
    <col min="11788" max="11788" width="5.125" style="1288" customWidth="1"/>
    <col min="11789" max="11789" width="13.75" style="1288" customWidth="1"/>
    <col min="11790" max="12032" width="9" style="1288"/>
    <col min="12033" max="12033" width="4.875" style="1288" customWidth="1"/>
    <col min="12034" max="12034" width="13.25" style="1288" customWidth="1"/>
    <col min="12035" max="12035" width="15.625" style="1288" customWidth="1"/>
    <col min="12036" max="12036" width="9.375" style="1288" bestFit="1" customWidth="1"/>
    <col min="12037" max="12037" width="13.5" style="1288" customWidth="1"/>
    <col min="12038" max="12038" width="9" style="1288"/>
    <col min="12039" max="12039" width="9.375" style="1288" bestFit="1" customWidth="1"/>
    <col min="12040" max="12041" width="9" style="1288"/>
    <col min="12042" max="12042" width="9.375" style="1288" bestFit="1" customWidth="1"/>
    <col min="12043" max="12043" width="4" style="1288" customWidth="1"/>
    <col min="12044" max="12044" width="5.125" style="1288" customWidth="1"/>
    <col min="12045" max="12045" width="13.75" style="1288" customWidth="1"/>
    <col min="12046" max="12288" width="9" style="1288"/>
    <col min="12289" max="12289" width="4.875" style="1288" customWidth="1"/>
    <col min="12290" max="12290" width="13.25" style="1288" customWidth="1"/>
    <col min="12291" max="12291" width="15.625" style="1288" customWidth="1"/>
    <col min="12292" max="12292" width="9.375" style="1288" bestFit="1" customWidth="1"/>
    <col min="12293" max="12293" width="13.5" style="1288" customWidth="1"/>
    <col min="12294" max="12294" width="9" style="1288"/>
    <col min="12295" max="12295" width="9.375" style="1288" bestFit="1" customWidth="1"/>
    <col min="12296" max="12297" width="9" style="1288"/>
    <col min="12298" max="12298" width="9.375" style="1288" bestFit="1" customWidth="1"/>
    <col min="12299" max="12299" width="4" style="1288" customWidth="1"/>
    <col min="12300" max="12300" width="5.125" style="1288" customWidth="1"/>
    <col min="12301" max="12301" width="13.75" style="1288" customWidth="1"/>
    <col min="12302" max="12544" width="9" style="1288"/>
    <col min="12545" max="12545" width="4.875" style="1288" customWidth="1"/>
    <col min="12546" max="12546" width="13.25" style="1288" customWidth="1"/>
    <col min="12547" max="12547" width="15.625" style="1288" customWidth="1"/>
    <col min="12548" max="12548" width="9.375" style="1288" bestFit="1" customWidth="1"/>
    <col min="12549" max="12549" width="13.5" style="1288" customWidth="1"/>
    <col min="12550" max="12550" width="9" style="1288"/>
    <col min="12551" max="12551" width="9.375" style="1288" bestFit="1" customWidth="1"/>
    <col min="12552" max="12553" width="9" style="1288"/>
    <col min="12554" max="12554" width="9.375" style="1288" bestFit="1" customWidth="1"/>
    <col min="12555" max="12555" width="4" style="1288" customWidth="1"/>
    <col min="12556" max="12556" width="5.125" style="1288" customWidth="1"/>
    <col min="12557" max="12557" width="13.75" style="1288" customWidth="1"/>
    <col min="12558" max="12800" width="9" style="1288"/>
    <col min="12801" max="12801" width="4.875" style="1288" customWidth="1"/>
    <col min="12802" max="12802" width="13.25" style="1288" customWidth="1"/>
    <col min="12803" max="12803" width="15.625" style="1288" customWidth="1"/>
    <col min="12804" max="12804" width="9.375" style="1288" bestFit="1" customWidth="1"/>
    <col min="12805" max="12805" width="13.5" style="1288" customWidth="1"/>
    <col min="12806" max="12806" width="9" style="1288"/>
    <col min="12807" max="12807" width="9.375" style="1288" bestFit="1" customWidth="1"/>
    <col min="12808" max="12809" width="9" style="1288"/>
    <col min="12810" max="12810" width="9.375" style="1288" bestFit="1" customWidth="1"/>
    <col min="12811" max="12811" width="4" style="1288" customWidth="1"/>
    <col min="12812" max="12812" width="5.125" style="1288" customWidth="1"/>
    <col min="12813" max="12813" width="13.75" style="1288" customWidth="1"/>
    <col min="12814" max="13056" width="9" style="1288"/>
    <col min="13057" max="13057" width="4.875" style="1288" customWidth="1"/>
    <col min="13058" max="13058" width="13.25" style="1288" customWidth="1"/>
    <col min="13059" max="13059" width="15.625" style="1288" customWidth="1"/>
    <col min="13060" max="13060" width="9.375" style="1288" bestFit="1" customWidth="1"/>
    <col min="13061" max="13061" width="13.5" style="1288" customWidth="1"/>
    <col min="13062" max="13062" width="9" style="1288"/>
    <col min="13063" max="13063" width="9.375" style="1288" bestFit="1" customWidth="1"/>
    <col min="13064" max="13065" width="9" style="1288"/>
    <col min="13066" max="13066" width="9.375" style="1288" bestFit="1" customWidth="1"/>
    <col min="13067" max="13067" width="4" style="1288" customWidth="1"/>
    <col min="13068" max="13068" width="5.125" style="1288" customWidth="1"/>
    <col min="13069" max="13069" width="13.75" style="1288" customWidth="1"/>
    <col min="13070" max="13312" width="9" style="1288"/>
    <col min="13313" max="13313" width="4.875" style="1288" customWidth="1"/>
    <col min="13314" max="13314" width="13.25" style="1288" customWidth="1"/>
    <col min="13315" max="13315" width="15.625" style="1288" customWidth="1"/>
    <col min="13316" max="13316" width="9.375" style="1288" bestFit="1" customWidth="1"/>
    <col min="13317" max="13317" width="13.5" style="1288" customWidth="1"/>
    <col min="13318" max="13318" width="9" style="1288"/>
    <col min="13319" max="13319" width="9.375" style="1288" bestFit="1" customWidth="1"/>
    <col min="13320" max="13321" width="9" style="1288"/>
    <col min="13322" max="13322" width="9.375" style="1288" bestFit="1" customWidth="1"/>
    <col min="13323" max="13323" width="4" style="1288" customWidth="1"/>
    <col min="13324" max="13324" width="5.125" style="1288" customWidth="1"/>
    <col min="13325" max="13325" width="13.75" style="1288" customWidth="1"/>
    <col min="13326" max="13568" width="9" style="1288"/>
    <col min="13569" max="13569" width="4.875" style="1288" customWidth="1"/>
    <col min="13570" max="13570" width="13.25" style="1288" customWidth="1"/>
    <col min="13571" max="13571" width="15.625" style="1288" customWidth="1"/>
    <col min="13572" max="13572" width="9.375" style="1288" bestFit="1" customWidth="1"/>
    <col min="13573" max="13573" width="13.5" style="1288" customWidth="1"/>
    <col min="13574" max="13574" width="9" style="1288"/>
    <col min="13575" max="13575" width="9.375" style="1288" bestFit="1" customWidth="1"/>
    <col min="13576" max="13577" width="9" style="1288"/>
    <col min="13578" max="13578" width="9.375" style="1288" bestFit="1" customWidth="1"/>
    <col min="13579" max="13579" width="4" style="1288" customWidth="1"/>
    <col min="13580" max="13580" width="5.125" style="1288" customWidth="1"/>
    <col min="13581" max="13581" width="13.75" style="1288" customWidth="1"/>
    <col min="13582" max="13824" width="9" style="1288"/>
    <col min="13825" max="13825" width="4.875" style="1288" customWidth="1"/>
    <col min="13826" max="13826" width="13.25" style="1288" customWidth="1"/>
    <col min="13827" max="13827" width="15.625" style="1288" customWidth="1"/>
    <col min="13828" max="13828" width="9.375" style="1288" bestFit="1" customWidth="1"/>
    <col min="13829" max="13829" width="13.5" style="1288" customWidth="1"/>
    <col min="13830" max="13830" width="9" style="1288"/>
    <col min="13831" max="13831" width="9.375" style="1288" bestFit="1" customWidth="1"/>
    <col min="13832" max="13833" width="9" style="1288"/>
    <col min="13834" max="13834" width="9.375" style="1288" bestFit="1" customWidth="1"/>
    <col min="13835" max="13835" width="4" style="1288" customWidth="1"/>
    <col min="13836" max="13836" width="5.125" style="1288" customWidth="1"/>
    <col min="13837" max="13837" width="13.75" style="1288" customWidth="1"/>
    <col min="13838" max="14080" width="9" style="1288"/>
    <col min="14081" max="14081" width="4.875" style="1288" customWidth="1"/>
    <col min="14082" max="14082" width="13.25" style="1288" customWidth="1"/>
    <col min="14083" max="14083" width="15.625" style="1288" customWidth="1"/>
    <col min="14084" max="14084" width="9.375" style="1288" bestFit="1" customWidth="1"/>
    <col min="14085" max="14085" width="13.5" style="1288" customWidth="1"/>
    <col min="14086" max="14086" width="9" style="1288"/>
    <col min="14087" max="14087" width="9.375" style="1288" bestFit="1" customWidth="1"/>
    <col min="14088" max="14089" width="9" style="1288"/>
    <col min="14090" max="14090" width="9.375" style="1288" bestFit="1" customWidth="1"/>
    <col min="14091" max="14091" width="4" style="1288" customWidth="1"/>
    <col min="14092" max="14092" width="5.125" style="1288" customWidth="1"/>
    <col min="14093" max="14093" width="13.75" style="1288" customWidth="1"/>
    <col min="14094" max="14336" width="9" style="1288"/>
    <col min="14337" max="14337" width="4.875" style="1288" customWidth="1"/>
    <col min="14338" max="14338" width="13.25" style="1288" customWidth="1"/>
    <col min="14339" max="14339" width="15.625" style="1288" customWidth="1"/>
    <col min="14340" max="14340" width="9.375" style="1288" bestFit="1" customWidth="1"/>
    <col min="14341" max="14341" width="13.5" style="1288" customWidth="1"/>
    <col min="14342" max="14342" width="9" style="1288"/>
    <col min="14343" max="14343" width="9.375" style="1288" bestFit="1" customWidth="1"/>
    <col min="14344" max="14345" width="9" style="1288"/>
    <col min="14346" max="14346" width="9.375" style="1288" bestFit="1" customWidth="1"/>
    <col min="14347" max="14347" width="4" style="1288" customWidth="1"/>
    <col min="14348" max="14348" width="5.125" style="1288" customWidth="1"/>
    <col min="14349" max="14349" width="13.75" style="1288" customWidth="1"/>
    <col min="14350" max="14592" width="9" style="1288"/>
    <col min="14593" max="14593" width="4.875" style="1288" customWidth="1"/>
    <col min="14594" max="14594" width="13.25" style="1288" customWidth="1"/>
    <col min="14595" max="14595" width="15.625" style="1288" customWidth="1"/>
    <col min="14596" max="14596" width="9.375" style="1288" bestFit="1" customWidth="1"/>
    <col min="14597" max="14597" width="13.5" style="1288" customWidth="1"/>
    <col min="14598" max="14598" width="9" style="1288"/>
    <col min="14599" max="14599" width="9.375" style="1288" bestFit="1" customWidth="1"/>
    <col min="14600" max="14601" width="9" style="1288"/>
    <col min="14602" max="14602" width="9.375" style="1288" bestFit="1" customWidth="1"/>
    <col min="14603" max="14603" width="4" style="1288" customWidth="1"/>
    <col min="14604" max="14604" width="5.125" style="1288" customWidth="1"/>
    <col min="14605" max="14605" width="13.75" style="1288" customWidth="1"/>
    <col min="14606" max="14848" width="9" style="1288"/>
    <col min="14849" max="14849" width="4.875" style="1288" customWidth="1"/>
    <col min="14850" max="14850" width="13.25" style="1288" customWidth="1"/>
    <col min="14851" max="14851" width="15.625" style="1288" customWidth="1"/>
    <col min="14852" max="14852" width="9.375" style="1288" bestFit="1" customWidth="1"/>
    <col min="14853" max="14853" width="13.5" style="1288" customWidth="1"/>
    <col min="14854" max="14854" width="9" style="1288"/>
    <col min="14855" max="14855" width="9.375" style="1288" bestFit="1" customWidth="1"/>
    <col min="14856" max="14857" width="9" style="1288"/>
    <col min="14858" max="14858" width="9.375" style="1288" bestFit="1" customWidth="1"/>
    <col min="14859" max="14859" width="4" style="1288" customWidth="1"/>
    <col min="14860" max="14860" width="5.125" style="1288" customWidth="1"/>
    <col min="14861" max="14861" width="13.75" style="1288" customWidth="1"/>
    <col min="14862" max="15104" width="9" style="1288"/>
    <col min="15105" max="15105" width="4.875" style="1288" customWidth="1"/>
    <col min="15106" max="15106" width="13.25" style="1288" customWidth="1"/>
    <col min="15107" max="15107" width="15.625" style="1288" customWidth="1"/>
    <col min="15108" max="15108" width="9.375" style="1288" bestFit="1" customWidth="1"/>
    <col min="15109" max="15109" width="13.5" style="1288" customWidth="1"/>
    <col min="15110" max="15110" width="9" style="1288"/>
    <col min="15111" max="15111" width="9.375" style="1288" bestFit="1" customWidth="1"/>
    <col min="15112" max="15113" width="9" style="1288"/>
    <col min="15114" max="15114" width="9.375" style="1288" bestFit="1" customWidth="1"/>
    <col min="15115" max="15115" width="4" style="1288" customWidth="1"/>
    <col min="15116" max="15116" width="5.125" style="1288" customWidth="1"/>
    <col min="15117" max="15117" width="13.75" style="1288" customWidth="1"/>
    <col min="15118" max="15360" width="9" style="1288"/>
    <col min="15361" max="15361" width="4.875" style="1288" customWidth="1"/>
    <col min="15362" max="15362" width="13.25" style="1288" customWidth="1"/>
    <col min="15363" max="15363" width="15.625" style="1288" customWidth="1"/>
    <col min="15364" max="15364" width="9.375" style="1288" bestFit="1" customWidth="1"/>
    <col min="15365" max="15365" width="13.5" style="1288" customWidth="1"/>
    <col min="15366" max="15366" width="9" style="1288"/>
    <col min="15367" max="15367" width="9.375" style="1288" bestFit="1" customWidth="1"/>
    <col min="15368" max="15369" width="9" style="1288"/>
    <col min="15370" max="15370" width="9.375" style="1288" bestFit="1" customWidth="1"/>
    <col min="15371" max="15371" width="4" style="1288" customWidth="1"/>
    <col min="15372" max="15372" width="5.125" style="1288" customWidth="1"/>
    <col min="15373" max="15373" width="13.75" style="1288" customWidth="1"/>
    <col min="15374" max="15616" width="9" style="1288"/>
    <col min="15617" max="15617" width="4.875" style="1288" customWidth="1"/>
    <col min="15618" max="15618" width="13.25" style="1288" customWidth="1"/>
    <col min="15619" max="15619" width="15.625" style="1288" customWidth="1"/>
    <col min="15620" max="15620" width="9.375" style="1288" bestFit="1" customWidth="1"/>
    <col min="15621" max="15621" width="13.5" style="1288" customWidth="1"/>
    <col min="15622" max="15622" width="9" style="1288"/>
    <col min="15623" max="15623" width="9.375" style="1288" bestFit="1" customWidth="1"/>
    <col min="15624" max="15625" width="9" style="1288"/>
    <col min="15626" max="15626" width="9.375" style="1288" bestFit="1" customWidth="1"/>
    <col min="15627" max="15627" width="4" style="1288" customWidth="1"/>
    <col min="15628" max="15628" width="5.125" style="1288" customWidth="1"/>
    <col min="15629" max="15629" width="13.75" style="1288" customWidth="1"/>
    <col min="15630" max="15872" width="9" style="1288"/>
    <col min="15873" max="15873" width="4.875" style="1288" customWidth="1"/>
    <col min="15874" max="15874" width="13.25" style="1288" customWidth="1"/>
    <col min="15875" max="15875" width="15.625" style="1288" customWidth="1"/>
    <col min="15876" max="15876" width="9.375" style="1288" bestFit="1" customWidth="1"/>
    <col min="15877" max="15877" width="13.5" style="1288" customWidth="1"/>
    <col min="15878" max="15878" width="9" style="1288"/>
    <col min="15879" max="15879" width="9.375" style="1288" bestFit="1" customWidth="1"/>
    <col min="15880" max="15881" width="9" style="1288"/>
    <col min="15882" max="15882" width="9.375" style="1288" bestFit="1" customWidth="1"/>
    <col min="15883" max="15883" width="4" style="1288" customWidth="1"/>
    <col min="15884" max="15884" width="5.125" style="1288" customWidth="1"/>
    <col min="15885" max="15885" width="13.75" style="1288" customWidth="1"/>
    <col min="15886" max="16128" width="9" style="1288"/>
    <col min="16129" max="16129" width="4.875" style="1288" customWidth="1"/>
    <col min="16130" max="16130" width="13.25" style="1288" customWidth="1"/>
    <col min="16131" max="16131" width="15.625" style="1288" customWidth="1"/>
    <col min="16132" max="16132" width="9.375" style="1288" bestFit="1" customWidth="1"/>
    <col min="16133" max="16133" width="13.5" style="1288" customWidth="1"/>
    <col min="16134" max="16134" width="9" style="1288"/>
    <col min="16135" max="16135" width="9.375" style="1288" bestFit="1" customWidth="1"/>
    <col min="16136" max="16137" width="9" style="1288"/>
    <col min="16138" max="16138" width="9.375" style="1288" bestFit="1" customWidth="1"/>
    <col min="16139" max="16139" width="4" style="1288" customWidth="1"/>
    <col min="16140" max="16140" width="5.125" style="1288" customWidth="1"/>
    <col min="16141" max="16141" width="13.75" style="1288" customWidth="1"/>
    <col min="16142" max="16384" width="9" style="1288"/>
  </cols>
  <sheetData>
    <row r="1" spans="1:257" s="1348" customFormat="1" ht="14.25" thickBot="1">
      <c r="A1" s="1342"/>
      <c r="B1" s="1349" t="s">
        <v>1208</v>
      </c>
      <c r="C1" s="1343">
        <f>项目基本情况!D3</f>
        <v>41685</v>
      </c>
      <c r="D1" s="1349" t="s">
        <v>1209</v>
      </c>
      <c r="E1" s="1344">
        <f>'数据-取费表'!B22</f>
        <v>1.5</v>
      </c>
      <c r="F1" s="1349" t="s">
        <v>1210</v>
      </c>
      <c r="G1" s="1345">
        <f ca="1">INDIRECT("d"&amp;$K$1)/100</f>
        <v>6.1500000000000006E-2</v>
      </c>
      <c r="H1" s="1349" t="s">
        <v>1240</v>
      </c>
      <c r="I1" s="1345">
        <f ca="1">F4/100</f>
        <v>0.03</v>
      </c>
      <c r="J1" s="1350">
        <f>IF(C1&gt;C13,0,MATCH(C1,C$13:C$105,-1))+IF(SUMIF(C13:C105,C1,D13:D105)=0,13,12)</f>
        <v>24</v>
      </c>
      <c r="K1" s="1350">
        <f>MATCH(E1,C3:C7,1)+IF(SUMIF(C3:C7,E1,D3:D7)=0,2,1)</f>
        <v>5</v>
      </c>
      <c r="L1" s="1350">
        <f>IF(C1&gt;M13,0,MATCH(C1,M$13:M$100,-1))+IF(SUMIF(M13:M100,C1,N13:N100)=0,13,12)</f>
        <v>19</v>
      </c>
      <c r="M1" s="1342"/>
      <c r="N1" s="1342"/>
      <c r="O1" s="1342"/>
      <c r="P1" s="1342"/>
      <c r="Q1" s="1342"/>
      <c r="R1" s="1342"/>
      <c r="S1" s="1342"/>
      <c r="T1" s="1342"/>
      <c r="U1" s="1342"/>
      <c r="V1" s="1342"/>
      <c r="W1" s="1342"/>
      <c r="X1" s="1342"/>
      <c r="Y1" s="1342"/>
      <c r="Z1" s="1342"/>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46"/>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c r="BU1" s="1346"/>
      <c r="BV1" s="1346"/>
      <c r="BW1" s="1346"/>
      <c r="BX1" s="1346"/>
      <c r="BY1" s="1346"/>
      <c r="BZ1" s="1346"/>
      <c r="CA1" s="1346"/>
      <c r="CB1" s="1346"/>
      <c r="CC1" s="1346"/>
      <c r="CD1" s="1346"/>
      <c r="CE1" s="1346"/>
      <c r="CF1" s="1346"/>
      <c r="CG1" s="1346"/>
      <c r="CH1" s="1346"/>
      <c r="CI1" s="1346"/>
      <c r="CJ1" s="1346"/>
      <c r="CK1" s="1346"/>
      <c r="CL1" s="1346"/>
      <c r="CM1" s="1346"/>
      <c r="CN1" s="1346"/>
      <c r="CO1" s="1346"/>
      <c r="CP1" s="1346"/>
      <c r="CQ1" s="1346"/>
      <c r="CR1" s="1346"/>
      <c r="CS1" s="1346"/>
      <c r="CT1" s="1346"/>
      <c r="CU1" s="1346"/>
      <c r="CV1" s="1346"/>
      <c r="CW1" s="1346"/>
      <c r="CX1" s="1346"/>
      <c r="CY1" s="1346"/>
      <c r="CZ1" s="1346"/>
      <c r="DA1" s="1346"/>
      <c r="DB1" s="1346"/>
      <c r="DC1" s="1346"/>
      <c r="DD1" s="1346"/>
      <c r="DE1" s="1346"/>
      <c r="DF1" s="1346"/>
      <c r="DG1" s="1346"/>
      <c r="DH1" s="1346"/>
      <c r="DI1" s="1346"/>
      <c r="DJ1" s="1346"/>
      <c r="DK1" s="1346"/>
      <c r="DL1" s="1346"/>
      <c r="DM1" s="1346"/>
      <c r="DN1" s="1346"/>
      <c r="DO1" s="1346"/>
      <c r="DP1" s="1346"/>
      <c r="DQ1" s="1346"/>
      <c r="DR1" s="1346"/>
      <c r="DS1" s="1346"/>
      <c r="DT1" s="1346"/>
      <c r="DU1" s="1346"/>
      <c r="DV1" s="1346"/>
      <c r="DW1" s="1346"/>
      <c r="DX1" s="1346"/>
      <c r="DY1" s="1346"/>
      <c r="DZ1" s="1346"/>
      <c r="EA1" s="1346"/>
      <c r="EB1" s="1346"/>
      <c r="EC1" s="1346"/>
      <c r="ED1" s="1346"/>
      <c r="EE1" s="1346"/>
      <c r="EF1" s="1346"/>
      <c r="EG1" s="1346"/>
      <c r="EH1" s="1346"/>
      <c r="EI1" s="1346"/>
      <c r="EJ1" s="1346"/>
      <c r="EK1" s="1346"/>
      <c r="EL1" s="1346"/>
      <c r="EM1" s="1346"/>
      <c r="EN1" s="1346"/>
      <c r="EO1" s="1346"/>
      <c r="EP1" s="1346"/>
      <c r="EQ1" s="1346"/>
      <c r="ER1" s="1346"/>
      <c r="ES1" s="1346"/>
      <c r="ET1" s="1346"/>
      <c r="EU1" s="1346"/>
      <c r="EV1" s="1346"/>
      <c r="EW1" s="1346"/>
      <c r="EX1" s="1346"/>
      <c r="EY1" s="1346"/>
      <c r="EZ1" s="1346"/>
      <c r="FA1" s="1346"/>
      <c r="FB1" s="1346"/>
      <c r="FC1" s="1346"/>
      <c r="FD1" s="1346"/>
      <c r="FE1" s="1346"/>
      <c r="FF1" s="1346"/>
      <c r="FG1" s="1346"/>
      <c r="FH1" s="1346"/>
      <c r="FI1" s="1346"/>
      <c r="FJ1" s="1346"/>
      <c r="FK1" s="1346"/>
      <c r="FL1" s="1346"/>
      <c r="FM1" s="1346"/>
      <c r="FN1" s="1346"/>
      <c r="FO1" s="1346"/>
      <c r="FP1" s="1346"/>
      <c r="FQ1" s="1346"/>
      <c r="FR1" s="1346"/>
      <c r="FS1" s="1346"/>
      <c r="FT1" s="1346"/>
      <c r="FU1" s="1346"/>
      <c r="FV1" s="1346"/>
      <c r="FW1" s="1346"/>
      <c r="FX1" s="1346"/>
      <c r="FY1" s="1346"/>
      <c r="FZ1" s="1346"/>
      <c r="GA1" s="1346"/>
      <c r="GB1" s="1346"/>
      <c r="GC1" s="1346"/>
      <c r="GD1" s="1346"/>
      <c r="GE1" s="1346"/>
      <c r="GF1" s="1346"/>
      <c r="GG1" s="1346"/>
      <c r="GH1" s="1346"/>
      <c r="GI1" s="1346"/>
      <c r="GJ1" s="1346"/>
      <c r="GK1" s="1346"/>
      <c r="GL1" s="1346"/>
      <c r="GM1" s="1346"/>
      <c r="GN1" s="1346"/>
      <c r="GO1" s="1346"/>
      <c r="GP1" s="1346"/>
      <c r="GQ1" s="1346"/>
      <c r="GR1" s="1346"/>
      <c r="GS1" s="1346"/>
      <c r="GT1" s="1346"/>
      <c r="GU1" s="1346"/>
      <c r="GV1" s="1346"/>
      <c r="GW1" s="1346"/>
      <c r="GX1" s="1346"/>
      <c r="GY1" s="1346"/>
      <c r="GZ1" s="1346"/>
      <c r="HA1" s="1346"/>
      <c r="HB1" s="1346"/>
      <c r="HC1" s="1346"/>
      <c r="HD1" s="1346"/>
      <c r="HE1" s="1346"/>
      <c r="HF1" s="1346"/>
      <c r="HG1" s="1346"/>
      <c r="HH1" s="1346"/>
      <c r="HI1" s="1346"/>
      <c r="HJ1" s="1346"/>
      <c r="HK1" s="1346"/>
      <c r="HL1" s="1346"/>
      <c r="HM1" s="1346"/>
      <c r="HN1" s="1346"/>
      <c r="HO1" s="1346"/>
      <c r="HP1" s="1346"/>
      <c r="HQ1" s="1346"/>
      <c r="HR1" s="1346"/>
      <c r="HS1" s="1346"/>
      <c r="HT1" s="1346"/>
      <c r="HU1" s="1346"/>
      <c r="HV1" s="1346"/>
      <c r="HW1" s="1346"/>
      <c r="HX1" s="1346"/>
      <c r="HY1" s="1346"/>
      <c r="HZ1" s="1346"/>
      <c r="IA1" s="1346"/>
      <c r="IB1" s="1346"/>
      <c r="IC1" s="1346"/>
      <c r="ID1" s="1346"/>
      <c r="IE1" s="1346"/>
      <c r="IF1" s="1346"/>
      <c r="IG1" s="1346"/>
      <c r="IH1" s="1346"/>
      <c r="II1" s="1346"/>
      <c r="IJ1" s="1346"/>
      <c r="IK1" s="1346"/>
      <c r="IL1" s="1346"/>
      <c r="IM1" s="1346"/>
      <c r="IN1" s="1346"/>
      <c r="IO1" s="1346"/>
      <c r="IP1" s="1346"/>
      <c r="IQ1" s="1346"/>
      <c r="IR1" s="1346"/>
      <c r="IS1" s="1346"/>
      <c r="IT1" s="1346"/>
      <c r="IU1" s="1346"/>
      <c r="IV1" s="1346"/>
      <c r="IW1" s="1347"/>
    </row>
    <row r="2" spans="1:257" ht="15" thickTop="1" thickBot="1">
      <c r="A2" s="1289"/>
      <c r="B2" s="1289"/>
      <c r="C2" s="1289"/>
      <c r="D2" s="1289" t="s">
        <v>1211</v>
      </c>
      <c r="E2" s="1289"/>
      <c r="F2" s="1289" t="s">
        <v>1212</v>
      </c>
      <c r="G2" s="1290"/>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1289"/>
      <c r="AZ2" s="1289"/>
      <c r="BA2" s="1289"/>
      <c r="BB2" s="1289"/>
      <c r="BC2" s="1289"/>
      <c r="BD2" s="1289"/>
      <c r="BE2" s="1289"/>
      <c r="BF2" s="1289"/>
      <c r="BG2" s="1289"/>
      <c r="BH2" s="1289"/>
      <c r="BI2" s="1289"/>
      <c r="BJ2" s="1289"/>
      <c r="BK2" s="1289"/>
      <c r="BL2" s="1289"/>
      <c r="BM2" s="1289"/>
      <c r="BN2" s="1289"/>
      <c r="BO2" s="1289"/>
      <c r="BP2" s="1289"/>
      <c r="BQ2" s="1289"/>
      <c r="BR2" s="1289"/>
      <c r="BS2" s="1289"/>
      <c r="BT2" s="1289"/>
      <c r="BU2" s="1289"/>
      <c r="BV2" s="1289"/>
      <c r="BW2" s="1289"/>
      <c r="BX2" s="1289"/>
      <c r="BY2" s="1289"/>
      <c r="BZ2" s="1289"/>
      <c r="CA2" s="1289"/>
      <c r="CB2" s="1289"/>
      <c r="CC2" s="1289"/>
      <c r="CD2" s="1289"/>
      <c r="CE2" s="1289"/>
      <c r="CF2" s="1289"/>
      <c r="CG2" s="1289"/>
      <c r="CH2" s="1289"/>
      <c r="CI2" s="1289"/>
      <c r="CJ2" s="1289"/>
      <c r="CK2" s="1289"/>
      <c r="CL2" s="1289"/>
      <c r="CM2" s="1289"/>
      <c r="CN2" s="1289"/>
      <c r="CO2" s="1289"/>
      <c r="CP2" s="1289"/>
      <c r="CQ2" s="1289"/>
      <c r="CR2" s="1289"/>
      <c r="CS2" s="1289"/>
      <c r="CT2" s="1289"/>
      <c r="CU2" s="1289"/>
      <c r="CV2" s="1289"/>
      <c r="CW2" s="1289"/>
      <c r="CX2" s="1289"/>
      <c r="CY2" s="1289"/>
      <c r="CZ2" s="1289"/>
      <c r="DA2" s="1289"/>
      <c r="DB2" s="1289"/>
      <c r="DC2" s="1289"/>
      <c r="DD2" s="1289"/>
      <c r="DE2" s="1289"/>
      <c r="DF2" s="1289"/>
      <c r="DG2" s="1289"/>
      <c r="DH2" s="1289"/>
      <c r="DI2" s="1289"/>
      <c r="DJ2" s="1289"/>
      <c r="DK2" s="1289"/>
      <c r="DL2" s="1289"/>
      <c r="DM2" s="1289"/>
      <c r="DN2" s="1289"/>
      <c r="DO2" s="1289"/>
      <c r="DP2" s="1289"/>
      <c r="DQ2" s="1289"/>
      <c r="DR2" s="1289"/>
      <c r="DS2" s="1289"/>
      <c r="DT2" s="1289"/>
      <c r="DU2" s="1289"/>
      <c r="DV2" s="1289"/>
      <c r="DW2" s="1289"/>
      <c r="DX2" s="1289"/>
      <c r="DY2" s="1289"/>
      <c r="DZ2" s="1289"/>
      <c r="EA2" s="1289"/>
      <c r="EB2" s="1289"/>
      <c r="EC2" s="1289"/>
      <c r="ED2" s="1289"/>
      <c r="EE2" s="1289"/>
      <c r="EF2" s="1289"/>
      <c r="EG2" s="1289"/>
      <c r="EH2" s="1289"/>
      <c r="EI2" s="1289"/>
      <c r="EJ2" s="1289"/>
      <c r="EK2" s="1289"/>
      <c r="EL2" s="1289"/>
      <c r="EM2" s="1289"/>
      <c r="EN2" s="1289"/>
      <c r="EO2" s="1289"/>
      <c r="EP2" s="1289"/>
      <c r="EQ2" s="1289"/>
      <c r="ER2" s="1289"/>
      <c r="ES2" s="1289"/>
      <c r="ET2" s="1289"/>
      <c r="EU2" s="1289"/>
      <c r="EV2" s="1289"/>
      <c r="EW2" s="1289"/>
      <c r="EX2" s="1289"/>
      <c r="EY2" s="1289"/>
      <c r="EZ2" s="1289"/>
      <c r="FA2" s="1289"/>
      <c r="FB2" s="1289"/>
      <c r="FC2" s="1289"/>
      <c r="FD2" s="1289"/>
      <c r="FE2" s="1289"/>
      <c r="FF2" s="1289"/>
      <c r="FG2" s="1289"/>
      <c r="FH2" s="1289"/>
      <c r="FI2" s="1289"/>
      <c r="FJ2" s="1289"/>
      <c r="FK2" s="1289"/>
      <c r="FL2" s="1289"/>
      <c r="FM2" s="1289"/>
      <c r="FN2" s="1289"/>
      <c r="FO2" s="1289"/>
      <c r="FP2" s="1289"/>
      <c r="FQ2" s="1289"/>
      <c r="FR2" s="1289"/>
      <c r="FS2" s="1289"/>
      <c r="FT2" s="1289"/>
      <c r="FU2" s="1289"/>
      <c r="FV2" s="1289"/>
      <c r="FW2" s="1289"/>
      <c r="FX2" s="1289"/>
      <c r="FY2" s="1289"/>
      <c r="FZ2" s="1289"/>
      <c r="GA2" s="1289"/>
      <c r="GB2" s="1289"/>
      <c r="GC2" s="1289"/>
      <c r="GD2" s="1289"/>
      <c r="GE2" s="1289"/>
      <c r="GF2" s="1289"/>
      <c r="GG2" s="1289"/>
      <c r="GH2" s="1289"/>
      <c r="GI2" s="1289"/>
      <c r="GJ2" s="1289"/>
      <c r="GK2" s="1289"/>
      <c r="GL2" s="1289"/>
      <c r="GM2" s="1289"/>
      <c r="GN2" s="1289"/>
      <c r="GO2" s="1289"/>
      <c r="GP2" s="1289"/>
      <c r="GQ2" s="1289"/>
      <c r="GR2" s="1289"/>
      <c r="GS2" s="1289"/>
      <c r="GT2" s="1289"/>
      <c r="GU2" s="1289"/>
      <c r="GV2" s="1289"/>
      <c r="GW2" s="1289"/>
      <c r="GX2" s="1289"/>
      <c r="GY2" s="1289"/>
      <c r="GZ2" s="1289"/>
      <c r="HA2" s="1289"/>
      <c r="HB2" s="1289"/>
      <c r="HC2" s="1289"/>
      <c r="HD2" s="1289"/>
      <c r="HE2" s="1289"/>
      <c r="HF2" s="1289"/>
      <c r="HG2" s="1289"/>
      <c r="HH2" s="1289"/>
      <c r="HI2" s="1289"/>
      <c r="HJ2" s="1289"/>
      <c r="HK2" s="1289"/>
      <c r="HL2" s="1289"/>
      <c r="HM2" s="1289"/>
      <c r="HN2" s="1289"/>
      <c r="HO2" s="1289"/>
      <c r="HP2" s="1289"/>
      <c r="HQ2" s="1289"/>
      <c r="HR2" s="1289"/>
      <c r="HS2" s="1289"/>
      <c r="HT2" s="1289"/>
      <c r="HU2" s="1289"/>
      <c r="HV2" s="1289"/>
      <c r="HW2" s="1289"/>
      <c r="HX2" s="1289"/>
      <c r="HY2" s="1289"/>
      <c r="HZ2" s="1289"/>
      <c r="IA2" s="1289"/>
      <c r="IB2" s="1289"/>
      <c r="IC2" s="1289"/>
      <c r="ID2" s="1289"/>
      <c r="IE2" s="1289"/>
      <c r="IF2" s="1289"/>
      <c r="IG2" s="1289"/>
      <c r="IH2" s="1289"/>
      <c r="II2" s="1289"/>
      <c r="IJ2" s="1289"/>
      <c r="IK2" s="1289"/>
      <c r="IL2" s="1289"/>
      <c r="IM2" s="1289"/>
      <c r="IN2" s="1289"/>
      <c r="IO2" s="1289"/>
      <c r="IP2" s="1289"/>
      <c r="IQ2" s="1289"/>
      <c r="IR2" s="1289"/>
      <c r="IS2" s="1289"/>
      <c r="IT2" s="1289"/>
      <c r="IU2" s="1289"/>
      <c r="IV2" s="1289"/>
      <c r="IW2" s="1289"/>
    </row>
    <row r="3" spans="1:257">
      <c r="B3" s="1292" t="s">
        <v>1213</v>
      </c>
      <c r="C3" s="1293">
        <v>0</v>
      </c>
      <c r="D3" s="1294">
        <f ca="1">INDIRECT("d"&amp;$J$1)</f>
        <v>5.6</v>
      </c>
      <c r="E3" s="1295">
        <v>0.5</v>
      </c>
      <c r="F3" s="1296">
        <f ca="1">INDIRECT("p"&amp;$L$1)</f>
        <v>2.8</v>
      </c>
      <c r="G3" s="1291"/>
      <c r="H3" s="1291"/>
      <c r="I3" s="1291"/>
      <c r="J3" s="1291"/>
      <c r="L3" s="1291"/>
      <c r="M3" s="1291"/>
      <c r="N3" s="1291"/>
      <c r="O3" s="1291"/>
      <c r="P3" s="1291"/>
      <c r="Q3" s="1291"/>
      <c r="R3" s="1291"/>
      <c r="S3" s="1291"/>
      <c r="T3" s="1291"/>
      <c r="U3" s="1291"/>
      <c r="V3" s="1291"/>
      <c r="W3" s="1291"/>
      <c r="X3" s="1291"/>
      <c r="Y3" s="1291"/>
      <c r="Z3" s="1291"/>
    </row>
    <row r="4" spans="1:257">
      <c r="B4" s="1298" t="s">
        <v>1214</v>
      </c>
      <c r="C4" s="1299">
        <v>0.5</v>
      </c>
      <c r="D4" s="1300">
        <f ca="1">INDIRECT("e"&amp;$J$1)</f>
        <v>6</v>
      </c>
      <c r="E4" s="1301">
        <v>1</v>
      </c>
      <c r="F4" s="1302">
        <f ca="1">INDIRECT("q"&amp;$L$1)</f>
        <v>3</v>
      </c>
      <c r="G4" s="1291"/>
      <c r="H4" s="1291"/>
      <c r="I4" s="1291"/>
      <c r="J4" s="1291"/>
      <c r="L4" s="1291"/>
      <c r="M4" s="1291"/>
      <c r="N4" s="1291"/>
      <c r="O4" s="1291"/>
      <c r="P4" s="1291"/>
      <c r="Q4" s="1291"/>
      <c r="R4" s="1291"/>
      <c r="S4" s="1291"/>
      <c r="T4" s="1291"/>
      <c r="U4" s="1291"/>
      <c r="V4" s="1291"/>
      <c r="W4" s="1291"/>
      <c r="X4" s="1291"/>
      <c r="Y4" s="1291"/>
      <c r="Z4" s="1291"/>
    </row>
    <row r="5" spans="1:257">
      <c r="B5" s="1298" t="s">
        <v>1215</v>
      </c>
      <c r="C5" s="1299">
        <v>1</v>
      </c>
      <c r="D5" s="1300">
        <f ca="1">INDIRECT("f"&amp;$J$1)</f>
        <v>6.15</v>
      </c>
      <c r="E5" s="1301">
        <v>2</v>
      </c>
      <c r="F5" s="1302">
        <f ca="1">INDIRECT("r"&amp;$L$1)</f>
        <v>3.75</v>
      </c>
      <c r="G5" s="1291"/>
      <c r="H5" s="1291"/>
      <c r="I5" s="1291"/>
      <c r="J5" s="1291"/>
      <c r="L5" s="1291"/>
      <c r="M5" s="1291"/>
      <c r="N5" s="1291"/>
      <c r="O5" s="1291"/>
      <c r="P5" s="1291"/>
      <c r="Q5" s="1291"/>
      <c r="R5" s="1291"/>
      <c r="S5" s="1291"/>
      <c r="T5" s="1291"/>
      <c r="U5" s="1291"/>
      <c r="V5" s="1291"/>
      <c r="W5" s="1291"/>
      <c r="X5" s="1291"/>
      <c r="Y5" s="1291"/>
      <c r="Z5" s="1291"/>
    </row>
    <row r="6" spans="1:257">
      <c r="B6" s="1298" t="s">
        <v>1216</v>
      </c>
      <c r="C6" s="1299">
        <v>3</v>
      </c>
      <c r="D6" s="1300">
        <f ca="1">INDIRECT("g"&amp;$J$1)</f>
        <v>6.4</v>
      </c>
      <c r="E6" s="1301">
        <v>3</v>
      </c>
      <c r="F6" s="1302">
        <f ca="1">INDIRECT("s"&amp;$L$1)</f>
        <v>4.25</v>
      </c>
      <c r="G6" s="1291"/>
      <c r="H6" s="1291"/>
      <c r="I6" s="1291"/>
      <c r="J6" s="1291"/>
      <c r="L6" s="1291"/>
      <c r="M6" s="1291"/>
      <c r="N6" s="1291"/>
      <c r="O6" s="1291"/>
      <c r="P6" s="1291"/>
      <c r="Q6" s="1291"/>
      <c r="R6" s="1291"/>
      <c r="S6" s="1291"/>
      <c r="T6" s="1291"/>
      <c r="U6" s="1291"/>
      <c r="V6" s="1291"/>
      <c r="W6" s="1291"/>
      <c r="X6" s="1291"/>
      <c r="Y6" s="1291"/>
      <c r="Z6" s="1291"/>
    </row>
    <row r="7" spans="1:257" ht="14.25" thickBot="1">
      <c r="B7" s="1303" t="s">
        <v>1217</v>
      </c>
      <c r="C7" s="1304">
        <v>5</v>
      </c>
      <c r="D7" s="1305">
        <f ca="1">INDIRECT("h"&amp;$J$1)</f>
        <v>6.55</v>
      </c>
      <c r="E7" s="1306">
        <v>5</v>
      </c>
      <c r="F7" s="1307">
        <f ca="1">INDIRECT("t"&amp;$L$1)</f>
        <v>4.75</v>
      </c>
      <c r="G7" s="1291"/>
      <c r="H7" s="1291"/>
      <c r="I7" s="1291"/>
      <c r="J7" s="1291"/>
      <c r="L7" s="1291"/>
      <c r="M7" s="1291"/>
      <c r="N7" s="1291"/>
      <c r="O7" s="1291"/>
      <c r="P7" s="1291"/>
      <c r="Q7" s="1291"/>
      <c r="R7" s="1291"/>
      <c r="S7" s="1291"/>
      <c r="T7" s="1291"/>
      <c r="U7" s="1291"/>
      <c r="V7" s="1291"/>
      <c r="W7" s="1291"/>
      <c r="X7" s="1291"/>
      <c r="Y7" s="1291"/>
      <c r="Z7" s="1291"/>
    </row>
    <row r="8" spans="1:257">
      <c r="A8" s="1308"/>
      <c r="B8" s="1309"/>
      <c r="C8" s="1310"/>
      <c r="D8" s="1291"/>
      <c r="E8" s="1291"/>
      <c r="F8" s="1291"/>
      <c r="G8" s="1291"/>
      <c r="H8" s="1291"/>
      <c r="I8" s="1291"/>
      <c r="J8" s="1291"/>
      <c r="L8" s="1291"/>
      <c r="M8" s="1291"/>
      <c r="N8" s="1291"/>
      <c r="O8" s="1291"/>
      <c r="P8" s="1291"/>
      <c r="Q8" s="1291"/>
      <c r="R8" s="1291"/>
      <c r="S8" s="1291"/>
      <c r="T8" s="1291"/>
      <c r="U8" s="1291"/>
      <c r="V8" s="1291"/>
      <c r="W8" s="1291"/>
      <c r="X8" s="1291"/>
      <c r="Y8" s="1291"/>
      <c r="Z8" s="1291"/>
    </row>
    <row r="9" spans="1:257" ht="20.25">
      <c r="A9" s="1311"/>
      <c r="B9" s="1312" t="s">
        <v>1218</v>
      </c>
      <c r="C9" s="1313"/>
      <c r="D9" s="1314"/>
      <c r="E9" s="1314"/>
      <c r="F9" s="1314"/>
      <c r="G9" s="1314"/>
      <c r="H9" s="1314"/>
      <c r="I9" s="1314"/>
      <c r="J9" s="1314"/>
      <c r="K9" s="1314"/>
      <c r="L9" s="1314"/>
      <c r="M9" s="1314"/>
      <c r="N9" s="1314"/>
      <c r="O9" s="1314"/>
      <c r="P9" s="1314"/>
      <c r="Q9" s="1314"/>
      <c r="R9" s="1314"/>
      <c r="S9" s="1314"/>
      <c r="T9" s="1314"/>
      <c r="U9" s="1314"/>
      <c r="V9" s="1314"/>
      <c r="W9" s="1314"/>
      <c r="X9" s="1314"/>
      <c r="Y9" s="1314"/>
      <c r="Z9" s="1314"/>
      <c r="AA9" s="1315"/>
      <c r="AB9" s="1315"/>
      <c r="AC9" s="1315"/>
      <c r="AD9" s="1315"/>
      <c r="AE9" s="1315"/>
      <c r="AF9" s="1315"/>
      <c r="AG9" s="1315"/>
      <c r="AH9" s="1315"/>
      <c r="AI9" s="1315"/>
      <c r="AJ9" s="1315"/>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c r="BN9" s="1315"/>
      <c r="BO9" s="1315"/>
      <c r="BP9" s="1315"/>
      <c r="BQ9" s="1315"/>
      <c r="BR9" s="1315"/>
      <c r="BS9" s="1315"/>
      <c r="BT9" s="1315"/>
      <c r="BU9" s="1315"/>
      <c r="BV9" s="1315"/>
      <c r="BW9" s="1315"/>
      <c r="BX9" s="1315"/>
      <c r="BY9" s="1315"/>
      <c r="BZ9" s="1315"/>
      <c r="CA9" s="1315"/>
      <c r="CB9" s="1315"/>
      <c r="CC9" s="1315"/>
      <c r="CD9" s="1315"/>
      <c r="CE9" s="1315"/>
      <c r="CF9" s="1315"/>
      <c r="CG9" s="1315"/>
      <c r="CH9" s="1315"/>
      <c r="CI9" s="1315"/>
      <c r="CJ9" s="1315"/>
      <c r="CK9" s="1315"/>
      <c r="CL9" s="1315"/>
      <c r="CM9" s="1315"/>
      <c r="CN9" s="1315"/>
      <c r="CO9" s="1315"/>
      <c r="CP9" s="1315"/>
      <c r="CQ9" s="1315"/>
      <c r="CR9" s="1315"/>
      <c r="CS9" s="1315"/>
      <c r="CT9" s="1315"/>
      <c r="CU9" s="1315"/>
      <c r="CV9" s="1315"/>
      <c r="CW9" s="1315"/>
      <c r="CX9" s="1315"/>
      <c r="CY9" s="1315"/>
      <c r="CZ9" s="1315"/>
      <c r="DA9" s="1315"/>
      <c r="DB9" s="1315"/>
      <c r="DC9" s="1315"/>
      <c r="DD9" s="1315"/>
      <c r="DE9" s="1315"/>
      <c r="DF9" s="1315"/>
      <c r="DG9" s="1315"/>
      <c r="DH9" s="1315"/>
      <c r="DI9" s="1315"/>
      <c r="DJ9" s="1315"/>
      <c r="DK9" s="1315"/>
      <c r="DL9" s="1315"/>
      <c r="DM9" s="1315"/>
      <c r="DN9" s="1315"/>
      <c r="DO9" s="1315"/>
      <c r="DP9" s="1315"/>
      <c r="DQ9" s="1315"/>
      <c r="DR9" s="1315"/>
      <c r="DS9" s="1315"/>
      <c r="DT9" s="1315"/>
      <c r="DU9" s="1315"/>
      <c r="DV9" s="1315"/>
      <c r="DW9" s="1315"/>
      <c r="DX9" s="1315"/>
      <c r="DY9" s="1315"/>
      <c r="DZ9" s="1315"/>
      <c r="EA9" s="1315"/>
      <c r="EB9" s="1315"/>
      <c r="EC9" s="1315"/>
      <c r="ED9" s="1315"/>
      <c r="EE9" s="1315"/>
      <c r="EF9" s="1315"/>
      <c r="EG9" s="1315"/>
      <c r="EH9" s="1315"/>
      <c r="EI9" s="1315"/>
      <c r="EJ9" s="1315"/>
      <c r="EK9" s="1315"/>
      <c r="EL9" s="1315"/>
      <c r="EM9" s="1315"/>
      <c r="EN9" s="1315"/>
      <c r="EO9" s="1315"/>
      <c r="EP9" s="1315"/>
      <c r="EQ9" s="1315"/>
      <c r="ER9" s="1315"/>
      <c r="ES9" s="1315"/>
      <c r="ET9" s="1315"/>
      <c r="EU9" s="1315"/>
      <c r="EV9" s="1315"/>
      <c r="EW9" s="1315"/>
      <c r="EX9" s="1315"/>
      <c r="EY9" s="1315"/>
      <c r="EZ9" s="1315"/>
      <c r="FA9" s="1315"/>
      <c r="FB9" s="1315"/>
      <c r="FC9" s="1315"/>
      <c r="FD9" s="1315"/>
      <c r="FE9" s="1315"/>
      <c r="FF9" s="1315"/>
      <c r="FG9" s="1315"/>
      <c r="FH9" s="1315"/>
      <c r="FI9" s="1315"/>
      <c r="FJ9" s="1315"/>
      <c r="FK9" s="1315"/>
      <c r="FL9" s="1315"/>
      <c r="FM9" s="1315"/>
      <c r="FN9" s="1315"/>
      <c r="FO9" s="1315"/>
      <c r="FP9" s="1315"/>
      <c r="FQ9" s="1315"/>
      <c r="FR9" s="1315"/>
      <c r="FS9" s="1315"/>
      <c r="FT9" s="1315"/>
      <c r="FU9" s="1315"/>
      <c r="FV9" s="1315"/>
      <c r="FW9" s="1315"/>
      <c r="FX9" s="1315"/>
      <c r="FY9" s="1315"/>
      <c r="FZ9" s="1315"/>
      <c r="GA9" s="1315"/>
      <c r="GB9" s="1315"/>
      <c r="GC9" s="1315"/>
      <c r="GD9" s="1315"/>
      <c r="GE9" s="1315"/>
      <c r="GF9" s="1315"/>
      <c r="GG9" s="1315"/>
      <c r="GH9" s="1315"/>
      <c r="GI9" s="1315"/>
      <c r="GJ9" s="1315"/>
      <c r="GK9" s="1315"/>
      <c r="GL9" s="1315"/>
      <c r="GM9" s="1315"/>
      <c r="GN9" s="1315"/>
      <c r="GO9" s="1315"/>
      <c r="GP9" s="1315"/>
      <c r="GQ9" s="1315"/>
      <c r="GR9" s="1315"/>
      <c r="GS9" s="1315"/>
      <c r="GT9" s="1315"/>
      <c r="GU9" s="1315"/>
      <c r="GV9" s="1315"/>
      <c r="GW9" s="1315"/>
      <c r="GX9" s="1315"/>
      <c r="GY9" s="1315"/>
      <c r="GZ9" s="1315"/>
      <c r="HA9" s="1315"/>
      <c r="HB9" s="1315"/>
      <c r="HC9" s="1315"/>
      <c r="HD9" s="1315"/>
      <c r="HE9" s="1315"/>
      <c r="HF9" s="1315"/>
      <c r="HG9" s="1315"/>
      <c r="HH9" s="1315"/>
      <c r="HI9" s="1315"/>
      <c r="HJ9" s="1315"/>
      <c r="HK9" s="1315"/>
      <c r="HL9" s="1315"/>
      <c r="HM9" s="1315"/>
      <c r="HN9" s="1315"/>
      <c r="HO9" s="1315"/>
      <c r="HP9" s="1315"/>
      <c r="HQ9" s="1315"/>
      <c r="HR9" s="1315"/>
      <c r="HS9" s="1315"/>
      <c r="HT9" s="1315"/>
      <c r="HU9" s="1315"/>
      <c r="HV9" s="1315"/>
      <c r="HW9" s="1315"/>
      <c r="HX9" s="1315"/>
      <c r="HY9" s="1315"/>
      <c r="HZ9" s="1315"/>
      <c r="IA9" s="1315"/>
      <c r="IB9" s="1315"/>
      <c r="IC9" s="1315"/>
      <c r="ID9" s="1315"/>
      <c r="IE9" s="1315"/>
      <c r="IF9" s="1315"/>
      <c r="IG9" s="1315"/>
      <c r="IH9" s="1315"/>
      <c r="II9" s="1315"/>
      <c r="IJ9" s="1315"/>
      <c r="IK9" s="1315"/>
      <c r="IL9" s="1315"/>
      <c r="IM9" s="1315"/>
      <c r="IN9" s="1315"/>
      <c r="IO9" s="1315"/>
      <c r="IP9" s="1315"/>
      <c r="IQ9" s="1315"/>
      <c r="IR9" s="1315"/>
      <c r="IS9" s="1315"/>
      <c r="IT9" s="1315"/>
      <c r="IU9" s="1315"/>
      <c r="IV9" s="1315"/>
      <c r="IW9" s="1316"/>
    </row>
    <row r="10" spans="1:257" ht="22.5">
      <c r="A10" s="1317"/>
      <c r="B10" s="1318" t="s">
        <v>1219</v>
      </c>
      <c r="C10" s="1317"/>
      <c r="D10" s="1317"/>
      <c r="E10" s="1317"/>
      <c r="F10" s="1317"/>
      <c r="G10" s="1317"/>
      <c r="H10" s="1317"/>
      <c r="I10" s="1291"/>
      <c r="J10" s="1291"/>
      <c r="K10" s="1317"/>
      <c r="L10" s="1318" t="s">
        <v>1220</v>
      </c>
      <c r="M10" s="1317"/>
      <c r="N10" s="1317"/>
      <c r="O10" s="1317"/>
      <c r="P10" s="1317"/>
      <c r="Q10" s="1317"/>
      <c r="R10" s="1317"/>
      <c r="S10" s="1317"/>
      <c r="T10" s="1317"/>
      <c r="U10" s="1317"/>
      <c r="V10" s="1317"/>
      <c r="W10" s="1317"/>
      <c r="X10" s="1317"/>
      <c r="Y10" s="1317"/>
      <c r="Z10" s="1317"/>
      <c r="AA10" s="1319"/>
      <c r="AB10" s="1319"/>
      <c r="AC10" s="1319"/>
      <c r="AD10" s="1319"/>
      <c r="AE10" s="1319"/>
      <c r="AF10" s="1319"/>
      <c r="AG10" s="1319"/>
      <c r="AH10" s="1319"/>
      <c r="AI10" s="1319"/>
      <c r="AJ10" s="1319"/>
      <c r="AK10" s="1319"/>
      <c r="AL10" s="1319"/>
      <c r="AM10" s="1319"/>
      <c r="AN10" s="1319"/>
      <c r="AO10" s="1319"/>
      <c r="AP10" s="1319"/>
      <c r="AQ10" s="1319"/>
      <c r="AR10" s="1319"/>
      <c r="AS10" s="1319"/>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c r="BP10" s="1319"/>
      <c r="BQ10" s="1319"/>
      <c r="BR10" s="1319"/>
      <c r="BS10" s="1319"/>
      <c r="BT10" s="1319"/>
      <c r="BU10" s="1319"/>
      <c r="BV10" s="1319"/>
      <c r="BW10" s="1319"/>
      <c r="BX10" s="1319"/>
      <c r="BY10" s="1319"/>
      <c r="BZ10" s="1319"/>
      <c r="CA10" s="1319"/>
      <c r="CB10" s="1319"/>
      <c r="CC10" s="1319"/>
      <c r="CD10" s="1319"/>
      <c r="CE10" s="1319"/>
      <c r="CF10" s="1319"/>
      <c r="CG10" s="1319"/>
      <c r="CH10" s="1319"/>
      <c r="CI10" s="1319"/>
      <c r="CJ10" s="1319"/>
      <c r="CK10" s="1319"/>
      <c r="CL10" s="1319"/>
      <c r="CM10" s="1319"/>
      <c r="CN10" s="1319"/>
      <c r="CO10" s="1319"/>
      <c r="CP10" s="1319"/>
      <c r="CQ10" s="1319"/>
      <c r="CR10" s="1319"/>
      <c r="CS10" s="1319"/>
      <c r="CT10" s="1319"/>
      <c r="CU10" s="1319"/>
      <c r="CV10" s="1319"/>
      <c r="CW10" s="1319"/>
      <c r="CX10" s="1319"/>
      <c r="CY10" s="1319"/>
      <c r="CZ10" s="1319"/>
      <c r="DA10" s="1319"/>
      <c r="DB10" s="1319"/>
      <c r="DC10" s="1319"/>
      <c r="DD10" s="1319"/>
      <c r="DE10" s="1319"/>
      <c r="DF10" s="1319"/>
      <c r="DG10" s="1319"/>
      <c r="DH10" s="1319"/>
      <c r="DI10" s="1319"/>
      <c r="DJ10" s="1319"/>
      <c r="DK10" s="1319"/>
      <c r="DL10" s="1319"/>
      <c r="DM10" s="1319"/>
      <c r="DN10" s="1319"/>
      <c r="DO10" s="1319"/>
      <c r="DP10" s="1319"/>
      <c r="DQ10" s="1319"/>
      <c r="DR10" s="1319"/>
      <c r="DS10" s="1319"/>
      <c r="DT10" s="1319"/>
      <c r="DU10" s="1319"/>
      <c r="DV10" s="1319"/>
      <c r="DW10" s="1319"/>
      <c r="DX10" s="1319"/>
      <c r="DY10" s="1319"/>
      <c r="DZ10" s="1319"/>
      <c r="EA10" s="1319"/>
      <c r="EB10" s="1319"/>
      <c r="EC10" s="1319"/>
      <c r="ED10" s="1319"/>
      <c r="EE10" s="1319"/>
      <c r="EF10" s="1319"/>
      <c r="EG10" s="1319"/>
      <c r="EH10" s="1319"/>
      <c r="EI10" s="1319"/>
      <c r="EJ10" s="1319"/>
      <c r="EK10" s="1319"/>
      <c r="EL10" s="1319"/>
      <c r="EM10" s="1319"/>
      <c r="EN10" s="1319"/>
      <c r="EO10" s="1319"/>
      <c r="EP10" s="1319"/>
      <c r="EQ10" s="1319"/>
      <c r="ER10" s="1319"/>
      <c r="ES10" s="1319"/>
      <c r="ET10" s="1319"/>
      <c r="EU10" s="1319"/>
      <c r="EV10" s="1319"/>
      <c r="EW10" s="1319"/>
      <c r="EX10" s="1319"/>
      <c r="EY10" s="1319"/>
      <c r="EZ10" s="1319"/>
      <c r="FA10" s="1319"/>
      <c r="FB10" s="1319"/>
      <c r="FC10" s="1319"/>
      <c r="FD10" s="1319"/>
      <c r="FE10" s="1319"/>
      <c r="FF10" s="1319"/>
      <c r="FG10" s="1319"/>
      <c r="FH10" s="1319"/>
      <c r="FI10" s="1319"/>
      <c r="FJ10" s="1319"/>
      <c r="FK10" s="1319"/>
      <c r="FL10" s="1319"/>
      <c r="FM10" s="1319"/>
      <c r="FN10" s="1319"/>
      <c r="FO10" s="1319"/>
      <c r="FP10" s="1319"/>
      <c r="FQ10" s="1319"/>
      <c r="FR10" s="1319"/>
      <c r="FS10" s="1319"/>
      <c r="FT10" s="1319"/>
      <c r="FU10" s="1319"/>
      <c r="FV10" s="1319"/>
      <c r="FW10" s="1319"/>
      <c r="FX10" s="1319"/>
      <c r="FY10" s="1319"/>
      <c r="FZ10" s="1319"/>
      <c r="GA10" s="1319"/>
      <c r="GB10" s="1319"/>
      <c r="GC10" s="1319"/>
      <c r="GD10" s="1319"/>
      <c r="GE10" s="1319"/>
      <c r="GF10" s="1319"/>
      <c r="GG10" s="1319"/>
      <c r="GH10" s="1319"/>
      <c r="GI10" s="1319"/>
      <c r="GJ10" s="1319"/>
      <c r="GK10" s="1319"/>
      <c r="GL10" s="1319"/>
      <c r="GM10" s="1319"/>
      <c r="GN10" s="1319"/>
      <c r="GO10" s="1319"/>
      <c r="GP10" s="1319"/>
      <c r="GQ10" s="1319"/>
      <c r="GR10" s="1319"/>
      <c r="GS10" s="1319"/>
      <c r="GT10" s="1319"/>
      <c r="GU10" s="1319"/>
      <c r="GV10" s="1319"/>
      <c r="GW10" s="1319"/>
      <c r="GX10" s="1319"/>
      <c r="GY10" s="1319"/>
      <c r="GZ10" s="1319"/>
      <c r="HA10" s="1319"/>
      <c r="HB10" s="1319"/>
      <c r="HC10" s="1319"/>
      <c r="HD10" s="1319"/>
      <c r="HE10" s="1319"/>
      <c r="HF10" s="1319"/>
      <c r="HG10" s="1319"/>
      <c r="HH10" s="1319"/>
      <c r="HI10" s="1319"/>
      <c r="HJ10" s="1319"/>
      <c r="HK10" s="1319"/>
      <c r="HL10" s="1319"/>
      <c r="HM10" s="1319"/>
      <c r="HN10" s="1319"/>
      <c r="HO10" s="1319"/>
      <c r="HP10" s="1319"/>
      <c r="HQ10" s="1319"/>
      <c r="HR10" s="1319"/>
      <c r="HS10" s="1319"/>
      <c r="HT10" s="1319"/>
      <c r="HU10" s="1319"/>
      <c r="HV10" s="1319"/>
      <c r="HW10" s="1319"/>
      <c r="HX10" s="1319"/>
      <c r="HY10" s="1319"/>
      <c r="HZ10" s="1319"/>
      <c r="IA10" s="1319"/>
      <c r="IB10" s="1319"/>
      <c r="IC10" s="1319"/>
      <c r="ID10" s="1319"/>
      <c r="IE10" s="1319"/>
      <c r="IF10" s="1319"/>
      <c r="IG10" s="1319"/>
      <c r="IH10" s="1319"/>
      <c r="II10" s="1319"/>
      <c r="IJ10" s="1319"/>
      <c r="IK10" s="1319"/>
      <c r="IL10" s="1319"/>
      <c r="IM10" s="1319"/>
      <c r="IN10" s="1319"/>
      <c r="IO10" s="1319"/>
      <c r="IP10" s="1319"/>
      <c r="IQ10" s="1319"/>
      <c r="IR10" s="1319"/>
      <c r="IS10" s="1319"/>
      <c r="IT10" s="1319"/>
      <c r="IU10" s="1319"/>
      <c r="IV10" s="1319"/>
    </row>
    <row r="11" spans="1:257">
      <c r="A11" s="1320"/>
      <c r="B11" s="1321" t="s">
        <v>1221</v>
      </c>
      <c r="C11" s="1322" t="s">
        <v>1222</v>
      </c>
      <c r="D11" s="1323" t="s">
        <v>1223</v>
      </c>
      <c r="E11" s="1324"/>
      <c r="F11" s="1323" t="s">
        <v>1224</v>
      </c>
      <c r="G11" s="1325"/>
      <c r="H11" s="1324"/>
      <c r="I11" s="1323" t="s">
        <v>1225</v>
      </c>
      <c r="J11" s="1324"/>
      <c r="K11" s="1320"/>
      <c r="L11" s="1321" t="s">
        <v>1221</v>
      </c>
      <c r="M11" s="1322" t="s">
        <v>1222</v>
      </c>
      <c r="N11" s="1321" t="s">
        <v>1226</v>
      </c>
      <c r="O11" s="1323" t="s">
        <v>1227</v>
      </c>
      <c r="P11" s="1325"/>
      <c r="Q11" s="1325"/>
      <c r="R11" s="1325"/>
      <c r="S11" s="1325"/>
      <c r="T11" s="1324"/>
      <c r="U11" s="1323" t="s">
        <v>1228</v>
      </c>
      <c r="V11" s="1325"/>
      <c r="W11" s="1324"/>
      <c r="X11" s="1321" t="s">
        <v>1229</v>
      </c>
      <c r="Y11" s="1321" t="s">
        <v>1230</v>
      </c>
      <c r="Z11" s="1321" t="s">
        <v>1231</v>
      </c>
      <c r="AA11" s="1326"/>
      <c r="AB11" s="1326"/>
      <c r="AC11" s="1326"/>
      <c r="AD11" s="1326"/>
      <c r="AE11" s="1326"/>
      <c r="AF11" s="1326"/>
      <c r="AG11" s="1326"/>
      <c r="AH11" s="1326"/>
      <c r="AI11" s="1326"/>
      <c r="AJ11" s="1326"/>
      <c r="AK11" s="1326"/>
      <c r="AL11" s="1326"/>
      <c r="AM11" s="1326"/>
      <c r="AN11" s="1326"/>
      <c r="AO11" s="1326"/>
      <c r="AP11" s="1326"/>
      <c r="AQ11" s="1326"/>
      <c r="AR11" s="1326"/>
      <c r="AS11" s="1326"/>
      <c r="AT11" s="1326"/>
      <c r="AU11" s="1326"/>
      <c r="AV11" s="1326"/>
      <c r="AW11" s="1326"/>
      <c r="AX11" s="1326"/>
      <c r="AY11" s="1326"/>
      <c r="AZ11" s="1326"/>
      <c r="BA11" s="1326"/>
      <c r="BB11" s="1326"/>
      <c r="BC11" s="1326"/>
      <c r="BD11" s="1326"/>
      <c r="BE11" s="1326"/>
      <c r="BF11" s="1326"/>
      <c r="BG11" s="1326"/>
      <c r="BH11" s="1326"/>
      <c r="BI11" s="1326"/>
      <c r="BJ11" s="1326"/>
      <c r="BK11" s="1326"/>
      <c r="BL11" s="1326"/>
      <c r="BM11" s="1326"/>
      <c r="BN11" s="1326"/>
      <c r="BO11" s="1326"/>
      <c r="BP11" s="1326"/>
      <c r="BQ11" s="1326"/>
      <c r="BR11" s="1326"/>
      <c r="BS11" s="1326"/>
      <c r="BT11" s="1326"/>
      <c r="BU11" s="1326"/>
      <c r="BV11" s="1326"/>
      <c r="BW11" s="1326"/>
      <c r="BX11" s="1326"/>
      <c r="BY11" s="1326"/>
      <c r="BZ11" s="1326"/>
      <c r="CA11" s="1326"/>
      <c r="CB11" s="1326"/>
      <c r="CC11" s="1326"/>
      <c r="CD11" s="1326"/>
      <c r="CE11" s="1326"/>
      <c r="CF11" s="1326"/>
      <c r="CG11" s="1326"/>
      <c r="CH11" s="1326"/>
      <c r="CI11" s="1326"/>
      <c r="CJ11" s="1326"/>
      <c r="CK11" s="1326"/>
      <c r="CL11" s="1326"/>
      <c r="CM11" s="1326"/>
      <c r="CN11" s="1326"/>
      <c r="CO11" s="1326"/>
      <c r="CP11" s="1326"/>
      <c r="CQ11" s="1326"/>
      <c r="CR11" s="1326"/>
      <c r="CS11" s="1326"/>
      <c r="CT11" s="1326"/>
      <c r="CU11" s="1326"/>
      <c r="CV11" s="1326"/>
      <c r="CW11" s="1326"/>
      <c r="CX11" s="1326"/>
      <c r="CY11" s="1326"/>
      <c r="CZ11" s="1326"/>
      <c r="DA11" s="1326"/>
      <c r="DB11" s="1326"/>
      <c r="DC11" s="1326"/>
      <c r="DD11" s="1326"/>
      <c r="DE11" s="1326"/>
      <c r="DF11" s="1326"/>
      <c r="DG11" s="1326"/>
      <c r="DH11" s="1326"/>
      <c r="DI11" s="1326"/>
      <c r="DJ11" s="1326"/>
      <c r="DK11" s="1326"/>
      <c r="DL11" s="1326"/>
      <c r="DM11" s="1326"/>
      <c r="DN11" s="1326"/>
      <c r="DO11" s="1326"/>
      <c r="DP11" s="1326"/>
      <c r="DQ11" s="1326"/>
      <c r="DR11" s="1326"/>
      <c r="DS11" s="1326"/>
      <c r="DT11" s="1326"/>
      <c r="DU11" s="1326"/>
      <c r="DV11" s="1326"/>
      <c r="DW11" s="1326"/>
      <c r="DX11" s="1326"/>
      <c r="DY11" s="1326"/>
      <c r="DZ11" s="1326"/>
      <c r="EA11" s="1326"/>
      <c r="EB11" s="1326"/>
      <c r="EC11" s="1326"/>
      <c r="ED11" s="1326"/>
      <c r="EE11" s="1326"/>
      <c r="EF11" s="1326"/>
      <c r="EG11" s="1326"/>
      <c r="EH11" s="1326"/>
      <c r="EI11" s="1326"/>
      <c r="EJ11" s="1326"/>
      <c r="EK11" s="1326"/>
      <c r="EL11" s="1326"/>
      <c r="EM11" s="1326"/>
      <c r="EN11" s="1326"/>
      <c r="EO11" s="1326"/>
      <c r="EP11" s="1326"/>
      <c r="EQ11" s="1326"/>
      <c r="ER11" s="1326"/>
      <c r="ES11" s="1326"/>
      <c r="ET11" s="1326"/>
      <c r="EU11" s="1326"/>
      <c r="EV11" s="1326"/>
      <c r="EW11" s="1326"/>
      <c r="EX11" s="1326"/>
      <c r="EY11" s="1326"/>
      <c r="EZ11" s="1326"/>
      <c r="FA11" s="1326"/>
      <c r="FB11" s="1326"/>
      <c r="FC11" s="1326"/>
      <c r="FD11" s="1326"/>
      <c r="FE11" s="1326"/>
      <c r="FF11" s="1326"/>
      <c r="FG11" s="1326"/>
      <c r="FH11" s="1326"/>
      <c r="FI11" s="1326"/>
      <c r="FJ11" s="1326"/>
      <c r="FK11" s="1326"/>
      <c r="FL11" s="1326"/>
      <c r="FM11" s="1326"/>
      <c r="FN11" s="1326"/>
      <c r="FO11" s="1326"/>
      <c r="FP11" s="1326"/>
      <c r="FQ11" s="1326"/>
      <c r="FR11" s="1326"/>
      <c r="FS11" s="1326"/>
      <c r="FT11" s="1326"/>
      <c r="FU11" s="1326"/>
      <c r="FV11" s="1326"/>
      <c r="FW11" s="1326"/>
      <c r="FX11" s="1326"/>
      <c r="FY11" s="1326"/>
      <c r="FZ11" s="1326"/>
      <c r="GA11" s="1326"/>
      <c r="GB11" s="1326"/>
      <c r="GC11" s="1326"/>
      <c r="GD11" s="1326"/>
      <c r="GE11" s="1326"/>
      <c r="GF11" s="1326"/>
      <c r="GG11" s="1326"/>
      <c r="GH11" s="1326"/>
      <c r="GI11" s="1326"/>
      <c r="GJ11" s="1326"/>
      <c r="GK11" s="1326"/>
      <c r="GL11" s="1326"/>
      <c r="GM11" s="1326"/>
      <c r="GN11" s="1326"/>
      <c r="GO11" s="1326"/>
      <c r="GP11" s="1326"/>
      <c r="GQ11" s="1326"/>
      <c r="GR11" s="1326"/>
      <c r="GS11" s="1326"/>
      <c r="GT11" s="1326"/>
      <c r="GU11" s="1326"/>
      <c r="GV11" s="1326"/>
      <c r="GW11" s="1326"/>
      <c r="GX11" s="1326"/>
      <c r="GY11" s="1326"/>
      <c r="GZ11" s="1326"/>
      <c r="HA11" s="1326"/>
      <c r="HB11" s="1326"/>
      <c r="HC11" s="1326"/>
      <c r="HD11" s="1326"/>
      <c r="HE11" s="1326"/>
      <c r="HF11" s="1326"/>
      <c r="HG11" s="1326"/>
      <c r="HH11" s="1326"/>
      <c r="HI11" s="1326"/>
      <c r="HJ11" s="1326"/>
      <c r="HK11" s="1326"/>
      <c r="HL11" s="1326"/>
      <c r="HM11" s="1326"/>
      <c r="HN11" s="1326"/>
      <c r="HO11" s="1326"/>
      <c r="HP11" s="1326"/>
      <c r="HQ11" s="1326"/>
      <c r="HR11" s="1326"/>
      <c r="HS11" s="1326"/>
      <c r="HT11" s="1326"/>
      <c r="HU11" s="1326"/>
      <c r="HV11" s="1326"/>
      <c r="HW11" s="1326"/>
      <c r="HX11" s="1326"/>
      <c r="HY11" s="1326"/>
      <c r="HZ11" s="1326"/>
      <c r="IA11" s="1326"/>
      <c r="IB11" s="1326"/>
      <c r="IC11" s="1326"/>
      <c r="ID11" s="1326"/>
      <c r="IE11" s="1326"/>
      <c r="IF11" s="1326"/>
      <c r="IG11" s="1326"/>
      <c r="IH11" s="1326"/>
      <c r="II11" s="1326"/>
      <c r="IJ11" s="1326"/>
      <c r="IK11" s="1326"/>
      <c r="IL11" s="1326"/>
      <c r="IM11" s="1326"/>
      <c r="IN11" s="1326"/>
      <c r="IO11" s="1326"/>
      <c r="IP11" s="1326"/>
      <c r="IQ11" s="1326"/>
      <c r="IR11" s="1326"/>
      <c r="IS11" s="1326"/>
      <c r="IT11" s="1326"/>
      <c r="IU11" s="1326"/>
      <c r="IV11" s="1326"/>
    </row>
    <row r="12" spans="1:257">
      <c r="A12" s="1320"/>
      <c r="B12" s="1327"/>
      <c r="C12" s="1328"/>
      <c r="D12" s="1329" t="s">
        <v>1232</v>
      </c>
      <c r="E12" s="1329" t="s">
        <v>1233</v>
      </c>
      <c r="F12" s="1329" t="s">
        <v>1234</v>
      </c>
      <c r="G12" s="1329" t="s">
        <v>1235</v>
      </c>
      <c r="H12" s="1329" t="s">
        <v>1217</v>
      </c>
      <c r="I12" s="1330" t="s">
        <v>1236</v>
      </c>
      <c r="J12" s="1330" t="s">
        <v>1236</v>
      </c>
      <c r="K12" s="1320"/>
      <c r="L12" s="1327"/>
      <c r="M12" s="1328"/>
      <c r="N12" s="1327"/>
      <c r="O12" s="1330" t="s">
        <v>1237</v>
      </c>
      <c r="P12" s="1330">
        <v>0.5</v>
      </c>
      <c r="Q12" s="1330">
        <v>1</v>
      </c>
      <c r="R12" s="1330">
        <v>2</v>
      </c>
      <c r="S12" s="1330">
        <v>3</v>
      </c>
      <c r="T12" s="1330">
        <v>5</v>
      </c>
      <c r="U12" s="1330">
        <v>1</v>
      </c>
      <c r="V12" s="1330">
        <v>3</v>
      </c>
      <c r="W12" s="1330">
        <v>5</v>
      </c>
      <c r="X12" s="1327"/>
      <c r="Y12" s="1327"/>
      <c r="Z12" s="1327"/>
      <c r="AA12" s="1326"/>
      <c r="AB12" s="1326"/>
      <c r="AC12" s="1326"/>
      <c r="AD12" s="1326"/>
      <c r="AE12" s="1326"/>
      <c r="AF12" s="1326"/>
      <c r="AG12" s="1326"/>
      <c r="AH12" s="1326"/>
      <c r="AI12" s="1326"/>
      <c r="AJ12" s="1326"/>
      <c r="AK12" s="1326"/>
      <c r="AL12" s="1326"/>
      <c r="AM12" s="1326"/>
      <c r="AN12" s="1326"/>
      <c r="AO12" s="1326"/>
      <c r="AP12" s="1326"/>
      <c r="AQ12" s="1326"/>
      <c r="AR12" s="1326"/>
      <c r="AS12" s="1326"/>
      <c r="AT12" s="1326"/>
      <c r="AU12" s="1326"/>
      <c r="AV12" s="1326"/>
      <c r="AW12" s="1326"/>
      <c r="AX12" s="1326"/>
      <c r="AY12" s="1326"/>
      <c r="AZ12" s="1326"/>
      <c r="BA12" s="1326"/>
      <c r="BB12" s="1326"/>
      <c r="BC12" s="1326"/>
      <c r="BD12" s="1326"/>
      <c r="BE12" s="1326"/>
      <c r="BF12" s="1326"/>
      <c r="BG12" s="1326"/>
      <c r="BH12" s="1326"/>
      <c r="BI12" s="1326"/>
      <c r="BJ12" s="1326"/>
      <c r="BK12" s="1326"/>
      <c r="BL12" s="1326"/>
      <c r="BM12" s="1326"/>
      <c r="BN12" s="1326"/>
      <c r="BO12" s="1326"/>
      <c r="BP12" s="1326"/>
      <c r="BQ12" s="1326"/>
      <c r="BR12" s="1326"/>
      <c r="BS12" s="1326"/>
      <c r="BT12" s="1326"/>
      <c r="BU12" s="1326"/>
      <c r="BV12" s="1326"/>
      <c r="BW12" s="1326"/>
      <c r="BX12" s="1326"/>
      <c r="BY12" s="1326"/>
      <c r="BZ12" s="1326"/>
      <c r="CA12" s="1326"/>
      <c r="CB12" s="1326"/>
      <c r="CC12" s="1326"/>
      <c r="CD12" s="1326"/>
      <c r="CE12" s="1326"/>
      <c r="CF12" s="1326"/>
      <c r="CG12" s="1326"/>
      <c r="CH12" s="1326"/>
      <c r="CI12" s="1326"/>
      <c r="CJ12" s="1326"/>
      <c r="CK12" s="1326"/>
      <c r="CL12" s="1326"/>
      <c r="CM12" s="1326"/>
      <c r="CN12" s="1326"/>
      <c r="CO12" s="1326"/>
      <c r="CP12" s="1326"/>
      <c r="CQ12" s="1326"/>
      <c r="CR12" s="1326"/>
      <c r="CS12" s="1326"/>
      <c r="CT12" s="1326"/>
      <c r="CU12" s="1326"/>
      <c r="CV12" s="1326"/>
      <c r="CW12" s="1326"/>
      <c r="CX12" s="1326"/>
      <c r="CY12" s="1326"/>
      <c r="CZ12" s="1326"/>
      <c r="DA12" s="1326"/>
      <c r="DB12" s="1326"/>
      <c r="DC12" s="1326"/>
      <c r="DD12" s="1326"/>
      <c r="DE12" s="1326"/>
      <c r="DF12" s="1326"/>
      <c r="DG12" s="1326"/>
      <c r="DH12" s="1326"/>
      <c r="DI12" s="1326"/>
      <c r="DJ12" s="1326"/>
      <c r="DK12" s="1326"/>
      <c r="DL12" s="1326"/>
      <c r="DM12" s="1326"/>
      <c r="DN12" s="1326"/>
      <c r="DO12" s="1326"/>
      <c r="DP12" s="1326"/>
      <c r="DQ12" s="1326"/>
      <c r="DR12" s="1326"/>
      <c r="DS12" s="1326"/>
      <c r="DT12" s="1326"/>
      <c r="DU12" s="1326"/>
      <c r="DV12" s="1326"/>
      <c r="DW12" s="1326"/>
      <c r="DX12" s="1326"/>
      <c r="DY12" s="1326"/>
      <c r="DZ12" s="1326"/>
      <c r="EA12" s="1326"/>
      <c r="EB12" s="1326"/>
      <c r="EC12" s="1326"/>
      <c r="ED12" s="1326"/>
      <c r="EE12" s="1326"/>
      <c r="EF12" s="1326"/>
      <c r="EG12" s="1326"/>
      <c r="EH12" s="1326"/>
      <c r="EI12" s="1326"/>
      <c r="EJ12" s="1326"/>
      <c r="EK12" s="1326"/>
      <c r="EL12" s="1326"/>
      <c r="EM12" s="1326"/>
      <c r="EN12" s="1326"/>
      <c r="EO12" s="1326"/>
      <c r="EP12" s="1326"/>
      <c r="EQ12" s="1326"/>
      <c r="ER12" s="1326"/>
      <c r="ES12" s="1326"/>
      <c r="ET12" s="1326"/>
      <c r="EU12" s="1326"/>
      <c r="EV12" s="1326"/>
      <c r="EW12" s="1326"/>
      <c r="EX12" s="1326"/>
      <c r="EY12" s="1326"/>
      <c r="EZ12" s="1326"/>
      <c r="FA12" s="1326"/>
      <c r="FB12" s="1326"/>
      <c r="FC12" s="1326"/>
      <c r="FD12" s="1326"/>
      <c r="FE12" s="1326"/>
      <c r="FF12" s="1326"/>
      <c r="FG12" s="1326"/>
      <c r="FH12" s="1326"/>
      <c r="FI12" s="1326"/>
      <c r="FJ12" s="1326"/>
      <c r="FK12" s="1326"/>
      <c r="FL12" s="1326"/>
      <c r="FM12" s="1326"/>
      <c r="FN12" s="1326"/>
      <c r="FO12" s="1326"/>
      <c r="FP12" s="1326"/>
      <c r="FQ12" s="1326"/>
      <c r="FR12" s="1326"/>
      <c r="FS12" s="1326"/>
      <c r="FT12" s="1326"/>
      <c r="FU12" s="1326"/>
      <c r="FV12" s="1326"/>
      <c r="FW12" s="1326"/>
      <c r="FX12" s="1326"/>
      <c r="FY12" s="1326"/>
      <c r="FZ12" s="1326"/>
      <c r="GA12" s="1326"/>
      <c r="GB12" s="1326"/>
      <c r="GC12" s="1326"/>
      <c r="GD12" s="1326"/>
      <c r="GE12" s="1326"/>
      <c r="GF12" s="1326"/>
      <c r="GG12" s="1326"/>
      <c r="GH12" s="1326"/>
      <c r="GI12" s="1326"/>
      <c r="GJ12" s="1326"/>
      <c r="GK12" s="1326"/>
      <c r="GL12" s="1326"/>
      <c r="GM12" s="1326"/>
      <c r="GN12" s="1326"/>
      <c r="GO12" s="1326"/>
      <c r="GP12" s="1326"/>
      <c r="GQ12" s="1326"/>
      <c r="GR12" s="1326"/>
      <c r="GS12" s="1326"/>
      <c r="GT12" s="1326"/>
      <c r="GU12" s="1326"/>
      <c r="GV12" s="1326"/>
      <c r="GW12" s="1326"/>
      <c r="GX12" s="1326"/>
      <c r="GY12" s="1326"/>
      <c r="GZ12" s="1326"/>
      <c r="HA12" s="1326"/>
      <c r="HB12" s="1326"/>
      <c r="HC12" s="1326"/>
      <c r="HD12" s="1326"/>
      <c r="HE12" s="1326"/>
      <c r="HF12" s="1326"/>
      <c r="HG12" s="1326"/>
      <c r="HH12" s="1326"/>
      <c r="HI12" s="1326"/>
      <c r="HJ12" s="1326"/>
      <c r="HK12" s="1326"/>
      <c r="HL12" s="1326"/>
      <c r="HM12" s="1326"/>
      <c r="HN12" s="1326"/>
      <c r="HO12" s="1326"/>
      <c r="HP12" s="1326"/>
      <c r="HQ12" s="1326"/>
      <c r="HR12" s="1326"/>
      <c r="HS12" s="1326"/>
      <c r="HT12" s="1326"/>
      <c r="HU12" s="1326"/>
      <c r="HV12" s="1326"/>
      <c r="HW12" s="1326"/>
      <c r="HX12" s="1326"/>
      <c r="HY12" s="1326"/>
      <c r="HZ12" s="1326"/>
      <c r="IA12" s="1326"/>
      <c r="IB12" s="1326"/>
      <c r="IC12" s="1326"/>
      <c r="ID12" s="1326"/>
      <c r="IE12" s="1326"/>
      <c r="IF12" s="1326"/>
      <c r="IG12" s="1326"/>
      <c r="IH12" s="1326"/>
      <c r="II12" s="1326"/>
      <c r="IJ12" s="1326"/>
      <c r="IK12" s="1326"/>
      <c r="IL12" s="1326"/>
      <c r="IM12" s="1326"/>
      <c r="IN12" s="1326"/>
      <c r="IO12" s="1326"/>
      <c r="IP12" s="1326"/>
      <c r="IQ12" s="1326"/>
      <c r="IR12" s="1326"/>
      <c r="IS12" s="1326"/>
      <c r="IT12" s="1326"/>
      <c r="IU12" s="1326"/>
      <c r="IV12" s="1326"/>
    </row>
    <row r="13" spans="1:257" ht="14.25">
      <c r="A13" s="1331"/>
      <c r="B13" s="1332" t="s">
        <v>1238</v>
      </c>
      <c r="C13" s="2753">
        <v>43941</v>
      </c>
      <c r="D13" s="1333">
        <v>3.85</v>
      </c>
      <c r="E13" s="1333">
        <v>3.85</v>
      </c>
      <c r="F13" s="1333">
        <v>3.85</v>
      </c>
      <c r="G13" s="1333">
        <v>3.85</v>
      </c>
      <c r="H13" s="1333">
        <v>4.6500000000000004</v>
      </c>
      <c r="I13" s="1333"/>
      <c r="J13" s="1333"/>
      <c r="K13" s="1331"/>
      <c r="L13" s="1332" t="s">
        <v>1238</v>
      </c>
      <c r="M13" s="1334">
        <v>42301</v>
      </c>
      <c r="N13" s="1333">
        <v>0.35</v>
      </c>
      <c r="O13" s="1333">
        <v>1.1000000000000001</v>
      </c>
      <c r="P13" s="1333">
        <v>1.3</v>
      </c>
      <c r="Q13" s="1333">
        <v>1.5</v>
      </c>
      <c r="R13" s="1333">
        <v>2.1</v>
      </c>
      <c r="S13" s="1333">
        <v>2.75</v>
      </c>
      <c r="T13" s="1333"/>
      <c r="U13" s="1333"/>
      <c r="V13" s="1333"/>
      <c r="W13" s="1333"/>
      <c r="X13" s="1333"/>
      <c r="Y13" s="1333"/>
      <c r="Z13" s="1333"/>
      <c r="AA13" s="1335"/>
      <c r="AB13" s="1335"/>
      <c r="AC13" s="1335"/>
      <c r="AD13" s="1335"/>
      <c r="AE13" s="1335"/>
      <c r="AF13" s="1335"/>
      <c r="AG13" s="1335"/>
      <c r="AH13" s="1335"/>
      <c r="AI13" s="1335"/>
      <c r="AJ13" s="1335"/>
      <c r="AK13" s="1335"/>
      <c r="AL13" s="1335"/>
      <c r="AM13" s="1335"/>
      <c r="AN13" s="1335"/>
      <c r="AO13" s="1335"/>
      <c r="AP13" s="1335"/>
      <c r="AQ13" s="1335"/>
      <c r="AR13" s="1335"/>
      <c r="AS13" s="1335"/>
      <c r="AT13" s="1335"/>
      <c r="AU13" s="1335"/>
      <c r="AV13" s="1335"/>
      <c r="AW13" s="1335"/>
      <c r="AX13" s="1335"/>
      <c r="AY13" s="1335"/>
      <c r="AZ13" s="1335"/>
      <c r="BA13" s="1335"/>
      <c r="BB13" s="1335"/>
      <c r="BC13" s="1335"/>
      <c r="BD13" s="1335"/>
      <c r="BE13" s="1335"/>
      <c r="BF13" s="1335"/>
      <c r="BG13" s="1335"/>
      <c r="BH13" s="1335"/>
      <c r="BI13" s="1335"/>
      <c r="BJ13" s="1335"/>
      <c r="BK13" s="1335"/>
      <c r="BL13" s="1335"/>
      <c r="BM13" s="1335"/>
      <c r="BN13" s="1335"/>
      <c r="BO13" s="1335"/>
      <c r="BP13" s="1335"/>
      <c r="BQ13" s="1335"/>
      <c r="BR13" s="1335"/>
      <c r="BS13" s="1335"/>
      <c r="BT13" s="1335"/>
      <c r="BU13" s="1335"/>
      <c r="BV13" s="1335"/>
      <c r="BW13" s="1335"/>
      <c r="BX13" s="1335"/>
      <c r="BY13" s="1335"/>
      <c r="BZ13" s="1335"/>
      <c r="CA13" s="1335"/>
      <c r="CB13" s="1335"/>
      <c r="CC13" s="1335"/>
      <c r="CD13" s="1335"/>
      <c r="CE13" s="1335"/>
      <c r="CF13" s="1335"/>
      <c r="CG13" s="1335"/>
      <c r="CH13" s="1335"/>
      <c r="CI13" s="1335"/>
      <c r="CJ13" s="1335"/>
      <c r="CK13" s="1335"/>
      <c r="CL13" s="1335"/>
      <c r="CM13" s="1335"/>
      <c r="CN13" s="1335"/>
      <c r="CO13" s="1335"/>
      <c r="CP13" s="1335"/>
      <c r="CQ13" s="1335"/>
      <c r="CR13" s="1335"/>
      <c r="CS13" s="1335"/>
      <c r="CT13" s="1335"/>
      <c r="CU13" s="1335"/>
      <c r="CV13" s="1335"/>
      <c r="CW13" s="1335"/>
      <c r="CX13" s="1335"/>
      <c r="CY13" s="1335"/>
      <c r="CZ13" s="1335"/>
      <c r="DA13" s="1335"/>
      <c r="DB13" s="1335"/>
      <c r="DC13" s="1335"/>
      <c r="DD13" s="1335"/>
      <c r="DE13" s="1335"/>
      <c r="DF13" s="1335"/>
      <c r="DG13" s="1335"/>
      <c r="DH13" s="1335"/>
      <c r="DI13" s="1335"/>
      <c r="DJ13" s="1335"/>
      <c r="DK13" s="1335"/>
      <c r="DL13" s="1335"/>
      <c r="DM13" s="1335"/>
      <c r="DN13" s="1335"/>
      <c r="DO13" s="1335"/>
      <c r="DP13" s="1335"/>
      <c r="DQ13" s="1335"/>
      <c r="DR13" s="1335"/>
      <c r="DS13" s="1335"/>
      <c r="DT13" s="1335"/>
      <c r="DU13" s="1335"/>
      <c r="DV13" s="1335"/>
      <c r="DW13" s="1335"/>
      <c r="DX13" s="1335"/>
      <c r="DY13" s="1335"/>
      <c r="DZ13" s="1335"/>
      <c r="EA13" s="1335"/>
      <c r="EB13" s="1335"/>
      <c r="EC13" s="1335"/>
      <c r="ED13" s="1335"/>
      <c r="EE13" s="1335"/>
      <c r="EF13" s="1335"/>
      <c r="EG13" s="1335"/>
      <c r="EH13" s="1335"/>
      <c r="EI13" s="1335"/>
      <c r="EJ13" s="1335"/>
      <c r="EK13" s="1335"/>
      <c r="EL13" s="1335"/>
      <c r="EM13" s="1335"/>
      <c r="EN13" s="1335"/>
      <c r="EO13" s="1335"/>
      <c r="EP13" s="1335"/>
      <c r="EQ13" s="1335"/>
      <c r="ER13" s="1335"/>
      <c r="ES13" s="1335"/>
      <c r="ET13" s="1335"/>
      <c r="EU13" s="1335"/>
      <c r="EV13" s="1335"/>
      <c r="EW13" s="1335"/>
      <c r="EX13" s="1335"/>
      <c r="EY13" s="1335"/>
      <c r="EZ13" s="1335"/>
      <c r="FA13" s="1335"/>
      <c r="FB13" s="1335"/>
      <c r="FC13" s="1335"/>
      <c r="FD13" s="1335"/>
      <c r="FE13" s="1335"/>
      <c r="FF13" s="1335"/>
      <c r="FG13" s="1335"/>
      <c r="FH13" s="1335"/>
      <c r="FI13" s="1335"/>
      <c r="FJ13" s="1335"/>
      <c r="FK13" s="1335"/>
      <c r="FL13" s="1335"/>
      <c r="FM13" s="1335"/>
      <c r="FN13" s="1335"/>
      <c r="FO13" s="1335"/>
      <c r="FP13" s="1335"/>
      <c r="FQ13" s="1335"/>
      <c r="FR13" s="1335"/>
      <c r="FS13" s="1335"/>
      <c r="FT13" s="1335"/>
      <c r="FU13" s="1335"/>
      <c r="FV13" s="1335"/>
      <c r="FW13" s="1335"/>
      <c r="FX13" s="1335"/>
      <c r="FY13" s="1335"/>
      <c r="FZ13" s="1335"/>
      <c r="GA13" s="1335"/>
      <c r="GB13" s="1335"/>
      <c r="GC13" s="1335"/>
      <c r="GD13" s="1335"/>
      <c r="GE13" s="1335"/>
      <c r="GF13" s="1335"/>
      <c r="GG13" s="1335"/>
      <c r="GH13" s="1335"/>
      <c r="GI13" s="1335"/>
      <c r="GJ13" s="1335"/>
      <c r="GK13" s="1335"/>
      <c r="GL13" s="1335"/>
      <c r="GM13" s="1335"/>
      <c r="GN13" s="1335"/>
      <c r="GO13" s="1335"/>
      <c r="GP13" s="1335"/>
      <c r="GQ13" s="1335"/>
      <c r="GR13" s="1335"/>
      <c r="GS13" s="1335"/>
      <c r="GT13" s="1335"/>
      <c r="GU13" s="1335"/>
      <c r="GV13" s="1335"/>
      <c r="GW13" s="1335"/>
      <c r="GX13" s="1335"/>
      <c r="GY13" s="1335"/>
      <c r="GZ13" s="1335"/>
      <c r="HA13" s="1335"/>
      <c r="HB13" s="1335"/>
      <c r="HC13" s="1335"/>
      <c r="HD13" s="1335"/>
      <c r="HE13" s="1335"/>
      <c r="HF13" s="1335"/>
      <c r="HG13" s="1335"/>
      <c r="HH13" s="1335"/>
      <c r="HI13" s="1335"/>
      <c r="HJ13" s="1335"/>
      <c r="HK13" s="1335"/>
      <c r="HL13" s="1335"/>
      <c r="HM13" s="1335"/>
      <c r="HN13" s="1335"/>
      <c r="HO13" s="1335"/>
      <c r="HP13" s="1335"/>
      <c r="HQ13" s="1335"/>
      <c r="HR13" s="1335"/>
      <c r="HS13" s="1335"/>
      <c r="HT13" s="1335"/>
      <c r="HU13" s="1335"/>
      <c r="HV13" s="1335"/>
      <c r="HW13" s="1335"/>
      <c r="HX13" s="1335"/>
      <c r="HY13" s="1335"/>
      <c r="HZ13" s="1335"/>
      <c r="IA13" s="1335"/>
      <c r="IB13" s="1335"/>
      <c r="IC13" s="1335"/>
      <c r="ID13" s="1335"/>
      <c r="IE13" s="1335"/>
      <c r="IF13" s="1335"/>
      <c r="IG13" s="1335"/>
      <c r="IH13" s="1335"/>
      <c r="II13" s="1335"/>
      <c r="IJ13" s="1335"/>
      <c r="IK13" s="1335"/>
      <c r="IL13" s="1335"/>
      <c r="IM13" s="1335"/>
      <c r="IN13" s="1335"/>
      <c r="IO13" s="1335"/>
      <c r="IP13" s="1335"/>
      <c r="IQ13" s="1335"/>
      <c r="IR13" s="1335"/>
      <c r="IS13" s="1335"/>
      <c r="IT13" s="1335"/>
      <c r="IU13" s="1335"/>
      <c r="IV13" s="1335"/>
      <c r="IW13" s="1336"/>
    </row>
    <row r="14" spans="1:257" ht="14.25">
      <c r="A14" s="1331"/>
      <c r="B14" s="1337"/>
      <c r="C14" s="1338">
        <v>43881</v>
      </c>
      <c r="D14" s="1337">
        <v>4.05</v>
      </c>
      <c r="E14" s="1337">
        <v>4.05</v>
      </c>
      <c r="F14" s="1337">
        <v>4.05</v>
      </c>
      <c r="G14" s="1337">
        <v>4.05</v>
      </c>
      <c r="H14" s="1337">
        <v>4.75</v>
      </c>
      <c r="I14" s="1337"/>
      <c r="J14" s="1337"/>
      <c r="L14" s="1337"/>
      <c r="M14" s="1338">
        <v>42242</v>
      </c>
      <c r="N14" s="1337">
        <v>0.35</v>
      </c>
      <c r="O14" s="1337">
        <v>1.35</v>
      </c>
      <c r="P14" s="1337">
        <v>1.55</v>
      </c>
      <c r="Q14" s="1337">
        <v>1.75</v>
      </c>
      <c r="R14" s="1337">
        <v>2.35</v>
      </c>
      <c r="S14" s="1337">
        <v>3</v>
      </c>
      <c r="T14" s="1337"/>
      <c r="U14" s="1337"/>
      <c r="V14" s="1337"/>
      <c r="W14" s="1337"/>
      <c r="X14" s="1337"/>
      <c r="Y14" s="1337"/>
      <c r="Z14" s="1337"/>
    </row>
    <row r="15" spans="1:257" ht="14.25">
      <c r="A15" s="1331"/>
      <c r="B15" s="1337"/>
      <c r="C15" s="1338">
        <v>43789</v>
      </c>
      <c r="D15" s="1337">
        <v>4.1500000000000004</v>
      </c>
      <c r="E15" s="1337">
        <v>4.1500000000000004</v>
      </c>
      <c r="F15" s="1337">
        <v>4.1500000000000004</v>
      </c>
      <c r="G15" s="1337">
        <v>4.1500000000000004</v>
      </c>
      <c r="H15" s="1337">
        <v>4.8</v>
      </c>
      <c r="I15" s="1337"/>
      <c r="J15" s="1337"/>
      <c r="L15" s="1337"/>
      <c r="M15" s="1338">
        <v>42183</v>
      </c>
      <c r="N15" s="1337">
        <v>0.35</v>
      </c>
      <c r="O15" s="1337">
        <v>1.6</v>
      </c>
      <c r="P15" s="1337">
        <v>1.8</v>
      </c>
      <c r="Q15" s="1337">
        <v>2</v>
      </c>
      <c r="R15" s="1337">
        <v>2.6</v>
      </c>
      <c r="S15" s="1337">
        <v>3.25</v>
      </c>
      <c r="T15" s="1337"/>
      <c r="U15" s="1337"/>
      <c r="V15" s="1337"/>
      <c r="W15" s="1337"/>
      <c r="X15" s="1337"/>
      <c r="Y15" s="1337"/>
      <c r="Z15" s="1337"/>
    </row>
    <row r="16" spans="1:257" ht="14.25">
      <c r="A16" s="1331"/>
      <c r="B16" s="1337"/>
      <c r="C16" s="1338">
        <v>43728</v>
      </c>
      <c r="D16" s="1337">
        <v>4.2</v>
      </c>
      <c r="E16" s="1337">
        <v>4.2</v>
      </c>
      <c r="F16" s="1337">
        <v>4.2</v>
      </c>
      <c r="G16" s="1337">
        <v>4.2</v>
      </c>
      <c r="H16" s="1337">
        <v>4.8499999999999996</v>
      </c>
      <c r="I16" s="1337"/>
      <c r="J16" s="1337"/>
      <c r="L16" s="1337"/>
      <c r="M16" s="1338">
        <v>42135</v>
      </c>
      <c r="N16" s="1337">
        <v>0.35</v>
      </c>
      <c r="O16" s="1337">
        <v>1.85</v>
      </c>
      <c r="P16" s="1337">
        <v>2.0499999999999998</v>
      </c>
      <c r="Q16" s="1337">
        <v>2.25</v>
      </c>
      <c r="R16" s="1337">
        <v>2.85</v>
      </c>
      <c r="S16" s="1337">
        <v>3.5</v>
      </c>
      <c r="T16" s="1337"/>
      <c r="U16" s="1337"/>
      <c r="V16" s="1337"/>
      <c r="W16" s="1337"/>
      <c r="X16" s="1337"/>
      <c r="Y16" s="1337"/>
      <c r="Z16" s="1337"/>
    </row>
    <row r="17" spans="1:256" ht="14.25">
      <c r="A17" s="1331"/>
      <c r="B17" s="1332" t="s">
        <v>2983</v>
      </c>
      <c r="C17" s="1339">
        <v>43697</v>
      </c>
      <c r="D17" s="2752">
        <v>4.25</v>
      </c>
      <c r="E17" s="2752">
        <v>4.25</v>
      </c>
      <c r="F17" s="2752">
        <v>4.25</v>
      </c>
      <c r="G17" s="2752">
        <v>4.25</v>
      </c>
      <c r="H17" s="2752">
        <v>4.8499999999999996</v>
      </c>
      <c r="I17" s="2752"/>
      <c r="J17" s="2752"/>
      <c r="L17" s="1337"/>
      <c r="M17" s="1338">
        <v>42064</v>
      </c>
      <c r="N17" s="1337">
        <v>0.35</v>
      </c>
      <c r="O17" s="1337">
        <v>2.1</v>
      </c>
      <c r="P17" s="1337">
        <v>2.2999999999999998</v>
      </c>
      <c r="Q17" s="1337">
        <v>2.5</v>
      </c>
      <c r="R17" s="1337">
        <v>3.1</v>
      </c>
      <c r="S17" s="1337">
        <v>3.75</v>
      </c>
      <c r="T17" s="1337">
        <v>4.5</v>
      </c>
      <c r="U17" s="1337">
        <v>2.35</v>
      </c>
      <c r="V17" s="1337">
        <v>2.5499999999999998</v>
      </c>
      <c r="W17" s="1337">
        <v>2.75</v>
      </c>
      <c r="X17" s="1337"/>
      <c r="Y17" s="1337">
        <v>0.8</v>
      </c>
      <c r="Z17" s="1337">
        <v>1.35</v>
      </c>
    </row>
    <row r="18" spans="1:256" s="2759" customFormat="1" ht="15">
      <c r="A18" s="2754"/>
      <c r="B18" s="2755"/>
      <c r="C18" s="2756">
        <v>42301</v>
      </c>
      <c r="D18" s="2757">
        <v>4.3499999999999996</v>
      </c>
      <c r="E18" s="2757">
        <v>4.3499999999999996</v>
      </c>
      <c r="F18" s="2757">
        <v>4.75</v>
      </c>
      <c r="G18" s="2757">
        <v>4.75</v>
      </c>
      <c r="H18" s="2757">
        <v>4.9000000000000004</v>
      </c>
      <c r="I18" s="2757"/>
      <c r="J18" s="2757"/>
      <c r="K18" s="1320"/>
      <c r="L18" s="2757"/>
      <c r="M18" s="2756">
        <v>41965</v>
      </c>
      <c r="N18" s="2757">
        <v>0.35</v>
      </c>
      <c r="O18" s="2757">
        <v>2.35</v>
      </c>
      <c r="P18" s="2757">
        <v>2.5499999999999998</v>
      </c>
      <c r="Q18" s="2757">
        <v>2.75</v>
      </c>
      <c r="R18" s="2757">
        <v>3.35</v>
      </c>
      <c r="S18" s="2757">
        <v>4</v>
      </c>
      <c r="T18" s="2757">
        <v>4.75</v>
      </c>
      <c r="U18" s="2758">
        <v>2.35</v>
      </c>
      <c r="V18" s="2758">
        <v>2.5499999999999998</v>
      </c>
      <c r="W18" s="2758">
        <v>2.75</v>
      </c>
      <c r="X18" s="2757"/>
      <c r="Y18" s="2758">
        <v>0.8</v>
      </c>
      <c r="Z18" s="2758">
        <v>1.35</v>
      </c>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D18" s="1326"/>
      <c r="BE18" s="1326"/>
      <c r="BF18" s="1326"/>
      <c r="BG18" s="1326"/>
      <c r="BH18" s="1326"/>
      <c r="BI18" s="1326"/>
      <c r="BJ18" s="1326"/>
      <c r="BK18" s="1326"/>
      <c r="BL18" s="1326"/>
      <c r="BM18" s="1326"/>
      <c r="BN18" s="1326"/>
      <c r="BO18" s="1326"/>
      <c r="BP18" s="1326"/>
      <c r="BQ18" s="1326"/>
      <c r="BR18" s="1326"/>
      <c r="BS18" s="1326"/>
      <c r="BT18" s="1326"/>
      <c r="BU18" s="1326"/>
      <c r="BV18" s="1326"/>
      <c r="BW18" s="1326"/>
      <c r="BX18" s="1326"/>
      <c r="BY18" s="1326"/>
      <c r="BZ18" s="1326"/>
      <c r="CA18" s="1326"/>
      <c r="CB18" s="1326"/>
      <c r="CC18" s="1326"/>
      <c r="CD18" s="1326"/>
      <c r="CE18" s="1326"/>
      <c r="CF18" s="1326"/>
      <c r="CG18" s="1326"/>
      <c r="CH18" s="1326"/>
      <c r="CI18" s="1326"/>
      <c r="CJ18" s="1326"/>
      <c r="CK18" s="1326"/>
      <c r="CL18" s="1326"/>
      <c r="CM18" s="1326"/>
      <c r="CN18" s="1326"/>
      <c r="CO18" s="1326"/>
      <c r="CP18" s="1326"/>
      <c r="CQ18" s="1326"/>
      <c r="CR18" s="1326"/>
      <c r="CS18" s="1326"/>
      <c r="CT18" s="1326"/>
      <c r="CU18" s="1326"/>
      <c r="CV18" s="1326"/>
      <c r="CW18" s="1326"/>
      <c r="CX18" s="1326"/>
      <c r="CY18" s="1326"/>
      <c r="CZ18" s="1326"/>
      <c r="DA18" s="1326"/>
      <c r="DB18" s="1326"/>
      <c r="DC18" s="1326"/>
      <c r="DD18" s="1326"/>
      <c r="DE18" s="1326"/>
      <c r="DF18" s="1326"/>
      <c r="DG18" s="1326"/>
      <c r="DH18" s="1326"/>
      <c r="DI18" s="1326"/>
      <c r="DJ18" s="1326"/>
      <c r="DK18" s="1326"/>
      <c r="DL18" s="1326"/>
      <c r="DM18" s="1326"/>
      <c r="DN18" s="1326"/>
      <c r="DO18" s="1326"/>
      <c r="DP18" s="1326"/>
      <c r="DQ18" s="1326"/>
      <c r="DR18" s="1326"/>
      <c r="DS18" s="1326"/>
      <c r="DT18" s="1326"/>
      <c r="DU18" s="1326"/>
      <c r="DV18" s="1326"/>
      <c r="DW18" s="1326"/>
      <c r="DX18" s="1326"/>
      <c r="DY18" s="1326"/>
      <c r="DZ18" s="1326"/>
      <c r="EA18" s="1326"/>
      <c r="EB18" s="1326"/>
      <c r="EC18" s="1326"/>
      <c r="ED18" s="1326"/>
      <c r="EE18" s="1326"/>
      <c r="EF18" s="1326"/>
      <c r="EG18" s="1326"/>
      <c r="EH18" s="1326"/>
      <c r="EI18" s="1326"/>
      <c r="EJ18" s="1326"/>
      <c r="EK18" s="1326"/>
      <c r="EL18" s="1326"/>
      <c r="EM18" s="1326"/>
      <c r="EN18" s="1326"/>
      <c r="EO18" s="1326"/>
      <c r="EP18" s="1326"/>
      <c r="EQ18" s="1326"/>
      <c r="ER18" s="1326"/>
      <c r="ES18" s="1326"/>
      <c r="ET18" s="1326"/>
      <c r="EU18" s="1326"/>
      <c r="EV18" s="1326"/>
      <c r="EW18" s="1326"/>
      <c r="EX18" s="1326"/>
      <c r="EY18" s="1326"/>
      <c r="EZ18" s="1326"/>
      <c r="FA18" s="1326"/>
      <c r="FB18" s="1326"/>
      <c r="FC18" s="1326"/>
      <c r="FD18" s="1326"/>
      <c r="FE18" s="1326"/>
      <c r="FF18" s="1326"/>
      <c r="FG18" s="1326"/>
      <c r="FH18" s="1326"/>
      <c r="FI18" s="1326"/>
      <c r="FJ18" s="1326"/>
      <c r="FK18" s="1326"/>
      <c r="FL18" s="1326"/>
      <c r="FM18" s="1326"/>
      <c r="FN18" s="1326"/>
      <c r="FO18" s="1326"/>
      <c r="FP18" s="1326"/>
      <c r="FQ18" s="1326"/>
      <c r="FR18" s="1326"/>
      <c r="FS18" s="1326"/>
      <c r="FT18" s="1326"/>
      <c r="FU18" s="1326"/>
      <c r="FV18" s="1326"/>
      <c r="FW18" s="1326"/>
      <c r="FX18" s="1326"/>
      <c r="FY18" s="1326"/>
      <c r="FZ18" s="1326"/>
      <c r="GA18" s="1326"/>
      <c r="GB18" s="1326"/>
      <c r="GC18" s="1326"/>
      <c r="GD18" s="1326"/>
      <c r="GE18" s="1326"/>
      <c r="GF18" s="1326"/>
      <c r="GG18" s="1326"/>
      <c r="GH18" s="1326"/>
      <c r="GI18" s="1326"/>
      <c r="GJ18" s="1326"/>
      <c r="GK18" s="1326"/>
      <c r="GL18" s="1326"/>
      <c r="GM18" s="1326"/>
      <c r="GN18" s="1326"/>
      <c r="GO18" s="1326"/>
      <c r="GP18" s="1326"/>
      <c r="GQ18" s="1326"/>
      <c r="GR18" s="1326"/>
      <c r="GS18" s="1326"/>
      <c r="GT18" s="1326"/>
      <c r="GU18" s="1326"/>
      <c r="GV18" s="1326"/>
      <c r="GW18" s="1326"/>
      <c r="GX18" s="1326"/>
      <c r="GY18" s="1326"/>
      <c r="GZ18" s="1326"/>
      <c r="HA18" s="1326"/>
      <c r="HB18" s="1326"/>
      <c r="HC18" s="1326"/>
      <c r="HD18" s="1326"/>
      <c r="HE18" s="1326"/>
      <c r="HF18" s="1326"/>
      <c r="HG18" s="1326"/>
      <c r="HH18" s="1326"/>
      <c r="HI18" s="1326"/>
      <c r="HJ18" s="1326"/>
      <c r="HK18" s="1326"/>
      <c r="HL18" s="1326"/>
      <c r="HM18" s="1326"/>
      <c r="HN18" s="1326"/>
      <c r="HO18" s="1326"/>
      <c r="HP18" s="1326"/>
      <c r="HQ18" s="1326"/>
      <c r="HR18" s="1326"/>
      <c r="HS18" s="1326"/>
      <c r="HT18" s="1326"/>
      <c r="HU18" s="1326"/>
      <c r="HV18" s="1326"/>
      <c r="HW18" s="1326"/>
      <c r="HX18" s="1326"/>
      <c r="HY18" s="1326"/>
      <c r="HZ18" s="1326"/>
      <c r="IA18" s="1326"/>
      <c r="IB18" s="1326"/>
      <c r="IC18" s="1326"/>
      <c r="ID18" s="1326"/>
      <c r="IE18" s="1326"/>
      <c r="IF18" s="1326"/>
      <c r="IG18" s="1326"/>
      <c r="IH18" s="1326"/>
      <c r="II18" s="1326"/>
      <c r="IJ18" s="1326"/>
      <c r="IK18" s="1326"/>
      <c r="IL18" s="1326"/>
      <c r="IM18" s="1326"/>
      <c r="IN18" s="1326"/>
      <c r="IO18" s="1326"/>
      <c r="IP18" s="1326"/>
      <c r="IQ18" s="1326"/>
      <c r="IR18" s="1326"/>
      <c r="IS18" s="1326"/>
      <c r="IT18" s="1326"/>
      <c r="IU18" s="1326"/>
      <c r="IV18" s="1326"/>
    </row>
    <row r="19" spans="1:256">
      <c r="B19" s="1337"/>
      <c r="C19" s="1338">
        <v>42242</v>
      </c>
      <c r="D19" s="1337">
        <v>4.5999999999999996</v>
      </c>
      <c r="E19" s="1337">
        <v>4.5999999999999996</v>
      </c>
      <c r="F19" s="1337">
        <v>5</v>
      </c>
      <c r="G19" s="1337">
        <v>5</v>
      </c>
      <c r="H19" s="1337">
        <v>5.15</v>
      </c>
      <c r="I19" s="1337">
        <v>2.75</v>
      </c>
      <c r="J19" s="1337">
        <v>3.25</v>
      </c>
      <c r="L19" s="1337"/>
      <c r="M19" s="1338">
        <v>41096</v>
      </c>
      <c r="N19" s="1337">
        <v>0.35</v>
      </c>
      <c r="O19" s="1337">
        <v>2.6</v>
      </c>
      <c r="P19" s="1337">
        <v>2.8</v>
      </c>
      <c r="Q19" s="1337">
        <v>3</v>
      </c>
      <c r="R19" s="1337">
        <v>3.75</v>
      </c>
      <c r="S19" s="1337">
        <v>4.25</v>
      </c>
      <c r="T19" s="1337">
        <v>4.75</v>
      </c>
      <c r="U19" s="1337">
        <v>2.85</v>
      </c>
      <c r="V19" s="1337">
        <v>2.9</v>
      </c>
      <c r="W19" s="1337">
        <v>3</v>
      </c>
      <c r="X19" s="1337">
        <v>1.1499999999999999</v>
      </c>
      <c r="Y19" s="1337">
        <v>0.8</v>
      </c>
      <c r="Z19" s="1337">
        <v>1.35</v>
      </c>
    </row>
    <row r="20" spans="1:256">
      <c r="B20" s="1337"/>
      <c r="C20" s="1338">
        <v>42183</v>
      </c>
      <c r="D20" s="1337">
        <v>4.8499999999999996</v>
      </c>
      <c r="E20" s="1337">
        <v>4.8499999999999996</v>
      </c>
      <c r="F20" s="1337">
        <v>5.25</v>
      </c>
      <c r="G20" s="1337">
        <v>5.25</v>
      </c>
      <c r="H20" s="1337">
        <v>5.4</v>
      </c>
      <c r="I20" s="1337">
        <v>3</v>
      </c>
      <c r="J20" s="1337">
        <v>3.5</v>
      </c>
      <c r="L20" s="1337"/>
      <c r="M20" s="1338">
        <v>41068</v>
      </c>
      <c r="N20" s="1337">
        <v>0.4</v>
      </c>
      <c r="O20" s="1337">
        <v>2.85</v>
      </c>
      <c r="P20" s="1337">
        <v>3.05</v>
      </c>
      <c r="Q20" s="1337">
        <v>3.25</v>
      </c>
      <c r="R20" s="1337">
        <v>4.0999999999999996</v>
      </c>
      <c r="S20" s="1337">
        <v>4.6500000000000004</v>
      </c>
      <c r="T20" s="1337">
        <v>5.0999999999999996</v>
      </c>
      <c r="U20" s="1337">
        <v>3.1</v>
      </c>
      <c r="V20" s="1337">
        <v>3.15</v>
      </c>
      <c r="W20" s="1337">
        <v>3.25</v>
      </c>
      <c r="X20" s="1337">
        <v>1.31</v>
      </c>
      <c r="Y20" s="1337">
        <v>0.94</v>
      </c>
      <c r="Z20" s="1337">
        <v>1.49</v>
      </c>
    </row>
    <row r="21" spans="1:256">
      <c r="B21" s="1337"/>
      <c r="C21" s="1338">
        <v>42135</v>
      </c>
      <c r="D21" s="1337">
        <v>5.0999999999999996</v>
      </c>
      <c r="E21" s="1337">
        <v>5.0999999999999996</v>
      </c>
      <c r="F21" s="1337">
        <v>5.5</v>
      </c>
      <c r="G21" s="1337">
        <v>5.5</v>
      </c>
      <c r="H21" s="1337">
        <v>5.65</v>
      </c>
      <c r="I21" s="1337">
        <v>3.25</v>
      </c>
      <c r="J21" s="1337">
        <v>3.75</v>
      </c>
      <c r="L21" s="1337"/>
      <c r="M21" s="1338">
        <v>40731</v>
      </c>
      <c r="N21" s="1337">
        <v>0.5</v>
      </c>
      <c r="O21" s="1337">
        <v>3.1</v>
      </c>
      <c r="P21" s="1337">
        <v>3.3</v>
      </c>
      <c r="Q21" s="1337">
        <v>3.5</v>
      </c>
      <c r="R21" s="1337">
        <v>4.4000000000000004</v>
      </c>
      <c r="S21" s="1337">
        <v>5</v>
      </c>
      <c r="T21" s="1337">
        <v>5.5</v>
      </c>
      <c r="U21" s="1337">
        <v>3.1</v>
      </c>
      <c r="V21" s="1337">
        <v>3.3</v>
      </c>
      <c r="W21" s="1337">
        <v>3.5</v>
      </c>
      <c r="X21" s="1337">
        <v>1.31</v>
      </c>
      <c r="Y21" s="1337">
        <v>0.95</v>
      </c>
      <c r="Z21" s="1337">
        <v>1.49</v>
      </c>
    </row>
    <row r="22" spans="1:256">
      <c r="B22" s="1337"/>
      <c r="C22" s="1338">
        <v>42064</v>
      </c>
      <c r="D22" s="1337">
        <v>5.35</v>
      </c>
      <c r="E22" s="1337">
        <v>5.35</v>
      </c>
      <c r="F22" s="1337">
        <v>5.75</v>
      </c>
      <c r="G22" s="1337">
        <v>5.75</v>
      </c>
      <c r="H22" s="1337">
        <v>5.9</v>
      </c>
      <c r="I22" s="1337"/>
      <c r="J22" s="1337"/>
      <c r="L22" s="1337"/>
      <c r="M22" s="1338">
        <v>40639</v>
      </c>
      <c r="N22" s="1337">
        <v>0.5</v>
      </c>
      <c r="O22" s="1337">
        <v>2.85</v>
      </c>
      <c r="P22" s="1337">
        <v>3.05</v>
      </c>
      <c r="Q22" s="1337">
        <v>3.25</v>
      </c>
      <c r="R22" s="1337">
        <v>4.1500000000000004</v>
      </c>
      <c r="S22" s="1337">
        <v>4.75</v>
      </c>
      <c r="T22" s="1337">
        <v>5.25</v>
      </c>
      <c r="U22" s="1337">
        <v>2.85</v>
      </c>
      <c r="V22" s="1337">
        <v>3.05</v>
      </c>
      <c r="W22" s="1337">
        <v>3.25</v>
      </c>
      <c r="X22" s="1337">
        <v>1.31</v>
      </c>
      <c r="Y22" s="1337">
        <v>0.95</v>
      </c>
      <c r="Z22" s="1337">
        <v>1.49</v>
      </c>
    </row>
    <row r="23" spans="1:256">
      <c r="B23" s="1337"/>
      <c r="C23" s="1338">
        <v>41965</v>
      </c>
      <c r="D23" s="1337">
        <v>5.6</v>
      </c>
      <c r="E23" s="1337">
        <v>5.6</v>
      </c>
      <c r="F23" s="1337">
        <v>6</v>
      </c>
      <c r="G23" s="1337">
        <v>6</v>
      </c>
      <c r="H23" s="1337">
        <v>6.15</v>
      </c>
      <c r="I23" s="1337"/>
      <c r="J23" s="1337"/>
      <c r="L23" s="1337"/>
      <c r="M23" s="1338">
        <v>40583</v>
      </c>
      <c r="N23" s="1337">
        <v>0.4</v>
      </c>
      <c r="O23" s="1337">
        <v>2.6</v>
      </c>
      <c r="P23" s="1337">
        <v>2.8</v>
      </c>
      <c r="Q23" s="1337">
        <v>3</v>
      </c>
      <c r="R23" s="1337">
        <v>3.9</v>
      </c>
      <c r="S23" s="1337">
        <v>4.5</v>
      </c>
      <c r="T23" s="1337">
        <v>5</v>
      </c>
      <c r="U23" s="1337">
        <v>2.6</v>
      </c>
      <c r="V23" s="1337">
        <v>2.8</v>
      </c>
      <c r="W23" s="1337">
        <v>3</v>
      </c>
      <c r="X23" s="1337">
        <v>1.21</v>
      </c>
      <c r="Y23" s="1337">
        <v>0.85</v>
      </c>
      <c r="Z23" s="1337">
        <v>1.39</v>
      </c>
    </row>
    <row r="24" spans="1:256">
      <c r="B24" s="1337"/>
      <c r="C24" s="1338">
        <v>41096</v>
      </c>
      <c r="D24" s="1337">
        <v>5.6</v>
      </c>
      <c r="E24" s="1337">
        <v>6</v>
      </c>
      <c r="F24" s="1337">
        <v>6.15</v>
      </c>
      <c r="G24" s="1337">
        <v>6.4</v>
      </c>
      <c r="H24" s="1337">
        <v>6.55</v>
      </c>
      <c r="I24" s="1337">
        <v>4</v>
      </c>
      <c r="J24" s="1337">
        <v>4.5</v>
      </c>
      <c r="L24" s="1337"/>
      <c r="M24" s="1338">
        <v>40538</v>
      </c>
      <c r="N24" s="1337">
        <v>0.36</v>
      </c>
      <c r="O24" s="1337">
        <v>2.25</v>
      </c>
      <c r="P24" s="1337">
        <v>2.5</v>
      </c>
      <c r="Q24" s="1337">
        <v>2.75</v>
      </c>
      <c r="R24" s="1337">
        <v>3.55</v>
      </c>
      <c r="S24" s="1337">
        <v>4.1500000000000004</v>
      </c>
      <c r="T24" s="1337">
        <v>4.55</v>
      </c>
      <c r="U24" s="1337">
        <v>2.16</v>
      </c>
      <c r="V24" s="1337">
        <v>2.5</v>
      </c>
      <c r="W24" s="1337">
        <v>2.85</v>
      </c>
      <c r="X24" s="1337">
        <v>1.17</v>
      </c>
      <c r="Y24" s="1337">
        <v>0.81</v>
      </c>
      <c r="Z24" s="1337">
        <v>1.35</v>
      </c>
    </row>
    <row r="25" spans="1:256">
      <c r="B25" s="1337"/>
      <c r="C25" s="1338">
        <v>41068</v>
      </c>
      <c r="D25" s="1337">
        <v>5.85</v>
      </c>
      <c r="E25" s="1337">
        <v>6.31</v>
      </c>
      <c r="F25" s="1337">
        <v>6.4</v>
      </c>
      <c r="G25" s="1337">
        <v>6.65</v>
      </c>
      <c r="H25" s="1337">
        <v>6.8</v>
      </c>
      <c r="I25" s="1337">
        <v>4.2</v>
      </c>
      <c r="J25" s="1337">
        <v>4.7</v>
      </c>
      <c r="L25" s="1337"/>
      <c r="M25" s="1338">
        <v>40471</v>
      </c>
      <c r="N25" s="1337">
        <v>0.36</v>
      </c>
      <c r="O25" s="1337">
        <v>1.91</v>
      </c>
      <c r="P25" s="1337">
        <v>2.2000000000000002</v>
      </c>
      <c r="Q25" s="1337">
        <v>2.5</v>
      </c>
      <c r="R25" s="1337">
        <v>3.25</v>
      </c>
      <c r="S25" s="1337">
        <v>3.85</v>
      </c>
      <c r="T25" s="1337">
        <v>4.2</v>
      </c>
      <c r="U25" s="1337">
        <v>1.91</v>
      </c>
      <c r="V25" s="1337">
        <v>2.2000000000000002</v>
      </c>
      <c r="W25" s="1337">
        <v>2.5</v>
      </c>
      <c r="X25" s="1337">
        <v>1.17</v>
      </c>
      <c r="Y25" s="1337">
        <v>0.81</v>
      </c>
      <c r="Z25" s="1337">
        <v>1.35</v>
      </c>
    </row>
    <row r="26" spans="1:256">
      <c r="B26" s="1337"/>
      <c r="C26" s="1338">
        <v>40731</v>
      </c>
      <c r="D26" s="1337">
        <v>6.1</v>
      </c>
      <c r="E26" s="1337">
        <v>6.56</v>
      </c>
      <c r="F26" s="1337">
        <v>6.65</v>
      </c>
      <c r="G26" s="1337">
        <v>6.9</v>
      </c>
      <c r="H26" s="1337">
        <v>7.05</v>
      </c>
      <c r="I26" s="1337">
        <v>4.45</v>
      </c>
      <c r="J26" s="1337">
        <v>4.9000000000000004</v>
      </c>
      <c r="L26" s="1337"/>
      <c r="M26" s="1338">
        <v>39805</v>
      </c>
      <c r="N26" s="1337">
        <v>0.36</v>
      </c>
      <c r="O26" s="1337">
        <v>1.71</v>
      </c>
      <c r="P26" s="1337">
        <v>1.98</v>
      </c>
      <c r="Q26" s="1337">
        <v>2.25</v>
      </c>
      <c r="R26" s="1337">
        <v>2.79</v>
      </c>
      <c r="S26" s="1337">
        <v>3.33</v>
      </c>
      <c r="T26" s="1337">
        <v>3.6</v>
      </c>
      <c r="U26" s="1337">
        <v>1.71</v>
      </c>
      <c r="V26" s="1337">
        <v>1.98</v>
      </c>
      <c r="W26" s="1337">
        <v>2.25</v>
      </c>
      <c r="X26" s="1337">
        <v>1.17</v>
      </c>
      <c r="Y26" s="1337">
        <v>0.81</v>
      </c>
      <c r="Z26" s="1337">
        <v>1.35</v>
      </c>
    </row>
    <row r="27" spans="1:256">
      <c r="B27" s="1337"/>
      <c r="C27" s="1338">
        <v>40639</v>
      </c>
      <c r="D27" s="1337">
        <v>5.85</v>
      </c>
      <c r="E27" s="1337">
        <v>6.31</v>
      </c>
      <c r="F27" s="1337">
        <v>6.4</v>
      </c>
      <c r="G27" s="1337">
        <v>6.65</v>
      </c>
      <c r="H27" s="1337">
        <v>6.8</v>
      </c>
      <c r="I27" s="1337">
        <v>4.2</v>
      </c>
      <c r="J27" s="1337">
        <v>4.7</v>
      </c>
      <c r="L27" s="1337"/>
      <c r="M27" s="1338">
        <v>39779</v>
      </c>
      <c r="N27" s="1337">
        <v>0.36</v>
      </c>
      <c r="O27" s="1337">
        <v>1.98</v>
      </c>
      <c r="P27" s="1337">
        <v>2.25</v>
      </c>
      <c r="Q27" s="1337">
        <v>2.52</v>
      </c>
      <c r="R27" s="1337">
        <v>3.06</v>
      </c>
      <c r="S27" s="1337">
        <v>3.6</v>
      </c>
      <c r="T27" s="1337">
        <v>3.87</v>
      </c>
      <c r="U27" s="1337">
        <v>1.98</v>
      </c>
      <c r="V27" s="1337">
        <v>2.25</v>
      </c>
      <c r="W27" s="1337">
        <v>2.52</v>
      </c>
      <c r="X27" s="1337">
        <v>1.17</v>
      </c>
      <c r="Y27" s="1337">
        <v>0.81</v>
      </c>
      <c r="Z27" s="1337">
        <v>1.35</v>
      </c>
    </row>
    <row r="28" spans="1:256">
      <c r="B28" s="1337"/>
      <c r="C28" s="1338">
        <v>40583</v>
      </c>
      <c r="D28" s="1337">
        <v>5.6</v>
      </c>
      <c r="E28" s="1337">
        <v>6.06</v>
      </c>
      <c r="F28" s="1337">
        <v>6.1</v>
      </c>
      <c r="G28" s="1337">
        <v>6.45</v>
      </c>
      <c r="H28" s="1337">
        <v>6.6</v>
      </c>
      <c r="I28" s="1337">
        <v>4</v>
      </c>
      <c r="J28" s="1337">
        <v>4.5</v>
      </c>
      <c r="L28" s="1337"/>
      <c r="M28" s="1338">
        <v>39751</v>
      </c>
      <c r="N28" s="1337">
        <v>0.72</v>
      </c>
      <c r="O28" s="1337">
        <v>2.88</v>
      </c>
      <c r="P28" s="1337">
        <v>3.24</v>
      </c>
      <c r="Q28" s="1337">
        <v>3.6</v>
      </c>
      <c r="R28" s="1337">
        <v>4.1399999999999997</v>
      </c>
      <c r="S28" s="1337">
        <v>4.7699999999999996</v>
      </c>
      <c r="T28" s="1337">
        <v>5.13</v>
      </c>
      <c r="U28" s="1337">
        <v>2.88</v>
      </c>
      <c r="V28" s="1337">
        <v>3.24</v>
      </c>
      <c r="W28" s="1337">
        <v>3.6</v>
      </c>
      <c r="X28" s="1337">
        <v>1.53</v>
      </c>
      <c r="Y28" s="1337">
        <v>1.17</v>
      </c>
      <c r="Z28" s="1337">
        <v>1.71</v>
      </c>
    </row>
    <row r="29" spans="1:256">
      <c r="B29" s="1337"/>
      <c r="C29" s="1338">
        <v>40538</v>
      </c>
      <c r="D29" s="1337">
        <v>5.35</v>
      </c>
      <c r="E29" s="1337">
        <v>5.81</v>
      </c>
      <c r="F29" s="1337">
        <v>5.85</v>
      </c>
      <c r="G29" s="1337">
        <v>6.22</v>
      </c>
      <c r="H29" s="1337">
        <v>6.4</v>
      </c>
      <c r="I29" s="1337">
        <v>3.75</v>
      </c>
      <c r="J29" s="1337">
        <v>4.3</v>
      </c>
      <c r="L29" s="1337"/>
      <c r="M29" s="1339">
        <v>39736</v>
      </c>
      <c r="N29" s="1337">
        <v>0.72</v>
      </c>
      <c r="O29" s="1337">
        <v>3.15</v>
      </c>
      <c r="P29" s="1337">
        <v>3.51</v>
      </c>
      <c r="Q29" s="1337">
        <v>3.87</v>
      </c>
      <c r="R29" s="1337">
        <v>4.41</v>
      </c>
      <c r="S29" s="1337">
        <v>5.13</v>
      </c>
      <c r="T29" s="1337">
        <v>5.58</v>
      </c>
      <c r="U29" s="1337">
        <v>3.15</v>
      </c>
      <c r="V29" s="1337">
        <v>3.51</v>
      </c>
      <c r="W29" s="1337">
        <v>3.87</v>
      </c>
      <c r="X29" s="1337">
        <v>1.53</v>
      </c>
      <c r="Y29" s="1337">
        <v>1.17</v>
      </c>
      <c r="Z29" s="1337">
        <v>1.71</v>
      </c>
    </row>
    <row r="30" spans="1:256">
      <c r="B30" s="1337"/>
      <c r="C30" s="1338">
        <v>40471</v>
      </c>
      <c r="D30" s="1337">
        <v>5.0999999999999996</v>
      </c>
      <c r="E30" s="1337">
        <v>5.56</v>
      </c>
      <c r="F30" s="1337">
        <v>5.6</v>
      </c>
      <c r="G30" s="1337">
        <v>5.96</v>
      </c>
      <c r="H30" s="1337">
        <v>6.14</v>
      </c>
      <c r="I30" s="1337">
        <v>3.5</v>
      </c>
      <c r="J30" s="1337">
        <v>4.05</v>
      </c>
      <c r="L30" s="1337"/>
      <c r="M30" s="1338">
        <v>39730</v>
      </c>
      <c r="N30" s="1337">
        <v>0.72</v>
      </c>
      <c r="O30" s="1337">
        <v>3.15</v>
      </c>
      <c r="P30" s="1337">
        <v>3.51</v>
      </c>
      <c r="Q30" s="1337">
        <v>3.87</v>
      </c>
      <c r="R30" s="1337">
        <v>4.41</v>
      </c>
      <c r="S30" s="1337">
        <v>5.13</v>
      </c>
      <c r="T30" s="1337">
        <v>5.58</v>
      </c>
      <c r="U30" s="1337">
        <v>3.15</v>
      </c>
      <c r="V30" s="1337">
        <v>3.51</v>
      </c>
      <c r="W30" s="1337">
        <v>3.87</v>
      </c>
      <c r="X30" s="1337">
        <v>1.53</v>
      </c>
      <c r="Y30" s="1337">
        <v>1.17</v>
      </c>
      <c r="Z30" s="1337">
        <v>1.71</v>
      </c>
    </row>
    <row r="31" spans="1:256">
      <c r="B31" s="1337"/>
      <c r="C31" s="1338">
        <v>39805</v>
      </c>
      <c r="D31" s="1337">
        <v>4.8600000000000003</v>
      </c>
      <c r="E31" s="1337">
        <v>5.31</v>
      </c>
      <c r="F31" s="1337">
        <v>5.4</v>
      </c>
      <c r="G31" s="1337">
        <v>5.76</v>
      </c>
      <c r="H31" s="1337">
        <v>5.94</v>
      </c>
      <c r="I31" s="1337">
        <v>3.33</v>
      </c>
      <c r="J31" s="1337">
        <v>3.87</v>
      </c>
      <c r="L31" s="1337"/>
      <c r="M31" s="1338">
        <v>39437</v>
      </c>
      <c r="N31" s="1337">
        <v>0.72</v>
      </c>
      <c r="O31" s="1337">
        <v>3.33</v>
      </c>
      <c r="P31" s="1337">
        <v>3.78</v>
      </c>
      <c r="Q31" s="1337">
        <v>4.1399999999999997</v>
      </c>
      <c r="R31" s="1337">
        <v>4.68</v>
      </c>
      <c r="S31" s="1337">
        <v>5.4</v>
      </c>
      <c r="T31" s="1337">
        <v>5.85</v>
      </c>
      <c r="U31" s="1337">
        <v>3.33</v>
      </c>
      <c r="V31" s="1337">
        <v>3.78</v>
      </c>
      <c r="W31" s="1337">
        <v>4.1399999999999997</v>
      </c>
      <c r="X31" s="1337">
        <v>1.53</v>
      </c>
      <c r="Y31" s="1337">
        <v>1.17</v>
      </c>
      <c r="Z31" s="1337">
        <v>1.71</v>
      </c>
    </row>
    <row r="32" spans="1:256">
      <c r="B32" s="1337"/>
      <c r="C32" s="1338">
        <v>39779</v>
      </c>
      <c r="D32" s="1337">
        <v>5.04</v>
      </c>
      <c r="E32" s="1337">
        <v>5.58</v>
      </c>
      <c r="F32" s="1337">
        <v>5.67</v>
      </c>
      <c r="G32" s="1337">
        <v>5.94</v>
      </c>
      <c r="H32" s="1337">
        <v>6.12</v>
      </c>
      <c r="I32" s="1337">
        <v>3.51</v>
      </c>
      <c r="J32" s="1337">
        <v>4.05</v>
      </c>
      <c r="L32" s="1337"/>
      <c r="M32" s="1338">
        <v>39340</v>
      </c>
      <c r="N32" s="1337">
        <v>0.81</v>
      </c>
      <c r="O32" s="1337">
        <v>2.88</v>
      </c>
      <c r="P32" s="1337">
        <v>3.42</v>
      </c>
      <c r="Q32" s="1337">
        <v>3.87</v>
      </c>
      <c r="R32" s="1337">
        <v>4.5</v>
      </c>
      <c r="S32" s="1337">
        <v>5.22</v>
      </c>
      <c r="T32" s="1337">
        <v>5.76</v>
      </c>
      <c r="U32" s="1337">
        <v>2.88</v>
      </c>
      <c r="V32" s="1337">
        <v>3.42</v>
      </c>
      <c r="W32" s="1337">
        <v>3.87</v>
      </c>
      <c r="X32" s="1337">
        <v>1.53</v>
      </c>
      <c r="Y32" s="1337">
        <v>1.17</v>
      </c>
      <c r="Z32" s="1337">
        <v>1.71</v>
      </c>
    </row>
    <row r="33" spans="2:26">
      <c r="B33" s="1337"/>
      <c r="C33" s="1338">
        <v>39751</v>
      </c>
      <c r="D33" s="1337">
        <v>6.03</v>
      </c>
      <c r="E33" s="1337">
        <v>6.66</v>
      </c>
      <c r="F33" s="1337">
        <v>6.75</v>
      </c>
      <c r="G33" s="1337">
        <v>7.02</v>
      </c>
      <c r="H33" s="1337">
        <v>7.2</v>
      </c>
      <c r="I33" s="1337">
        <v>4.05</v>
      </c>
      <c r="J33" s="1337">
        <v>4.59</v>
      </c>
      <c r="L33" s="1337"/>
      <c r="M33" s="1338">
        <v>39316</v>
      </c>
      <c r="N33" s="1337">
        <v>0.81</v>
      </c>
      <c r="O33" s="1337">
        <v>2.61</v>
      </c>
      <c r="P33" s="1337">
        <v>3.15</v>
      </c>
      <c r="Q33" s="1337">
        <v>3.6</v>
      </c>
      <c r="R33" s="1337">
        <v>4.2300000000000004</v>
      </c>
      <c r="S33" s="1337">
        <v>4.95</v>
      </c>
      <c r="T33" s="1337">
        <v>5.49</v>
      </c>
      <c r="U33" s="1337">
        <v>2.61</v>
      </c>
      <c r="V33" s="1337">
        <v>3.15</v>
      </c>
      <c r="W33" s="1337">
        <v>3.6</v>
      </c>
      <c r="X33" s="1337">
        <v>1.53</v>
      </c>
      <c r="Y33" s="1337">
        <v>1.17</v>
      </c>
      <c r="Z33" s="1337">
        <v>1.71</v>
      </c>
    </row>
    <row r="34" spans="2:26">
      <c r="B34" s="1337"/>
      <c r="C34" s="1339">
        <v>39748</v>
      </c>
      <c r="D34" s="1337">
        <v>6.12</v>
      </c>
      <c r="E34" s="1337">
        <v>6.93</v>
      </c>
      <c r="F34" s="1337">
        <v>7.02</v>
      </c>
      <c r="G34" s="1337">
        <v>7.29</v>
      </c>
      <c r="H34" s="1337">
        <v>7.47</v>
      </c>
      <c r="I34" s="1337">
        <v>4.05</v>
      </c>
      <c r="J34" s="1337">
        <v>4.59</v>
      </c>
      <c r="L34" s="1337"/>
      <c r="M34" s="1338">
        <v>39284</v>
      </c>
      <c r="N34" s="1337">
        <v>0.81</v>
      </c>
      <c r="O34" s="1337">
        <v>2.34</v>
      </c>
      <c r="P34" s="1337">
        <v>2.88</v>
      </c>
      <c r="Q34" s="1337">
        <v>3.33</v>
      </c>
      <c r="R34" s="1337">
        <v>3.96</v>
      </c>
      <c r="S34" s="1337">
        <v>4.68</v>
      </c>
      <c r="T34" s="1337">
        <v>5.22</v>
      </c>
      <c r="U34" s="1337">
        <v>2.34</v>
      </c>
      <c r="V34" s="1337">
        <v>2.88</v>
      </c>
      <c r="W34" s="1337">
        <v>3.33</v>
      </c>
      <c r="X34" s="1337">
        <v>1.53</v>
      </c>
      <c r="Y34" s="1337">
        <v>1.17</v>
      </c>
      <c r="Z34" s="1337">
        <v>1.71</v>
      </c>
    </row>
    <row r="35" spans="2:26">
      <c r="B35" s="1337"/>
      <c r="C35" s="1338">
        <v>39730</v>
      </c>
      <c r="D35" s="1337">
        <v>6.12</v>
      </c>
      <c r="E35" s="1337">
        <v>6.93</v>
      </c>
      <c r="F35" s="1337">
        <v>7.02</v>
      </c>
      <c r="G35" s="1337">
        <v>7.29</v>
      </c>
      <c r="H35" s="1337">
        <v>7.47</v>
      </c>
      <c r="I35" s="1337">
        <v>4.32</v>
      </c>
      <c r="J35" s="1337">
        <v>4.8600000000000003</v>
      </c>
      <c r="L35" s="1337"/>
      <c r="M35" s="1338">
        <v>39221</v>
      </c>
      <c r="N35" s="1337">
        <v>0.72</v>
      </c>
      <c r="O35" s="1337">
        <v>2.0699999999999998</v>
      </c>
      <c r="P35" s="1337">
        <v>2.61</v>
      </c>
      <c r="Q35" s="1337">
        <v>3.06</v>
      </c>
      <c r="R35" s="1337">
        <v>3.69</v>
      </c>
      <c r="S35" s="1337">
        <v>4.41</v>
      </c>
      <c r="T35" s="1337">
        <v>4.95</v>
      </c>
      <c r="U35" s="1337">
        <v>2.0699999999999998</v>
      </c>
      <c r="V35" s="1337">
        <v>2.61</v>
      </c>
      <c r="W35" s="1337">
        <v>3.06</v>
      </c>
      <c r="X35" s="1337">
        <v>1.44</v>
      </c>
      <c r="Y35" s="1337">
        <v>1.08</v>
      </c>
      <c r="Z35" s="1337">
        <v>1.62</v>
      </c>
    </row>
    <row r="36" spans="2:26">
      <c r="B36" s="1337"/>
      <c r="C36" s="1338">
        <v>39707</v>
      </c>
      <c r="D36" s="1337">
        <v>6.21</v>
      </c>
      <c r="E36" s="1337">
        <v>7.2</v>
      </c>
      <c r="F36" s="1337">
        <v>7.29</v>
      </c>
      <c r="G36" s="1337">
        <v>7.56</v>
      </c>
      <c r="H36" s="1337">
        <v>7.74</v>
      </c>
      <c r="I36" s="1337">
        <v>4.59</v>
      </c>
      <c r="J36" s="1337">
        <v>5.13</v>
      </c>
      <c r="L36" s="1337"/>
      <c r="M36" s="1338">
        <v>39159</v>
      </c>
      <c r="N36" s="1337">
        <v>0.72</v>
      </c>
      <c r="O36" s="1337">
        <v>1.98</v>
      </c>
      <c r="P36" s="1337">
        <v>2.4300000000000002</v>
      </c>
      <c r="Q36" s="1337">
        <v>2.79</v>
      </c>
      <c r="R36" s="1337">
        <v>3.33</v>
      </c>
      <c r="S36" s="1337">
        <v>3.96</v>
      </c>
      <c r="T36" s="1337">
        <v>4.41</v>
      </c>
      <c r="U36" s="1337">
        <v>1.98</v>
      </c>
      <c r="V36" s="1337">
        <v>2.4300000000000002</v>
      </c>
      <c r="W36" s="1337">
        <v>2.79</v>
      </c>
      <c r="X36" s="1337">
        <v>1.44</v>
      </c>
      <c r="Y36" s="1337">
        <v>1.08</v>
      </c>
      <c r="Z36" s="1337">
        <v>1.62</v>
      </c>
    </row>
    <row r="37" spans="2:26">
      <c r="B37" s="1337"/>
      <c r="C37" s="1338">
        <v>39437</v>
      </c>
      <c r="D37" s="1337">
        <v>6.57</v>
      </c>
      <c r="E37" s="1337">
        <v>7.47</v>
      </c>
      <c r="F37" s="1337">
        <v>7.56</v>
      </c>
      <c r="G37" s="1337">
        <v>7.74</v>
      </c>
      <c r="H37" s="1337">
        <v>7.83</v>
      </c>
      <c r="I37" s="1337">
        <v>4.7699999999999996</v>
      </c>
      <c r="J37" s="1337">
        <v>5.22</v>
      </c>
      <c r="L37" s="1337"/>
      <c r="M37" s="1338">
        <v>38948</v>
      </c>
      <c r="N37" s="1337">
        <v>0.72</v>
      </c>
      <c r="O37" s="1337">
        <v>1.8</v>
      </c>
      <c r="P37" s="1337">
        <v>2.25</v>
      </c>
      <c r="Q37" s="1337">
        <v>2.52</v>
      </c>
      <c r="R37" s="1337">
        <v>3.06</v>
      </c>
      <c r="S37" s="1337">
        <v>3.69</v>
      </c>
      <c r="T37" s="1337">
        <v>4.1399999999999997</v>
      </c>
      <c r="U37" s="1337">
        <v>1.8</v>
      </c>
      <c r="V37" s="1337">
        <v>2.25</v>
      </c>
      <c r="W37" s="1337">
        <v>2.52</v>
      </c>
      <c r="X37" s="1337">
        <v>1.44</v>
      </c>
      <c r="Y37" s="1337">
        <v>1.08</v>
      </c>
      <c r="Z37" s="1337">
        <v>1.62</v>
      </c>
    </row>
    <row r="38" spans="2:26">
      <c r="B38" s="1337"/>
      <c r="C38" s="1338">
        <v>39340</v>
      </c>
      <c r="D38" s="1337">
        <v>6.48</v>
      </c>
      <c r="E38" s="1337">
        <v>7.29</v>
      </c>
      <c r="F38" s="1337">
        <v>7.47</v>
      </c>
      <c r="G38" s="1337">
        <v>7.65</v>
      </c>
      <c r="H38" s="1337">
        <v>7.83</v>
      </c>
      <c r="I38" s="1337">
        <v>4.7699999999999996</v>
      </c>
      <c r="J38" s="1337">
        <v>5.22</v>
      </c>
      <c r="L38" s="1337"/>
      <c r="M38" s="1338">
        <v>38289</v>
      </c>
      <c r="N38" s="1337">
        <v>0.72</v>
      </c>
      <c r="O38" s="1337">
        <v>1.71</v>
      </c>
      <c r="P38" s="1337">
        <v>2.0699999999999998</v>
      </c>
      <c r="Q38" s="1337">
        <v>2.25</v>
      </c>
      <c r="R38" s="1337">
        <v>2.7</v>
      </c>
      <c r="S38" s="1337">
        <v>3.24</v>
      </c>
      <c r="T38" s="1337">
        <v>3.6</v>
      </c>
      <c r="U38" s="1337">
        <v>1.71</v>
      </c>
      <c r="V38" s="1337">
        <v>2.0699999999999998</v>
      </c>
      <c r="W38" s="1337">
        <v>2.25</v>
      </c>
      <c r="X38" s="1337">
        <v>1.44</v>
      </c>
      <c r="Y38" s="1337">
        <v>1.08</v>
      </c>
      <c r="Z38" s="1337">
        <v>1.62</v>
      </c>
    </row>
    <row r="39" spans="2:26">
      <c r="B39" s="1337"/>
      <c r="C39" s="1338">
        <v>39316</v>
      </c>
      <c r="D39" s="1337">
        <v>6.21</v>
      </c>
      <c r="E39" s="1337">
        <v>7.02</v>
      </c>
      <c r="F39" s="1337">
        <v>7.2</v>
      </c>
      <c r="G39" s="1337">
        <v>7.38</v>
      </c>
      <c r="H39" s="1337">
        <v>7.56</v>
      </c>
      <c r="I39" s="1337">
        <v>4.59</v>
      </c>
      <c r="J39" s="1337">
        <v>5.04</v>
      </c>
      <c r="L39" s="1337"/>
      <c r="M39" s="1338">
        <v>37308</v>
      </c>
      <c r="N39" s="1337">
        <v>0.72</v>
      </c>
      <c r="O39" s="1337">
        <v>1.71</v>
      </c>
      <c r="P39" s="1337">
        <v>1.89</v>
      </c>
      <c r="Q39" s="1337">
        <v>1.98</v>
      </c>
      <c r="R39" s="1337">
        <v>2.25</v>
      </c>
      <c r="S39" s="1337">
        <v>2.52</v>
      </c>
      <c r="T39" s="1337">
        <v>2.79</v>
      </c>
      <c r="U39" s="1337">
        <v>1.71</v>
      </c>
      <c r="V39" s="1337">
        <v>1.89</v>
      </c>
      <c r="W39" s="1337">
        <v>1.98</v>
      </c>
      <c r="X39" s="1337">
        <v>1.44</v>
      </c>
      <c r="Y39" s="1337">
        <v>1.08</v>
      </c>
      <c r="Z39" s="1337">
        <v>1.62</v>
      </c>
    </row>
    <row r="40" spans="2:26">
      <c r="B40" s="1337"/>
      <c r="C40" s="1338">
        <v>39284</v>
      </c>
      <c r="D40" s="1337">
        <v>6.03</v>
      </c>
      <c r="E40" s="1337">
        <v>6.84</v>
      </c>
      <c r="F40" s="1337">
        <v>7.02</v>
      </c>
      <c r="G40" s="1337">
        <v>7.2</v>
      </c>
      <c r="H40" s="1337">
        <v>7.38</v>
      </c>
      <c r="I40" s="1337">
        <v>4.5</v>
      </c>
      <c r="J40" s="1337">
        <v>4.95</v>
      </c>
      <c r="L40" s="1337"/>
      <c r="M40" s="1338">
        <v>36321</v>
      </c>
      <c r="N40" s="1337">
        <v>0.99</v>
      </c>
      <c r="O40" s="1337">
        <v>1.98</v>
      </c>
      <c r="P40" s="1337">
        <v>2.16</v>
      </c>
      <c r="Q40" s="1337">
        <v>2.25</v>
      </c>
      <c r="R40" s="1337">
        <v>2.4300000000000002</v>
      </c>
      <c r="S40" s="1337">
        <v>2.7</v>
      </c>
      <c r="T40" s="1337">
        <v>2.88</v>
      </c>
      <c r="U40" s="1337">
        <v>1.98</v>
      </c>
      <c r="V40" s="1337">
        <v>2.16</v>
      </c>
      <c r="W40" s="1337">
        <v>2.25</v>
      </c>
      <c r="X40" s="1337">
        <v>1.71</v>
      </c>
      <c r="Y40" s="1337">
        <v>1.35</v>
      </c>
      <c r="Z40" s="1337">
        <v>1.89</v>
      </c>
    </row>
    <row r="41" spans="2:26">
      <c r="B41" s="1337"/>
      <c r="C41" s="1338">
        <v>39221</v>
      </c>
      <c r="D41" s="1337">
        <v>5.85</v>
      </c>
      <c r="E41" s="1337">
        <v>6.57</v>
      </c>
      <c r="F41" s="1337">
        <v>6.75</v>
      </c>
      <c r="G41" s="1337">
        <v>6.93</v>
      </c>
      <c r="H41" s="1337">
        <v>7.2</v>
      </c>
      <c r="I41" s="1337">
        <v>4.41</v>
      </c>
      <c r="J41" s="1337">
        <v>4.8600000000000003</v>
      </c>
      <c r="L41" s="1337"/>
      <c r="M41" s="1338">
        <v>36136</v>
      </c>
      <c r="N41" s="1337">
        <v>1.44</v>
      </c>
      <c r="O41" s="1337">
        <v>2.79</v>
      </c>
      <c r="P41" s="1337">
        <v>3.33</v>
      </c>
      <c r="Q41" s="1337">
        <v>3.78</v>
      </c>
      <c r="R41" s="1337">
        <v>3.96</v>
      </c>
      <c r="S41" s="1337">
        <v>4.1399999999999997</v>
      </c>
      <c r="T41" s="1337">
        <v>4.5</v>
      </c>
      <c r="U41" s="1337">
        <v>3.33</v>
      </c>
      <c r="V41" s="1337">
        <v>3.78</v>
      </c>
      <c r="W41" s="1337">
        <v>4.1399999999999997</v>
      </c>
      <c r="X41" s="1337">
        <v>2.16</v>
      </c>
      <c r="Y41" s="1337">
        <v>1.8</v>
      </c>
      <c r="Z41" s="1337">
        <v>2.34</v>
      </c>
    </row>
    <row r="42" spans="2:26">
      <c r="B42" s="1337"/>
      <c r="C42" s="1338">
        <v>39159</v>
      </c>
      <c r="D42" s="1337">
        <v>5.67</v>
      </c>
      <c r="E42" s="1337">
        <v>6.39</v>
      </c>
      <c r="F42" s="1337">
        <v>6.57</v>
      </c>
      <c r="G42" s="1337">
        <v>6.75</v>
      </c>
      <c r="H42" s="1337">
        <v>7.11</v>
      </c>
      <c r="I42" s="1337">
        <v>4.32</v>
      </c>
      <c r="J42" s="1337">
        <v>4.7699999999999996</v>
      </c>
      <c r="L42" s="1337"/>
      <c r="M42" s="1338">
        <v>35977</v>
      </c>
      <c r="N42" s="1337">
        <v>1.44</v>
      </c>
      <c r="O42" s="1337">
        <v>2.79</v>
      </c>
      <c r="P42" s="1337">
        <v>3.96</v>
      </c>
      <c r="Q42" s="1337">
        <v>4.7699999999999996</v>
      </c>
      <c r="R42" s="1337">
        <v>4.8600000000000003</v>
      </c>
      <c r="S42" s="1337">
        <v>4.95</v>
      </c>
      <c r="T42" s="1337">
        <v>5.22</v>
      </c>
      <c r="U42" s="1337">
        <v>3.96</v>
      </c>
      <c r="V42" s="1337">
        <v>4.7699999999999996</v>
      </c>
      <c r="W42" s="1337">
        <v>4.95</v>
      </c>
      <c r="X42" s="1337" t="s">
        <v>1239</v>
      </c>
      <c r="Y42" s="1337" t="s">
        <v>1239</v>
      </c>
      <c r="Z42" s="1337" t="s">
        <v>1239</v>
      </c>
    </row>
    <row r="43" spans="2:26">
      <c r="B43" s="1337"/>
      <c r="C43" s="1338">
        <v>38948</v>
      </c>
      <c r="D43" s="1337">
        <v>5.58</v>
      </c>
      <c r="E43" s="1337">
        <v>6.12</v>
      </c>
      <c r="F43" s="1337">
        <v>6.3</v>
      </c>
      <c r="G43" s="1337">
        <v>6.48</v>
      </c>
      <c r="H43" s="1337">
        <v>6.84</v>
      </c>
      <c r="I43" s="1337">
        <v>4.1399999999999997</v>
      </c>
      <c r="J43" s="1337">
        <v>4.59</v>
      </c>
      <c r="L43" s="1337"/>
      <c r="M43" s="1338">
        <v>35879</v>
      </c>
      <c r="N43" s="1337">
        <v>1.71</v>
      </c>
      <c r="O43" s="1337">
        <v>2.88</v>
      </c>
      <c r="P43" s="1337">
        <v>4.1399999999999997</v>
      </c>
      <c r="Q43" s="1337">
        <v>5.22</v>
      </c>
      <c r="R43" s="1337">
        <v>5.58</v>
      </c>
      <c r="S43" s="1337">
        <v>6.21</v>
      </c>
      <c r="T43" s="1337">
        <v>6.66</v>
      </c>
      <c r="U43" s="1337">
        <v>4.1399999999999997</v>
      </c>
      <c r="V43" s="1337">
        <v>5.22</v>
      </c>
      <c r="W43" s="1337">
        <v>6.21</v>
      </c>
      <c r="X43" s="1337" t="s">
        <v>1239</v>
      </c>
      <c r="Y43" s="1337" t="s">
        <v>1239</v>
      </c>
      <c r="Z43" s="1337" t="s">
        <v>1239</v>
      </c>
    </row>
    <row r="44" spans="2:26">
      <c r="B44" s="1337"/>
      <c r="C44" s="1338">
        <v>38835</v>
      </c>
      <c r="D44" s="1337">
        <v>5.4</v>
      </c>
      <c r="E44" s="1337">
        <v>5.85</v>
      </c>
      <c r="F44" s="1337">
        <v>6.03</v>
      </c>
      <c r="G44" s="1337">
        <v>6.12</v>
      </c>
      <c r="H44" s="1337">
        <v>6.39</v>
      </c>
      <c r="I44" s="1337">
        <v>4.1399999999999997</v>
      </c>
      <c r="J44" s="1337">
        <v>4.59</v>
      </c>
      <c r="L44" s="1337"/>
      <c r="M44" s="1338">
        <v>35726</v>
      </c>
      <c r="N44" s="1337">
        <v>1.71</v>
      </c>
      <c r="O44" s="1337">
        <v>2.88</v>
      </c>
      <c r="P44" s="1337">
        <v>4.1399999999999997</v>
      </c>
      <c r="Q44" s="1337">
        <v>5.67</v>
      </c>
      <c r="R44" s="1337">
        <v>5.94</v>
      </c>
      <c r="S44" s="1337">
        <v>6.21</v>
      </c>
      <c r="T44" s="1337">
        <v>6.66</v>
      </c>
      <c r="U44" s="1337">
        <v>4.1399999999999997</v>
      </c>
      <c r="V44" s="1337">
        <v>5.67</v>
      </c>
      <c r="W44" s="1337">
        <v>6.21</v>
      </c>
      <c r="X44" s="1337" t="s">
        <v>1239</v>
      </c>
      <c r="Y44" s="1337" t="s">
        <v>1239</v>
      </c>
      <c r="Z44" s="1337" t="s">
        <v>1239</v>
      </c>
    </row>
    <row r="45" spans="2:26">
      <c r="B45" s="1337"/>
      <c r="C45" s="1338">
        <v>38428</v>
      </c>
      <c r="D45" s="1337">
        <v>5.22</v>
      </c>
      <c r="E45" s="1337">
        <v>5.58</v>
      </c>
      <c r="F45" s="1337">
        <v>5.76</v>
      </c>
      <c r="G45" s="1337">
        <v>5.85</v>
      </c>
      <c r="H45" s="1337">
        <v>6.12</v>
      </c>
      <c r="I45" s="1337">
        <v>3.96</v>
      </c>
      <c r="J45" s="1337">
        <v>4.41</v>
      </c>
      <c r="L45" s="1337"/>
      <c r="M45" s="1338">
        <v>35300</v>
      </c>
      <c r="N45" s="1337">
        <v>1.98</v>
      </c>
      <c r="O45" s="1337">
        <v>3.33</v>
      </c>
      <c r="P45" s="1337">
        <v>5.4</v>
      </c>
      <c r="Q45" s="1337">
        <v>7.47</v>
      </c>
      <c r="R45" s="1337">
        <v>7.92</v>
      </c>
      <c r="S45" s="1337">
        <v>8.2799999999999994</v>
      </c>
      <c r="T45" s="1337">
        <v>9</v>
      </c>
      <c r="U45" s="1337">
        <v>5.4</v>
      </c>
      <c r="V45" s="1337">
        <v>7.47</v>
      </c>
      <c r="W45" s="1337">
        <v>8.2799999999999994</v>
      </c>
      <c r="X45" s="1337" t="s">
        <v>1239</v>
      </c>
      <c r="Y45" s="1337" t="s">
        <v>1239</v>
      </c>
      <c r="Z45" s="1337" t="s">
        <v>1239</v>
      </c>
    </row>
    <row r="46" spans="2:26">
      <c r="B46" s="1337"/>
      <c r="C46" s="1338">
        <v>38289</v>
      </c>
      <c r="D46" s="1337">
        <v>5.22</v>
      </c>
      <c r="E46" s="1337">
        <v>5.58</v>
      </c>
      <c r="F46" s="1337">
        <v>5.76</v>
      </c>
      <c r="G46" s="1337">
        <v>5.85</v>
      </c>
      <c r="H46" s="1337">
        <v>6.12</v>
      </c>
      <c r="I46" s="1337">
        <v>3.78</v>
      </c>
      <c r="J46" s="1337">
        <v>4.2300000000000004</v>
      </c>
      <c r="L46" s="1337"/>
      <c r="M46" s="1338">
        <v>35186</v>
      </c>
      <c r="N46" s="1337">
        <v>2.97</v>
      </c>
      <c r="O46" s="1337">
        <v>4.8600000000000003</v>
      </c>
      <c r="P46" s="1337">
        <v>7.2</v>
      </c>
      <c r="Q46" s="1337">
        <v>9.18</v>
      </c>
      <c r="R46" s="1337">
        <v>9.9</v>
      </c>
      <c r="S46" s="1337">
        <v>10.8</v>
      </c>
      <c r="T46" s="1337">
        <v>12.06</v>
      </c>
      <c r="U46" s="1337">
        <v>7.2</v>
      </c>
      <c r="V46" s="1337">
        <v>9.18</v>
      </c>
      <c r="W46" s="1337">
        <v>10.8</v>
      </c>
      <c r="X46" s="1337" t="s">
        <v>1239</v>
      </c>
      <c r="Y46" s="1337" t="s">
        <v>1239</v>
      </c>
      <c r="Z46" s="1337" t="s">
        <v>1239</v>
      </c>
    </row>
    <row r="47" spans="2:26">
      <c r="B47" s="1337"/>
      <c r="C47" s="1338">
        <v>37308</v>
      </c>
      <c r="D47" s="1337">
        <v>5.04</v>
      </c>
      <c r="E47" s="1337">
        <v>5.31</v>
      </c>
      <c r="F47" s="1337">
        <v>5.49</v>
      </c>
      <c r="G47" s="1337">
        <v>5.58</v>
      </c>
      <c r="H47" s="1337">
        <v>5.76</v>
      </c>
      <c r="I47" s="1337">
        <v>3.6</v>
      </c>
      <c r="J47" s="1337">
        <v>4.05</v>
      </c>
      <c r="L47" s="1337"/>
      <c r="M47" s="1338">
        <v>34161</v>
      </c>
      <c r="N47" s="1337">
        <v>3.15</v>
      </c>
      <c r="O47" s="1337">
        <v>6.66</v>
      </c>
      <c r="P47" s="1337">
        <v>9</v>
      </c>
      <c r="Q47" s="1337">
        <v>10.98</v>
      </c>
      <c r="R47" s="1337">
        <v>11.7</v>
      </c>
      <c r="S47" s="1337">
        <v>12.24</v>
      </c>
      <c r="T47" s="1337">
        <v>13.86</v>
      </c>
      <c r="U47" s="1337">
        <v>9</v>
      </c>
      <c r="V47" s="1337">
        <v>10.98</v>
      </c>
      <c r="W47" s="1337">
        <v>12.24</v>
      </c>
      <c r="X47" s="1337" t="s">
        <v>1239</v>
      </c>
      <c r="Y47" s="1337" t="s">
        <v>1239</v>
      </c>
      <c r="Z47" s="1337" t="s">
        <v>1239</v>
      </c>
    </row>
    <row r="48" spans="2:26">
      <c r="B48" s="1337"/>
      <c r="C48" s="1338">
        <v>36321</v>
      </c>
      <c r="D48" s="1337">
        <v>5.58</v>
      </c>
      <c r="E48" s="1337">
        <v>5.85</v>
      </c>
      <c r="F48" s="1337">
        <v>5.94</v>
      </c>
      <c r="G48" s="1337">
        <v>6.03</v>
      </c>
      <c r="H48" s="1337">
        <v>6.21</v>
      </c>
      <c r="I48" s="1337">
        <v>4.1399999999999997</v>
      </c>
      <c r="J48" s="1337">
        <v>4.59</v>
      </c>
      <c r="L48" s="1337"/>
      <c r="M48" s="1338">
        <v>34104</v>
      </c>
      <c r="N48" s="1337">
        <v>2.16</v>
      </c>
      <c r="O48" s="1337">
        <v>4.8600000000000003</v>
      </c>
      <c r="P48" s="1337">
        <v>7.2</v>
      </c>
      <c r="Q48" s="1337">
        <v>9.18</v>
      </c>
      <c r="R48" s="1337">
        <v>9.9</v>
      </c>
      <c r="S48" s="1337">
        <v>10.8</v>
      </c>
      <c r="T48" s="1337">
        <v>12.06</v>
      </c>
      <c r="U48" s="1337">
        <v>7.2</v>
      </c>
      <c r="V48" s="1337">
        <v>9.18</v>
      </c>
      <c r="W48" s="1337">
        <v>10.8</v>
      </c>
      <c r="X48" s="1337" t="s">
        <v>1239</v>
      </c>
      <c r="Y48" s="1337" t="s">
        <v>1239</v>
      </c>
      <c r="Z48" s="1337" t="s">
        <v>1239</v>
      </c>
    </row>
    <row r="49" spans="2:26">
      <c r="B49" s="1337"/>
      <c r="C49" s="1338">
        <v>36136</v>
      </c>
      <c r="D49" s="1337">
        <v>6.12</v>
      </c>
      <c r="E49" s="1337">
        <v>6.39</v>
      </c>
      <c r="F49" s="1337">
        <v>6.66</v>
      </c>
      <c r="G49" s="1337">
        <v>7.2</v>
      </c>
      <c r="H49" s="1337">
        <v>7.56</v>
      </c>
      <c r="I49" s="1337">
        <v>0</v>
      </c>
      <c r="J49" s="1337">
        <v>0</v>
      </c>
      <c r="L49" s="1337"/>
      <c r="M49" s="1338">
        <v>33349</v>
      </c>
      <c r="N49" s="1337">
        <v>1.8</v>
      </c>
      <c r="O49" s="1337">
        <v>3.24</v>
      </c>
      <c r="P49" s="1337">
        <v>5.4</v>
      </c>
      <c r="Q49" s="1337">
        <v>7.56</v>
      </c>
      <c r="R49" s="1337">
        <v>7.92</v>
      </c>
      <c r="S49" s="1337">
        <v>8.2799999999999994</v>
      </c>
      <c r="T49" s="1337">
        <v>9</v>
      </c>
      <c r="U49" s="1337">
        <v>6.12</v>
      </c>
      <c r="V49" s="1337">
        <v>6.84</v>
      </c>
      <c r="W49" s="1337">
        <v>7.56</v>
      </c>
      <c r="X49" s="1337" t="s">
        <v>1239</v>
      </c>
      <c r="Y49" s="1337" t="s">
        <v>1239</v>
      </c>
      <c r="Z49" s="1337" t="s">
        <v>1239</v>
      </c>
    </row>
    <row r="50" spans="2:26">
      <c r="B50" s="1337"/>
      <c r="C50" s="1338">
        <v>35977</v>
      </c>
      <c r="D50" s="1337">
        <v>6.57</v>
      </c>
      <c r="E50" s="1337">
        <v>6.93</v>
      </c>
      <c r="F50" s="1337">
        <v>7.11</v>
      </c>
      <c r="G50" s="1337">
        <v>7.65</v>
      </c>
      <c r="H50" s="1337">
        <v>8.01</v>
      </c>
      <c r="I50" s="1337">
        <v>0</v>
      </c>
      <c r="J50" s="1337">
        <v>0</v>
      </c>
      <c r="L50" s="1337"/>
      <c r="M50" s="1338">
        <v>33106</v>
      </c>
      <c r="N50" s="1337">
        <v>2.16</v>
      </c>
      <c r="O50" s="1337">
        <v>4.32</v>
      </c>
      <c r="P50" s="1337">
        <v>6.48</v>
      </c>
      <c r="Q50" s="1337">
        <v>8.64</v>
      </c>
      <c r="R50" s="1337">
        <v>9.36</v>
      </c>
      <c r="S50" s="1337">
        <v>10.08</v>
      </c>
      <c r="T50" s="1337">
        <v>11.52</v>
      </c>
      <c r="U50" s="1337">
        <v>7.2</v>
      </c>
      <c r="V50" s="1337">
        <v>8.64</v>
      </c>
      <c r="W50" s="1337">
        <v>10.08</v>
      </c>
      <c r="X50" s="1337" t="s">
        <v>1239</v>
      </c>
      <c r="Y50" s="1337" t="s">
        <v>1239</v>
      </c>
      <c r="Z50" s="1337" t="s">
        <v>1239</v>
      </c>
    </row>
    <row r="51" spans="2:26">
      <c r="B51" s="1337"/>
      <c r="C51" s="1338">
        <v>35879</v>
      </c>
      <c r="D51" s="1337">
        <v>7.02</v>
      </c>
      <c r="E51" s="1337">
        <v>7.92</v>
      </c>
      <c r="F51" s="1337">
        <v>9</v>
      </c>
      <c r="G51" s="1337">
        <v>9.7200000000000006</v>
      </c>
      <c r="H51" s="1337">
        <v>10.35</v>
      </c>
      <c r="I51" s="1337">
        <v>0</v>
      </c>
      <c r="J51" s="1337">
        <v>0</v>
      </c>
      <c r="L51" s="1337"/>
      <c r="M51" s="1338">
        <v>32978</v>
      </c>
      <c r="N51" s="1337">
        <v>2.88</v>
      </c>
      <c r="O51" s="1337">
        <v>6.3</v>
      </c>
      <c r="P51" s="1337">
        <v>7.74</v>
      </c>
      <c r="Q51" s="1337">
        <v>10.08</v>
      </c>
      <c r="R51" s="1337">
        <v>10.98</v>
      </c>
      <c r="S51" s="1337">
        <v>11.88</v>
      </c>
      <c r="T51" s="1337">
        <v>13.68</v>
      </c>
      <c r="U51" s="1337" t="s">
        <v>1239</v>
      </c>
      <c r="V51" s="1337" t="s">
        <v>1239</v>
      </c>
      <c r="W51" s="1337" t="s">
        <v>1239</v>
      </c>
      <c r="X51" s="1337" t="s">
        <v>1239</v>
      </c>
      <c r="Y51" s="1337" t="s">
        <v>1239</v>
      </c>
      <c r="Z51" s="1337" t="s">
        <v>1239</v>
      </c>
    </row>
    <row r="52" spans="2:26">
      <c r="B52" s="1337"/>
      <c r="C52" s="1338">
        <v>35726</v>
      </c>
      <c r="D52" s="1337">
        <v>7.65</v>
      </c>
      <c r="E52" s="1337">
        <v>8.64</v>
      </c>
      <c r="F52" s="1337">
        <v>9.36</v>
      </c>
      <c r="G52" s="1337">
        <v>9.9</v>
      </c>
      <c r="H52" s="1337">
        <v>10.53</v>
      </c>
      <c r="I52" s="1337">
        <v>0</v>
      </c>
      <c r="J52" s="1337">
        <v>0</v>
      </c>
      <c r="L52" s="1337"/>
      <c r="M52" s="1338"/>
      <c r="N52" s="1337"/>
      <c r="O52" s="1337"/>
      <c r="P52" s="1337"/>
      <c r="Q52" s="1337"/>
      <c r="R52" s="1337"/>
      <c r="S52" s="1337"/>
      <c r="T52" s="1337"/>
      <c r="U52" s="1337"/>
      <c r="V52" s="1337"/>
      <c r="W52" s="1337"/>
      <c r="X52" s="1337"/>
      <c r="Y52" s="1337"/>
      <c r="Z52" s="1337"/>
    </row>
    <row r="53" spans="2:26">
      <c r="B53" s="1337"/>
      <c r="C53" s="1338">
        <v>35300</v>
      </c>
      <c r="D53" s="1337">
        <v>9.18</v>
      </c>
      <c r="E53" s="1337">
        <v>10.08</v>
      </c>
      <c r="F53" s="1337">
        <v>10.98</v>
      </c>
      <c r="G53" s="1337">
        <v>11.7</v>
      </c>
      <c r="H53" s="1337">
        <v>12.42</v>
      </c>
      <c r="I53" s="1337">
        <v>0</v>
      </c>
      <c r="J53" s="1337">
        <v>0</v>
      </c>
      <c r="L53" s="1337"/>
      <c r="M53" s="1338"/>
      <c r="N53" s="1337"/>
      <c r="O53" s="1337"/>
      <c r="P53" s="1337"/>
      <c r="Q53" s="1337"/>
      <c r="R53" s="1337"/>
      <c r="S53" s="1337"/>
      <c r="T53" s="1337"/>
      <c r="U53" s="1337"/>
      <c r="V53" s="1337"/>
      <c r="W53" s="1337"/>
      <c r="X53" s="1337"/>
      <c r="Y53" s="1337"/>
      <c r="Z53" s="1337"/>
    </row>
    <row r="54" spans="2:26">
      <c r="B54" s="1337"/>
      <c r="C54" s="1338">
        <v>35186</v>
      </c>
      <c r="D54" s="1337">
        <v>9.7200000000000006</v>
      </c>
      <c r="E54" s="1337">
        <v>10.98</v>
      </c>
      <c r="F54" s="1337">
        <v>13.14</v>
      </c>
      <c r="G54" s="1337">
        <v>14.94</v>
      </c>
      <c r="H54" s="1337">
        <v>15.12</v>
      </c>
      <c r="I54" s="1337">
        <v>0</v>
      </c>
      <c r="J54" s="1337">
        <v>0</v>
      </c>
      <c r="L54" s="1337"/>
      <c r="M54" s="1338"/>
      <c r="N54" s="1337"/>
      <c r="O54" s="1337"/>
      <c r="P54" s="1337"/>
      <c r="Q54" s="1337"/>
      <c r="R54" s="1337"/>
      <c r="S54" s="1337"/>
      <c r="T54" s="1337"/>
      <c r="U54" s="1337"/>
      <c r="V54" s="1337"/>
      <c r="W54" s="1337"/>
      <c r="X54" s="1337"/>
      <c r="Y54" s="1337"/>
      <c r="Z54" s="1337"/>
    </row>
    <row r="55" spans="2:26">
      <c r="B55" s="1337"/>
      <c r="C55" s="1338">
        <v>34881</v>
      </c>
      <c r="D55" s="1337">
        <v>10.08</v>
      </c>
      <c r="E55" s="1337">
        <v>12.06</v>
      </c>
      <c r="F55" s="1337">
        <v>13.5</v>
      </c>
      <c r="G55" s="1337">
        <v>15.12</v>
      </c>
      <c r="H55" s="1337">
        <v>15.3</v>
      </c>
      <c r="I55" s="1337">
        <v>0</v>
      </c>
      <c r="J55" s="1337">
        <v>0</v>
      </c>
      <c r="L55" s="1337"/>
      <c r="M55" s="1338"/>
      <c r="N55" s="1337"/>
      <c r="O55" s="1337"/>
      <c r="P55" s="1337"/>
      <c r="Q55" s="1337"/>
      <c r="R55" s="1337"/>
      <c r="S55" s="1337"/>
      <c r="T55" s="1337"/>
      <c r="U55" s="1337"/>
      <c r="V55" s="1337"/>
      <c r="W55" s="1337"/>
      <c r="X55" s="1337"/>
      <c r="Y55" s="1337"/>
      <c r="Z55" s="1337"/>
    </row>
    <row r="56" spans="2:26">
      <c r="B56" s="1337"/>
      <c r="C56" s="1338">
        <v>34700</v>
      </c>
      <c r="D56" s="1337">
        <v>9</v>
      </c>
      <c r="E56" s="1337">
        <v>10.98</v>
      </c>
      <c r="F56" s="1337">
        <v>12.96</v>
      </c>
      <c r="G56" s="1337">
        <v>14.58</v>
      </c>
      <c r="H56" s="1337">
        <v>14.76</v>
      </c>
      <c r="I56" s="1337">
        <v>0</v>
      </c>
      <c r="J56" s="1337">
        <v>0</v>
      </c>
      <c r="L56" s="1337"/>
      <c r="M56" s="1338"/>
      <c r="N56" s="1337"/>
      <c r="O56" s="1337"/>
      <c r="P56" s="1337"/>
      <c r="Q56" s="1337"/>
      <c r="R56" s="1337"/>
      <c r="S56" s="1337"/>
      <c r="T56" s="1337"/>
      <c r="U56" s="1337"/>
      <c r="V56" s="1337"/>
      <c r="W56" s="1337"/>
      <c r="X56" s="1337"/>
      <c r="Y56" s="1337"/>
      <c r="Z56" s="1337"/>
    </row>
    <row r="57" spans="2:26">
      <c r="B57" s="1337"/>
      <c r="C57" s="1338">
        <v>34161</v>
      </c>
      <c r="D57" s="1337">
        <v>9</v>
      </c>
      <c r="E57" s="1337">
        <v>10.98</v>
      </c>
      <c r="F57" s="1337">
        <v>12.24</v>
      </c>
      <c r="G57" s="1337">
        <v>13.86</v>
      </c>
      <c r="H57" s="1337">
        <v>14.04</v>
      </c>
      <c r="I57" s="1337">
        <v>0</v>
      </c>
      <c r="J57" s="1337">
        <v>0</v>
      </c>
      <c r="L57" s="1337"/>
      <c r="M57" s="1338"/>
      <c r="N57" s="1337"/>
      <c r="O57" s="1337"/>
      <c r="P57" s="1337"/>
      <c r="Q57" s="1337"/>
      <c r="R57" s="1337"/>
      <c r="S57" s="1337"/>
      <c r="T57" s="1337"/>
      <c r="U57" s="1337"/>
      <c r="V57" s="1337"/>
      <c r="W57" s="1337"/>
      <c r="X57" s="1337"/>
      <c r="Y57" s="1337"/>
      <c r="Z57" s="1337"/>
    </row>
    <row r="58" spans="2:26">
      <c r="B58" s="1337"/>
      <c r="C58" s="1338">
        <v>34104</v>
      </c>
      <c r="D58" s="1337">
        <v>8.82</v>
      </c>
      <c r="E58" s="1337">
        <v>9.36</v>
      </c>
      <c r="F58" s="1337">
        <v>10.8</v>
      </c>
      <c r="G58" s="1337">
        <v>12.06</v>
      </c>
      <c r="H58" s="1337">
        <v>12.24</v>
      </c>
      <c r="I58" s="1337">
        <v>0</v>
      </c>
      <c r="J58" s="1337">
        <v>0</v>
      </c>
    </row>
    <row r="59" spans="2:26">
      <c r="B59" s="1337"/>
      <c r="C59" s="1338">
        <v>33349</v>
      </c>
      <c r="D59" s="1337">
        <v>8.1</v>
      </c>
      <c r="E59" s="1337">
        <v>8.64</v>
      </c>
      <c r="F59" s="1337">
        <v>9</v>
      </c>
      <c r="G59" s="1337">
        <v>9.5399999999999991</v>
      </c>
      <c r="H59" s="1337">
        <v>9.7200000000000006</v>
      </c>
      <c r="I59" s="1337">
        <v>0</v>
      </c>
      <c r="J59" s="1337">
        <v>0</v>
      </c>
    </row>
    <row r="60" spans="2:26">
      <c r="B60" s="1337"/>
      <c r="C60" s="1338">
        <v>33318</v>
      </c>
      <c r="D60" s="1337">
        <v>9</v>
      </c>
      <c r="E60" s="1337">
        <v>10.08</v>
      </c>
      <c r="F60" s="1337">
        <v>10.8</v>
      </c>
      <c r="G60" s="1337">
        <v>11.52</v>
      </c>
      <c r="H60" s="1337">
        <v>11.88</v>
      </c>
      <c r="I60" s="1337" t="s">
        <v>1239</v>
      </c>
      <c r="J60" s="1337" t="s">
        <v>1239</v>
      </c>
    </row>
    <row r="61" spans="2:26">
      <c r="B61" s="1337"/>
      <c r="C61" s="1338">
        <v>33106</v>
      </c>
      <c r="D61" s="1337">
        <v>8.64</v>
      </c>
      <c r="E61" s="1337">
        <v>9.36</v>
      </c>
      <c r="F61" s="1337">
        <v>10.08</v>
      </c>
      <c r="G61" s="1337">
        <v>10.8</v>
      </c>
      <c r="H61" s="1337">
        <v>11.16</v>
      </c>
      <c r="I61" s="1337">
        <v>0</v>
      </c>
      <c r="J61" s="1337">
        <v>0</v>
      </c>
    </row>
    <row r="62" spans="2:26">
      <c r="B62" s="1337"/>
      <c r="C62" s="1338">
        <v>32540</v>
      </c>
      <c r="D62" s="1337">
        <v>11.34</v>
      </c>
      <c r="E62" s="1337">
        <v>11.34</v>
      </c>
      <c r="F62" s="1337">
        <v>12.78</v>
      </c>
      <c r="G62" s="1337">
        <v>14.4</v>
      </c>
      <c r="H62" s="1337">
        <v>19.260000000000002</v>
      </c>
      <c r="I62" s="1337">
        <v>0</v>
      </c>
      <c r="J62" s="1337">
        <v>0</v>
      </c>
    </row>
    <row r="63" spans="2:26">
      <c r="B63" s="1337"/>
      <c r="C63" s="1338"/>
      <c r="D63" s="1337"/>
      <c r="E63" s="1337"/>
      <c r="F63" s="1337"/>
      <c r="G63" s="1337"/>
      <c r="H63" s="1337"/>
      <c r="I63" s="1337"/>
      <c r="J63" s="1337"/>
    </row>
    <row r="64" spans="2:26">
      <c r="B64" s="1340"/>
      <c r="C64" s="1341"/>
      <c r="D64" s="1340"/>
      <c r="E64" s="1340"/>
      <c r="F64" s="1340"/>
      <c r="G64" s="1340"/>
      <c r="H64" s="1340"/>
      <c r="I64" s="1340"/>
      <c r="J64" s="1340"/>
    </row>
    <row r="65" spans="2:10">
      <c r="B65" s="1340"/>
      <c r="C65" s="1341"/>
      <c r="D65" s="1340"/>
      <c r="E65" s="1340"/>
      <c r="F65" s="1340"/>
      <c r="G65" s="1340"/>
      <c r="H65" s="1340"/>
      <c r="I65" s="1340"/>
      <c r="J65" s="1340"/>
    </row>
    <row r="66" spans="2:10">
      <c r="B66" s="1340"/>
      <c r="C66" s="1341"/>
      <c r="D66" s="1340"/>
      <c r="E66" s="1340"/>
      <c r="F66" s="1340"/>
      <c r="G66" s="1340"/>
      <c r="H66" s="1340"/>
      <c r="I66" s="1340"/>
      <c r="J66" s="1340"/>
    </row>
    <row r="67" spans="2:10">
      <c r="B67" s="1291"/>
      <c r="C67" s="1291"/>
      <c r="D67" s="1291"/>
      <c r="E67" s="1291"/>
      <c r="F67" s="1291"/>
      <c r="G67" s="1291"/>
      <c r="H67" s="1291"/>
      <c r="I67" s="1291"/>
      <c r="J67" s="1291"/>
    </row>
    <row r="68" spans="2:10">
      <c r="B68" s="1291"/>
      <c r="C68" s="1291"/>
      <c r="D68" s="1291"/>
      <c r="E68" s="1291"/>
      <c r="F68" s="1291"/>
      <c r="G68" s="1291"/>
      <c r="H68" s="1291"/>
      <c r="I68" s="1291"/>
      <c r="J68" s="1291"/>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0" customWidth="1"/>
    <col min="2" max="9" width="12.125" style="650" customWidth="1"/>
    <col min="10" max="16384" width="9" style="650"/>
  </cols>
  <sheetData>
    <row r="1" spans="1:9" ht="18.75" thickBot="1">
      <c r="A1" s="3153" t="str">
        <f>IF(项目基本情况!B9="房地产市场价值","估价结果一览表","结果表-2")</f>
        <v>结果表-2</v>
      </c>
      <c r="B1" s="3153"/>
      <c r="C1" s="3153"/>
      <c r="D1" s="3153"/>
      <c r="E1" s="3153"/>
      <c r="F1" s="3153"/>
      <c r="G1" s="3153"/>
      <c r="H1" s="3153"/>
      <c r="I1" s="3153"/>
    </row>
    <row r="2" spans="1:9" ht="30" customHeight="1" thickTop="1">
      <c r="A2" s="3154" t="s">
        <v>1545</v>
      </c>
      <c r="B2" s="3154" t="s">
        <v>1546</v>
      </c>
      <c r="C2" s="3154" t="s">
        <v>1547</v>
      </c>
      <c r="D2" s="3154" t="str">
        <f>结果表!D116</f>
        <v>出让国有建设用地使用权价值</v>
      </c>
      <c r="E2" s="3154"/>
      <c r="F2" s="3154" t="str">
        <f>结果表!F116</f>
        <v>建筑物价值</v>
      </c>
      <c r="G2" s="3154"/>
      <c r="H2" s="3154" t="str">
        <f>IF(项目基本情况!B9="房地产市场价值","房地产市场价值","房地产价值")</f>
        <v>房地产价值</v>
      </c>
      <c r="I2" s="3154"/>
    </row>
    <row r="3" spans="1:9" ht="15">
      <c r="A3" s="3148"/>
      <c r="B3" s="3148"/>
      <c r="C3" s="3148"/>
      <c r="D3" s="903" t="s">
        <v>1542</v>
      </c>
      <c r="E3" s="903" t="s">
        <v>1548</v>
      </c>
      <c r="F3" s="903" t="s">
        <v>1542</v>
      </c>
      <c r="G3" s="903" t="s">
        <v>1543</v>
      </c>
      <c r="H3" s="903" t="s">
        <v>1542</v>
      </c>
      <c r="I3" s="903" t="s">
        <v>1543</v>
      </c>
    </row>
    <row r="4" spans="1:9" ht="15">
      <c r="A4" s="1548" t="str">
        <f>项目基本情况!S2</f>
        <v>北京市房地产</v>
      </c>
      <c r="B4" s="903">
        <f>项目基本情况!C17</f>
        <v>69.52</v>
      </c>
      <c r="C4" s="903">
        <f>项目基本情况!C18</f>
        <v>0</v>
      </c>
      <c r="D4" s="903">
        <f ca="1">结果表!D118</f>
        <v>1959560</v>
      </c>
      <c r="E4" s="903">
        <f ca="1">结果表!E118</f>
        <v>281869965</v>
      </c>
      <c r="F4" s="903">
        <f ca="1">结果表!F118</f>
        <v>0</v>
      </c>
      <c r="G4" s="903">
        <f ca="1">结果表!G118</f>
        <v>0</v>
      </c>
      <c r="H4" s="903">
        <f ca="1">结果表!H118</f>
        <v>1959560</v>
      </c>
      <c r="I4" s="903">
        <f ca="1">结果表!I118</f>
        <v>281869965</v>
      </c>
    </row>
    <row r="5" spans="1:9" ht="30" customHeight="1">
      <c r="A5" s="3148" t="s">
        <v>1544</v>
      </c>
      <c r="B5" s="3148"/>
      <c r="C5" s="3148"/>
      <c r="D5" s="3149" t="str">
        <f ca="1">结果表!D119</f>
        <v>壹佰玖拾伍亿玖仟伍佰陆拾万元整</v>
      </c>
      <c r="E5" s="3149"/>
      <c r="F5" s="3149" t="str">
        <f ca="1">结果表!F119</f>
        <v>零元整</v>
      </c>
      <c r="G5" s="3149"/>
      <c r="H5" s="3149" t="str">
        <f ca="1">结果表!H119</f>
        <v>壹佰玖拾伍亿玖仟伍佰陆拾万元整</v>
      </c>
      <c r="I5" s="3149"/>
    </row>
    <row r="6" spans="1:9" ht="15.75">
      <c r="A6" s="3147" t="str">
        <f>结果表!A120</f>
        <v>估价师知悉的法定优先受偿款</v>
      </c>
      <c r="B6" s="3147"/>
      <c r="C6" s="3147"/>
      <c r="D6" s="3147">
        <f>结果表!D120</f>
        <v>0</v>
      </c>
      <c r="E6" s="3147"/>
      <c r="F6" s="3147"/>
      <c r="G6" s="3147"/>
      <c r="H6" s="3147"/>
      <c r="I6" s="3147"/>
    </row>
    <row r="7" spans="1:9" ht="15">
      <c r="A7" s="3148" t="s">
        <v>1544</v>
      </c>
      <c r="B7" s="3148"/>
      <c r="C7" s="3148"/>
      <c r="D7" s="3150" t="str">
        <f>结果表!D121</f>
        <v>零元整</v>
      </c>
      <c r="E7" s="3151"/>
      <c r="F7" s="3151"/>
      <c r="G7" s="3151"/>
      <c r="H7" s="3151"/>
      <c r="I7" s="3152"/>
    </row>
    <row r="8" spans="1:9" ht="15.75">
      <c r="A8" s="3147" t="str">
        <f>结果表!A122</f>
        <v>房地产抵押价值</v>
      </c>
      <c r="B8" s="3147"/>
      <c r="C8" s="3147"/>
      <c r="D8" s="3147">
        <f ca="1">结果表!D122</f>
        <v>1959560</v>
      </c>
      <c r="E8" s="3147"/>
      <c r="F8" s="3147"/>
      <c r="G8" s="3147"/>
      <c r="H8" s="3147"/>
      <c r="I8" s="3147"/>
    </row>
    <row r="9" spans="1:9" ht="15">
      <c r="A9" s="3148" t="s">
        <v>1544</v>
      </c>
      <c r="B9" s="3148"/>
      <c r="C9" s="3148"/>
      <c r="D9" s="3149" t="str">
        <f ca="1">结果表!D123</f>
        <v>壹佰玖拾伍亿玖仟伍佰陆拾万元整</v>
      </c>
      <c r="E9" s="3149"/>
      <c r="F9" s="3149"/>
      <c r="G9" s="3149"/>
      <c r="H9" s="3149"/>
      <c r="I9" s="3149"/>
    </row>
    <row r="10" spans="1:9" ht="15.75">
      <c r="A10" s="3147" t="str">
        <f>结果表!A124</f>
        <v/>
      </c>
      <c r="B10" s="3147"/>
      <c r="C10" s="3147"/>
      <c r="D10" s="3147" t="str">
        <f>结果表!D124</f>
        <v>——</v>
      </c>
      <c r="E10" s="3147"/>
      <c r="F10" s="3147"/>
      <c r="G10" s="3147"/>
      <c r="H10" s="3147"/>
      <c r="I10" s="3147"/>
    </row>
    <row r="11" spans="1:9" ht="15">
      <c r="A11" s="3148" t="s">
        <v>1544</v>
      </c>
      <c r="B11" s="3148"/>
      <c r="C11" s="3148"/>
      <c r="D11" s="3149" t="e">
        <f>结果表!D125</f>
        <v>#VALUE!</v>
      </c>
      <c r="E11" s="3149"/>
      <c r="F11" s="3149"/>
      <c r="G11" s="3149"/>
      <c r="H11" s="3149"/>
      <c r="I11" s="3149"/>
    </row>
    <row r="12" spans="1:9" ht="15.75">
      <c r="A12" s="3147" t="str">
        <f>结果表!A126</f>
        <v>抵押净值</v>
      </c>
      <c r="B12" s="3147"/>
      <c r="C12" s="3147"/>
      <c r="D12" s="3147">
        <f ca="1">结果表!D126</f>
        <v>770918</v>
      </c>
      <c r="E12" s="3147"/>
      <c r="F12" s="3147"/>
      <c r="G12" s="3147"/>
      <c r="H12" s="3147"/>
      <c r="I12" s="3147"/>
    </row>
    <row r="13" spans="1:9" ht="15.75" thickBot="1">
      <c r="A13" s="3144" t="s">
        <v>1544</v>
      </c>
      <c r="B13" s="3144"/>
      <c r="C13" s="3144"/>
      <c r="D13" s="3145" t="str">
        <f ca="1">结果表!D127</f>
        <v>柒拾柒亿零玖佰壹拾捌万元整</v>
      </c>
      <c r="E13" s="3145"/>
      <c r="F13" s="3145"/>
      <c r="G13" s="3145"/>
      <c r="H13" s="3145"/>
      <c r="I13" s="3145"/>
    </row>
    <row r="14" spans="1:9" ht="15" thickTop="1">
      <c r="A14" s="3146" t="s">
        <v>1549</v>
      </c>
      <c r="B14" s="3146"/>
      <c r="C14" s="3146"/>
      <c r="D14" s="3146"/>
      <c r="E14" s="3146"/>
      <c r="F14" s="3146"/>
      <c r="G14" s="3146"/>
      <c r="H14" s="3146"/>
      <c r="I14" s="3146"/>
    </row>
    <row r="16" spans="1:9" ht="18.75">
      <c r="A16" s="1549"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0" customWidth="1"/>
    <col min="2" max="3" width="22.375" style="650" customWidth="1"/>
    <col min="4" max="4" width="23" style="650" customWidth="1"/>
    <col min="5" max="16384" width="9" style="650"/>
  </cols>
  <sheetData>
    <row r="1" spans="1:4" ht="18.75">
      <c r="A1" s="3161" t="s">
        <v>1566</v>
      </c>
      <c r="B1" s="3161"/>
      <c r="C1" s="3161"/>
      <c r="D1" s="3161"/>
    </row>
    <row r="2" spans="1:4" ht="18">
      <c r="A2" s="3162" t="s">
        <v>1550</v>
      </c>
      <c r="B2" s="3162"/>
      <c r="C2" s="3162"/>
      <c r="D2" s="3162"/>
    </row>
    <row r="3" spans="1:4" ht="18.75">
      <c r="A3" s="1552" t="s">
        <v>1551</v>
      </c>
      <c r="B3" s="1552" t="s">
        <v>1552</v>
      </c>
      <c r="C3" s="1552" t="s">
        <v>1553</v>
      </c>
      <c r="D3" s="1552" t="s">
        <v>1554</v>
      </c>
    </row>
    <row r="4" spans="1:4" ht="56.25" customHeight="1">
      <c r="A4" s="1553" t="str">
        <f>项目基本情况!B4</f>
        <v>崔锴</v>
      </c>
      <c r="B4" s="1554">
        <f ca="1">项目基本情况!C4</f>
        <v>0</v>
      </c>
      <c r="C4" s="1555"/>
      <c r="D4" s="1556" t="s">
        <v>1555</v>
      </c>
    </row>
    <row r="5" spans="1:4" ht="56.25" customHeight="1">
      <c r="A5" s="1553" t="str">
        <f>项目基本情况!D4</f>
        <v>郑燚</v>
      </c>
      <c r="B5" s="1554">
        <f ca="1">项目基本情况!E4</f>
        <v>0</v>
      </c>
      <c r="C5" s="1557"/>
      <c r="D5" s="1556" t="s">
        <v>1555</v>
      </c>
    </row>
    <row r="6" spans="1:4" ht="18">
      <c r="A6" s="3162" t="s">
        <v>1556</v>
      </c>
      <c r="B6" s="3162"/>
      <c r="C6" s="3162"/>
      <c r="D6" s="3162"/>
    </row>
    <row r="7" spans="1:4" ht="18.75">
      <c r="A7" s="1552" t="s">
        <v>1551</v>
      </c>
      <c r="B7" s="1554" t="s">
        <v>1557</v>
      </c>
      <c r="C7" s="1552" t="s">
        <v>1553</v>
      </c>
      <c r="D7" s="1552" t="s">
        <v>1554</v>
      </c>
    </row>
    <row r="8" spans="1:4" ht="56.25" customHeight="1">
      <c r="A8" s="1558" t="s">
        <v>837</v>
      </c>
      <c r="B8" s="1558" t="s">
        <v>1</v>
      </c>
      <c r="C8" s="1555"/>
      <c r="D8" s="1556" t="s">
        <v>1555</v>
      </c>
    </row>
    <row r="10" spans="1:4" ht="18.75">
      <c r="A10" s="1559" t="s">
        <v>1558</v>
      </c>
    </row>
    <row r="11" spans="1:4" ht="30" customHeight="1">
      <c r="A11" s="3163" t="s">
        <v>1559</v>
      </c>
      <c r="B11" s="3155"/>
      <c r="C11" s="3155"/>
      <c r="D11" s="3155"/>
    </row>
    <row r="12" spans="1:4" ht="15.75">
      <c r="A12" s="3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0"/>
      <c r="C12" s="3160"/>
      <c r="D12" s="3160"/>
    </row>
    <row r="13" spans="1:4" ht="30" customHeight="1">
      <c r="A13" s="31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0"/>
      <c r="C13" s="3160"/>
      <c r="D13" s="3160"/>
    </row>
    <row r="14" spans="1:4" ht="15.75" customHeight="1">
      <c r="A14" s="3155" t="str">
        <f>IF(项目基本情况!B8="抵押","4.本次评估估价师所知悉的法定优先受偿款情况说明如下：","——")</f>
        <v>4.本次评估估价师所知悉的法定优先受偿款情况说明如下：</v>
      </c>
      <c r="B14" s="3160"/>
      <c r="C14" s="3160"/>
      <c r="D14" s="3160"/>
    </row>
    <row r="15" spans="1:4" ht="42" customHeight="1">
      <c r="A15" s="315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5"/>
      <c r="C15" s="3155"/>
      <c r="D15" s="3155"/>
    </row>
    <row r="16" spans="1:4" ht="30" customHeight="1">
      <c r="A16" s="3157" t="s">
        <v>1560</v>
      </c>
      <c r="B16" s="3157"/>
      <c r="C16" s="3157"/>
      <c r="D16" s="3157"/>
    </row>
    <row r="17" spans="1:4" ht="144" customHeight="1">
      <c r="A17" s="3157" t="s">
        <v>1561</v>
      </c>
      <c r="B17" s="3157"/>
      <c r="C17" s="3157"/>
      <c r="D17" s="3157"/>
    </row>
    <row r="18" spans="1:4" ht="15.75" customHeight="1">
      <c r="A18" s="3155" t="str">
        <f>IF(项目基本情况!B8="抵押",结果表!K120,"——")</f>
        <v>故，本次评估不存在估价师知悉的法定优先受偿款</v>
      </c>
      <c r="B18" s="3155"/>
      <c r="C18" s="3155"/>
      <c r="D18" s="3155"/>
    </row>
    <row r="19" spans="1:4" ht="46.5" customHeight="1">
      <c r="A19" s="3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5"/>
      <c r="C19" s="3155"/>
      <c r="D19" s="3155"/>
    </row>
    <row r="20" spans="1:4" ht="57.75" customHeight="1">
      <c r="A20" s="3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5"/>
      <c r="C20" s="3155"/>
      <c r="D20" s="3155"/>
    </row>
    <row r="21" spans="1:4" ht="57.75" customHeight="1">
      <c r="A21" s="31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8"/>
      <c r="C21" s="3158"/>
      <c r="D21" s="3158"/>
    </row>
    <row r="22" spans="1:4" ht="18.75" customHeight="1">
      <c r="A22" s="3159" t="s">
        <v>1562</v>
      </c>
      <c r="B22" s="3159"/>
      <c r="C22" s="3159"/>
      <c r="D22" s="3159"/>
    </row>
    <row r="23" spans="1:4">
      <c r="A23" s="1560"/>
      <c r="B23" s="467"/>
      <c r="C23" s="467"/>
      <c r="D23" s="467"/>
    </row>
    <row r="24" spans="1:4">
      <c r="A24" s="1560"/>
      <c r="B24" s="467"/>
      <c r="C24" s="467"/>
      <c r="D24" s="467"/>
    </row>
    <row r="25" spans="1:4" ht="18.75">
      <c r="A25" s="1561" t="s">
        <v>1563</v>
      </c>
    </row>
    <row r="26" spans="1:4" ht="18">
      <c r="A26" s="1532"/>
    </row>
    <row r="27" spans="1:4" ht="18.75">
      <c r="A27" s="1532" t="s">
        <v>1564</v>
      </c>
    </row>
    <row r="30" spans="1:4" ht="18.75">
      <c r="D30" s="1561" t="s">
        <v>1565</v>
      </c>
    </row>
    <row r="31" spans="1:4" ht="13.5" customHeight="1">
      <c r="C31" s="3156">
        <v>42551</v>
      </c>
      <c r="D31" s="31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24" customWidth="1"/>
    <col min="3" max="10" width="12.5" style="1524" customWidth="1"/>
    <col min="11" max="16384" width="9" style="1524"/>
  </cols>
  <sheetData>
    <row r="1" spans="1:1" ht="18.75">
      <c r="A1" s="1551" t="s">
        <v>838</v>
      </c>
    </row>
    <row r="2" spans="1:1" ht="18.75">
      <c r="A2" s="156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67" customWidth="1"/>
    <col min="2" max="16384" width="14.5" style="1550"/>
  </cols>
  <sheetData>
    <row r="1" spans="1:7" s="1564" customFormat="1" ht="18.75">
      <c r="A1" s="1563" t="s">
        <v>1567</v>
      </c>
    </row>
    <row r="3" spans="1:7">
      <c r="A3" s="1565" t="s">
        <v>82</v>
      </c>
      <c r="B3" s="1550" t="s">
        <v>1568</v>
      </c>
      <c r="G3" s="1566"/>
    </row>
    <row r="4" spans="1:7">
      <c r="G4" s="1566"/>
    </row>
    <row r="5" spans="1:7">
      <c r="A5" s="1568" t="s">
        <v>73</v>
      </c>
      <c r="B5" s="1550" t="s">
        <v>1569</v>
      </c>
      <c r="G5" s="1566"/>
    </row>
    <row r="6" spans="1:7">
      <c r="G6" s="1566"/>
    </row>
    <row r="7" spans="1:7">
      <c r="A7" s="1569" t="s">
        <v>135</v>
      </c>
      <c r="B7" s="1550" t="s">
        <v>1570</v>
      </c>
      <c r="G7" s="1566"/>
    </row>
    <row r="8" spans="1:7">
      <c r="G8" s="1566"/>
    </row>
    <row r="9" spans="1:7">
      <c r="A9" s="1570" t="s">
        <v>74</v>
      </c>
      <c r="B9" s="1550" t="s">
        <v>1571</v>
      </c>
    </row>
    <row r="11" spans="1:7">
      <c r="A11" s="1571" t="s">
        <v>75</v>
      </c>
      <c r="B11" s="1572" t="s">
        <v>72</v>
      </c>
    </row>
    <row r="13" spans="1:7">
      <c r="A13" s="1573" t="s">
        <v>1572</v>
      </c>
    </row>
    <row r="15" spans="1:7" ht="13.5">
      <c r="A15" s="3169" t="s">
        <v>1573</v>
      </c>
      <c r="B15" s="3164" t="s">
        <v>136</v>
      </c>
      <c r="C15" s="3165"/>
    </row>
    <row r="16" spans="1:7" ht="13.5">
      <c r="A16" s="3170"/>
      <c r="B16" s="3164" t="s">
        <v>69</v>
      </c>
      <c r="C16" s="3165"/>
    </row>
    <row r="17" spans="1:3" ht="13.5">
      <c r="A17" s="3170"/>
      <c r="B17" s="3167" t="s">
        <v>1574</v>
      </c>
      <c r="C17" s="1574" t="s">
        <v>1573</v>
      </c>
    </row>
    <row r="18" spans="1:3" ht="13.5">
      <c r="A18" s="3170"/>
      <c r="B18" s="3167"/>
      <c r="C18" s="1574" t="s">
        <v>1575</v>
      </c>
    </row>
    <row r="19" spans="1:3" ht="13.5">
      <c r="A19" s="3170"/>
      <c r="B19" s="3167"/>
      <c r="C19" s="1574" t="s">
        <v>1576</v>
      </c>
    </row>
    <row r="20" spans="1:3" ht="13.5">
      <c r="A20" s="3171"/>
      <c r="B20" s="3166" t="s">
        <v>1577</v>
      </c>
      <c r="C20" s="3165"/>
    </row>
    <row r="21" spans="1:3" ht="13.5">
      <c r="A21" s="1575" t="s">
        <v>1578</v>
      </c>
      <c r="B21" s="1576"/>
      <c r="C21" s="1577"/>
    </row>
    <row r="22" spans="1:3" ht="13.5">
      <c r="A22" s="3168" t="s">
        <v>1579</v>
      </c>
      <c r="B22" s="3166" t="s">
        <v>1580</v>
      </c>
      <c r="C22" s="3165"/>
    </row>
    <row r="23" spans="1:3" ht="13.5">
      <c r="A23" s="3168"/>
      <c r="B23" s="3166" t="s">
        <v>1581</v>
      </c>
      <c r="C23" s="3165"/>
    </row>
    <row r="24" spans="1:3" ht="13.5">
      <c r="A24" s="3168"/>
      <c r="B24" s="3166" t="s">
        <v>1582</v>
      </c>
      <c r="C24" s="3165"/>
    </row>
    <row r="25" spans="1:3" ht="13.5">
      <c r="A25" s="3168"/>
      <c r="B25" s="3167" t="s">
        <v>1583</v>
      </c>
      <c r="C25" s="1574" t="s">
        <v>1584</v>
      </c>
    </row>
    <row r="26" spans="1:3" ht="13.5">
      <c r="A26" s="3168"/>
      <c r="B26" s="3167"/>
      <c r="C26" s="1574" t="s">
        <v>1585</v>
      </c>
    </row>
    <row r="27" spans="1:3" ht="13.5">
      <c r="A27" s="3168"/>
      <c r="B27" s="3167"/>
      <c r="C27" s="1574" t="s">
        <v>1586</v>
      </c>
    </row>
    <row r="28" spans="1:3" ht="13.5">
      <c r="A28" s="3168"/>
      <c r="B28" s="3167"/>
      <c r="C28" s="1574" t="s">
        <v>1587</v>
      </c>
    </row>
    <row r="29" spans="1:3" ht="13.5">
      <c r="A29" s="3168"/>
      <c r="B29" s="3167"/>
      <c r="C29" s="1574" t="s">
        <v>1588</v>
      </c>
    </row>
    <row r="30" spans="1:3" ht="13.5">
      <c r="A30" s="3168"/>
      <c r="B30" s="3167"/>
      <c r="C30" s="1574" t="s">
        <v>1589</v>
      </c>
    </row>
    <row r="31" spans="1:3" ht="13.5">
      <c r="A31" s="3168"/>
      <c r="B31" s="3167"/>
      <c r="C31" s="1574" t="s">
        <v>1590</v>
      </c>
    </row>
    <row r="32" spans="1:3" ht="13.5">
      <c r="A32" s="3168"/>
      <c r="B32" s="3167"/>
      <c r="C32" s="1574" t="s">
        <v>1591</v>
      </c>
    </row>
    <row r="33" spans="1:3" ht="13.5">
      <c r="A33" s="3168"/>
      <c r="B33" s="3167"/>
      <c r="C33" s="1574" t="s">
        <v>1592</v>
      </c>
    </row>
    <row r="34" spans="1:3">
      <c r="A34" s="1578" t="s">
        <v>76</v>
      </c>
    </row>
    <row r="37" spans="1:3">
      <c r="A37" s="1578" t="s">
        <v>1593</v>
      </c>
    </row>
    <row r="38" spans="1:3" ht="13.5">
      <c r="A38" s="1579" t="s">
        <v>77</v>
      </c>
    </row>
    <row r="39" spans="1:3" ht="13.5">
      <c r="A39" s="1579" t="s">
        <v>78</v>
      </c>
    </row>
    <row r="40" spans="1:3" ht="13.5">
      <c r="A40" s="1579" t="s">
        <v>79</v>
      </c>
    </row>
    <row r="41" spans="1:3" ht="13.5">
      <c r="A41" s="1580" t="s">
        <v>80</v>
      </c>
    </row>
    <row r="42" spans="1:3" ht="13.5">
      <c r="A42" s="157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2808</v>
      </c>
      <c r="B2" s="2329">
        <f ca="1">TODAY()</f>
        <v>45524</v>
      </c>
      <c r="C2" s="2330" t="s">
        <v>2809</v>
      </c>
      <c r="D2" s="2330"/>
      <c r="E2" s="2330"/>
      <c r="F2" s="2326"/>
      <c r="G2" s="2326"/>
      <c r="H2" s="2326"/>
    </row>
    <row r="3" spans="1:8" ht="24" customHeight="1">
      <c r="A3" s="2331" t="s">
        <v>2810</v>
      </c>
      <c r="B3" s="1351" t="s">
        <v>2811</v>
      </c>
      <c r="C3" s="1351" t="s">
        <v>2812</v>
      </c>
      <c r="D3" s="2332" t="s">
        <v>2813</v>
      </c>
      <c r="E3" s="2333" t="s">
        <v>2814</v>
      </c>
      <c r="F3" s="1351" t="s">
        <v>2815</v>
      </c>
      <c r="G3" s="1351" t="s">
        <v>2812</v>
      </c>
      <c r="H3" s="2332" t="s">
        <v>2816</v>
      </c>
    </row>
    <row r="4" spans="1:8" ht="24" customHeight="1">
      <c r="A4" s="1351" t="s">
        <v>2817</v>
      </c>
      <c r="B4" s="1351" t="str">
        <f ca="1">IF(C4&lt;B2,"已过期",1119970066)</f>
        <v>已过期</v>
      </c>
      <c r="C4" s="2334">
        <v>44876</v>
      </c>
      <c r="D4" s="2335" t="str">
        <f ca="1">A4&amp;"（注册号："&amp;B4&amp;"）"</f>
        <v>梁津（注册号：已过期）</v>
      </c>
      <c r="E4" s="2336" t="s">
        <v>2817</v>
      </c>
      <c r="F4" s="1351">
        <f ca="1">IF(G4&lt;B2,"已过期",96010014)</f>
        <v>96010014</v>
      </c>
      <c r="G4" s="2337">
        <v>47118</v>
      </c>
      <c r="H4" s="2338" t="str">
        <f ca="1">E4&amp;"（注册号："&amp;F4&amp;"）"</f>
        <v>梁津（注册号：96010014）</v>
      </c>
    </row>
    <row r="5" spans="1:8" ht="24" customHeight="1">
      <c r="A5" s="1351" t="s">
        <v>2818</v>
      </c>
      <c r="B5" s="1351" t="str">
        <f ca="1">IF(C5&lt;B2,"已过期",1119970111)</f>
        <v>已过期</v>
      </c>
      <c r="C5" s="2334">
        <v>44876</v>
      </c>
      <c r="D5" s="2335" t="str">
        <f t="shared" ref="D5:D15" ca="1" si="0">A5&amp;"（注册号："&amp;B5&amp;"）"</f>
        <v>叶凌（注册号：已过期）</v>
      </c>
      <c r="E5" s="2336" t="s">
        <v>2818</v>
      </c>
      <c r="F5" s="1351">
        <f ca="1">IF(G5&lt;B2,"已过期",94010078)</f>
        <v>94010078</v>
      </c>
      <c r="G5" s="2337">
        <v>46387</v>
      </c>
      <c r="H5" s="2338" t="str">
        <f t="shared" ref="H5:H16" ca="1" si="1">E5&amp;"（注册号："&amp;F5&amp;"）"</f>
        <v>叶凌（注册号：94010078）</v>
      </c>
    </row>
    <row r="6" spans="1:8" ht="24" customHeight="1">
      <c r="A6" s="1351" t="s">
        <v>2819</v>
      </c>
      <c r="B6" s="1351" t="str">
        <f ca="1">IF(C6&lt;B2,"已过期",1120050019)</f>
        <v>已过期</v>
      </c>
      <c r="C6" s="2334">
        <v>44395</v>
      </c>
      <c r="D6" s="2335" t="str">
        <f t="shared" ca="1" si="0"/>
        <v>王鹏（注册号：已过期）</v>
      </c>
      <c r="E6" s="2336" t="s">
        <v>2819</v>
      </c>
      <c r="F6" s="1351">
        <f ca="1">IF(G6&lt;B2,"已过期",2002110030)</f>
        <v>2002110030</v>
      </c>
      <c r="G6" s="2337">
        <v>46387</v>
      </c>
      <c r="H6" s="2338" t="str">
        <f t="shared" ca="1" si="1"/>
        <v>王鹏（注册号：2002110030）</v>
      </c>
    </row>
    <row r="7" spans="1:8" ht="24" customHeight="1">
      <c r="A7" s="1351" t="s">
        <v>2820</v>
      </c>
      <c r="B7" s="1351" t="str">
        <f ca="1">IF(C7&lt;B2,"已过期",1120000080)</f>
        <v>已过期</v>
      </c>
      <c r="C7" s="2334">
        <v>44876</v>
      </c>
      <c r="D7" s="2335" t="str">
        <f t="shared" ca="1" si="0"/>
        <v>欧红伟（注册号：已过期）</v>
      </c>
      <c r="E7" s="2336" t="s">
        <v>2820</v>
      </c>
      <c r="F7" s="1351">
        <f ca="1">IF(G7&lt;B2,"已过期",2000110082)</f>
        <v>2000110082</v>
      </c>
      <c r="G7" s="2337">
        <v>46387</v>
      </c>
      <c r="H7" s="2338" t="str">
        <f t="shared" ca="1" si="1"/>
        <v>欧红伟（注册号：2000110082）</v>
      </c>
    </row>
    <row r="8" spans="1:8" ht="24" customHeight="1">
      <c r="A8" s="1351" t="s">
        <v>2821</v>
      </c>
      <c r="B8" s="1351" t="str">
        <f ca="1">IF(C8&lt;B2,"已过期",1419970001)</f>
        <v>已过期</v>
      </c>
      <c r="C8" s="2334">
        <v>44899</v>
      </c>
      <c r="D8" s="2335" t="str">
        <f t="shared" ca="1" si="0"/>
        <v>吴薇（注册号：已过期）</v>
      </c>
      <c r="E8" s="2336" t="s">
        <v>2821</v>
      </c>
      <c r="F8" s="1351">
        <f ca="1">IF(G8&lt;B2,"已过期",2002110125)</f>
        <v>2002110125</v>
      </c>
      <c r="G8" s="2337">
        <v>47118</v>
      </c>
      <c r="H8" s="2338" t="str">
        <f t="shared" ca="1" si="1"/>
        <v>吴薇（注册号：2002110125）</v>
      </c>
    </row>
    <row r="9" spans="1:8" ht="24" customHeight="1">
      <c r="A9" s="1351" t="s">
        <v>2822</v>
      </c>
      <c r="B9" s="1351" t="str">
        <f ca="1">IF(C9&lt;B2,"已过期",1120060040)</f>
        <v>已过期</v>
      </c>
      <c r="C9" s="2339">
        <v>44554</v>
      </c>
      <c r="D9" s="2335" t="str">
        <f t="shared" ca="1" si="0"/>
        <v>陈颖（注册号：已过期）</v>
      </c>
      <c r="E9" s="2336" t="s">
        <v>2822</v>
      </c>
      <c r="F9" s="1351">
        <f ca="1">IF(G9&lt;B2,"已过期",2004110096)</f>
        <v>2004110096</v>
      </c>
      <c r="G9" s="2337">
        <v>47118</v>
      </c>
      <c r="H9" s="2338" t="str">
        <f t="shared" ca="1" si="1"/>
        <v>陈颖（注册号：2004110096）</v>
      </c>
    </row>
    <row r="10" spans="1:8" ht="24" customHeight="1">
      <c r="A10" s="1351" t="s">
        <v>2823</v>
      </c>
      <c r="B10" s="1351" t="str">
        <f ca="1">IF(C10&lt;B2,"已过期",1120100036)</f>
        <v>已过期</v>
      </c>
      <c r="C10" s="2339">
        <v>44675</v>
      </c>
      <c r="D10" s="2335" t="str">
        <f t="shared" ca="1" si="0"/>
        <v>崔锴（注册号：已过期）</v>
      </c>
      <c r="E10" s="2336" t="s">
        <v>2823</v>
      </c>
      <c r="F10" s="1351">
        <f ca="1">IF(G10&lt;B2,"已过期",2010110070)</f>
        <v>2010110070</v>
      </c>
      <c r="G10" s="2337">
        <v>47907</v>
      </c>
      <c r="H10" s="2338" t="str">
        <f t="shared" ca="1" si="1"/>
        <v>崔锴（注册号：2010110070）</v>
      </c>
    </row>
    <row r="11" spans="1:8" ht="24" customHeight="1">
      <c r="A11" s="1351" t="s">
        <v>2824</v>
      </c>
      <c r="B11" s="1351" t="str">
        <f ca="1">IF(C11&lt;B2,"已过期",1120070131)</f>
        <v>已过期</v>
      </c>
      <c r="C11" s="2334">
        <v>44849</v>
      </c>
      <c r="D11" s="2335" t="str">
        <f t="shared" ca="1" si="0"/>
        <v>郑燚（注册号：已过期）</v>
      </c>
      <c r="E11" s="2336" t="s">
        <v>2824</v>
      </c>
      <c r="F11" s="1351">
        <f ca="1">IF(G11&lt;B2,"已过期",2014110011)</f>
        <v>2014110011</v>
      </c>
      <c r="G11" s="2337">
        <v>49302</v>
      </c>
      <c r="H11" s="2338" t="str">
        <f t="shared" ca="1" si="1"/>
        <v>郑燚（注册号：2014110011）</v>
      </c>
    </row>
    <row r="12" spans="1:8" ht="24" customHeight="1">
      <c r="A12" s="1351" t="s">
        <v>2825</v>
      </c>
      <c r="B12" s="1351" t="str">
        <f ca="1">IF(C12&lt;B2,"已过期",1120040230)</f>
        <v>已过期</v>
      </c>
      <c r="C12" s="2339">
        <v>44864</v>
      </c>
      <c r="D12" s="2335" t="str">
        <f t="shared" ca="1" si="0"/>
        <v>苏海（注册号：已过期）</v>
      </c>
      <c r="E12" s="2336" t="s">
        <v>2825</v>
      </c>
      <c r="F12" s="1351">
        <f ca="1">IF(G12&lt;B2,"已过期",98030020)</f>
        <v>98030020</v>
      </c>
      <c r="G12" s="2337">
        <v>47118</v>
      </c>
      <c r="H12" s="2338" t="str">
        <f t="shared" ca="1" si="1"/>
        <v>苏海（注册号：98030020）</v>
      </c>
    </row>
    <row r="13" spans="1:8" ht="24" customHeight="1">
      <c r="A13" s="1351" t="s">
        <v>2826</v>
      </c>
      <c r="B13" s="1351" t="str">
        <f ca="1">IF(C13&lt;B2,"已过期",1120020033)</f>
        <v>已过期</v>
      </c>
      <c r="C13" s="2334">
        <v>44339</v>
      </c>
      <c r="D13" s="2335" t="str">
        <f t="shared" ca="1" si="0"/>
        <v>刘敬东（注册号：已过期）</v>
      </c>
      <c r="E13" s="2336" t="s">
        <v>2826</v>
      </c>
      <c r="F13" s="1351">
        <f ca="1">IF(G13&lt;B2,"已过期",2000110137)</f>
        <v>2000110137</v>
      </c>
      <c r="G13" s="2337">
        <v>46387</v>
      </c>
      <c r="H13" s="2338" t="str">
        <f t="shared" ca="1" si="1"/>
        <v>刘敬东（注册号：2000110137）</v>
      </c>
    </row>
    <row r="14" spans="1:8" ht="24" customHeight="1">
      <c r="A14" s="1351" t="s">
        <v>2827</v>
      </c>
      <c r="B14" s="1351" t="str">
        <f ca="1">IF(C14&lt;B2,"已过期",1119980106)</f>
        <v>已过期</v>
      </c>
      <c r="C14" s="2339">
        <v>44969</v>
      </c>
      <c r="D14" s="2335" t="str">
        <f t="shared" ca="1" si="0"/>
        <v>刘俊财（注册号：已过期）</v>
      </c>
      <c r="E14" s="2336" t="s">
        <v>2827</v>
      </c>
      <c r="F14" s="1351">
        <f ca="1">IF(G14&lt;B2,"已过期",96010063)</f>
        <v>96010063</v>
      </c>
      <c r="G14" s="2337">
        <v>47483</v>
      </c>
      <c r="H14" s="2338" t="str">
        <f t="shared" ca="1" si="1"/>
        <v>刘俊财（注册号：96010063）</v>
      </c>
    </row>
    <row r="15" spans="1:8" ht="24" customHeight="1">
      <c r="A15" s="1351"/>
      <c r="B15" s="1351"/>
      <c r="C15" s="2339"/>
      <c r="D15" s="2335" t="str">
        <f t="shared" si="0"/>
        <v>（注册号：）</v>
      </c>
      <c r="E15" s="2336" t="s">
        <v>2828</v>
      </c>
      <c r="F15" s="1351">
        <f ca="1">IF(G15&lt;B2,"已过期",2011110090)</f>
        <v>2011110090</v>
      </c>
      <c r="G15" s="2337">
        <v>48302</v>
      </c>
      <c r="H15" s="2338" t="str">
        <f t="shared" ca="1" si="1"/>
        <v>赵雯（注册号：2011110090）</v>
      </c>
    </row>
    <row r="16" spans="1:8" ht="24" customHeight="1">
      <c r="A16" s="1351"/>
      <c r="B16" s="1351"/>
      <c r="C16" s="1351"/>
      <c r="D16" s="2335" t="str">
        <f>A16&amp;"（注册号："&amp;B16&amp;"）"</f>
        <v>（注册号：）</v>
      </c>
      <c r="E16" s="2336"/>
      <c r="F16" s="1351"/>
      <c r="G16" s="1351"/>
      <c r="H16" s="2340" t="str">
        <f t="shared" si="1"/>
        <v>（注册号：）</v>
      </c>
    </row>
    <row r="17" spans="1:8" ht="24" customHeight="1">
      <c r="A17" s="3172" t="s">
        <v>2829</v>
      </c>
      <c r="B17" s="3172"/>
      <c r="C17" s="3172"/>
      <c r="D17" s="3172"/>
      <c r="E17" s="3172"/>
      <c r="F17" s="3172"/>
      <c r="G17" s="3172"/>
      <c r="H17" s="3172"/>
    </row>
    <row r="18" spans="1:8" ht="24" customHeight="1">
      <c r="A18" s="3173" t="s">
        <v>2830</v>
      </c>
      <c r="B18" s="3173"/>
      <c r="C18" s="3173"/>
      <c r="D18" s="2332"/>
      <c r="E18" s="3174" t="s">
        <v>2831</v>
      </c>
      <c r="F18" s="3173"/>
      <c r="G18" s="3173"/>
    </row>
    <row r="19" spans="1:8" s="2342" customFormat="1" ht="24" customHeight="1">
      <c r="A19" s="2341" t="s">
        <v>2832</v>
      </c>
      <c r="B19" s="1351" t="s">
        <v>2833</v>
      </c>
      <c r="C19" s="1351" t="s">
        <v>2812</v>
      </c>
      <c r="D19" s="2332"/>
      <c r="E19" s="2336" t="s">
        <v>2832</v>
      </c>
      <c r="F19" s="1351" t="s">
        <v>2833</v>
      </c>
      <c r="G19" s="1351" t="s">
        <v>2812</v>
      </c>
    </row>
    <row r="20" spans="1:8" s="2342" customFormat="1" ht="24" customHeight="1">
      <c r="A20" s="2343" t="s">
        <v>2834</v>
      </c>
      <c r="B20" s="2343" t="s">
        <v>2835</v>
      </c>
      <c r="C20" s="2337">
        <v>44820</v>
      </c>
      <c r="D20" s="2344"/>
      <c r="E20" s="2345" t="s">
        <v>2836</v>
      </c>
      <c r="F20" s="2343" t="s">
        <v>2837</v>
      </c>
      <c r="G20" s="2346">
        <v>44377</v>
      </c>
    </row>
    <row r="21" spans="1:8" s="2342" customFormat="1" ht="24" customHeight="1">
      <c r="A21" s="2343"/>
      <c r="B21" s="2343"/>
      <c r="C21" s="2347"/>
      <c r="D21" s="2348"/>
      <c r="E21" s="2345" t="s">
        <v>2838</v>
      </c>
      <c r="F21" s="2349" t="s">
        <v>2839</v>
      </c>
      <c r="G21" s="2350">
        <v>44012</v>
      </c>
    </row>
    <row r="22" spans="1:8" ht="24" customHeight="1">
      <c r="C22" s="2351"/>
      <c r="D22" s="2351"/>
      <c r="E22" s="2352"/>
      <c r="G22" s="2353" t="s">
        <v>2840</v>
      </c>
    </row>
  </sheetData>
  <sheetProtection password="CEE9" sheet="1" objects="1" scenarios="1"/>
  <mergeCells count="3">
    <mergeCell ref="A17:H17"/>
    <mergeCell ref="A18:C18"/>
    <mergeCell ref="E18:G18"/>
  </mergeCells>
  <phoneticPr fontId="85"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面积指标 (2)</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【2021年】1号楼&amp;5号楼租赁台账</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区片价（范围）</vt:lpstr>
      <vt:lpstr>Sheet2</vt:lpstr>
      <vt:lpstr>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2024-08-20T05:56:03Z</dcterms:modified>
</cp:coreProperties>
</file>