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17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人民商场租赁合同明细" sheetId="87"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比较法-办公" sheetId="34" state="hidden" r:id="rId25"/>
    <sheet name="比较法-办公租金" sheetId="86"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3" sheetId="88" r:id="rId48"/>
    <sheet name="Sheet4" sheetId="89" r:id="rId49"/>
  </sheets>
  <externalReferences>
    <externalReference r:id="rId50"/>
  </externalReferences>
  <definedNames>
    <definedName name="_xlnm._FilterDatabase" localSheetId="24" hidden="1">'比较法-办公'!$A$1:$L$50</definedName>
    <definedName name="_xlnm._FilterDatabase" localSheetId="25"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25">'比较法-办公租金'!$A$1:$K$55,'比较法-办公租金'!$A$58:$M$132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16">人民商场租赁合同明细!$A$1:$AB$33</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_xlnm.Print_Titles" localSheetId="16">人民商场租赁合同明细!$1:$4</definedName>
    <definedName name="八级">区片价!$P$1:$P$44</definedName>
    <definedName name="办公层高" localSheetId="25">'比较法-办公租金'!$B$119:$M$119</definedName>
    <definedName name="办公层高">'比较法-办公'!$B$119:$M$119</definedName>
    <definedName name="办公朝向" localSheetId="25">'比较法-办公租金'!$B$91:$M$91</definedName>
    <definedName name="办公朝向">'比较法-办公'!$B$91:$M$91</definedName>
    <definedName name="办公道路级别" localSheetId="25">'比较法-办公租金'!$B$87:$M$87</definedName>
    <definedName name="办公道路级别">'比较法-办公'!$B$87:$M$87</definedName>
    <definedName name="办公公共部分装修" localSheetId="25">'比较法-办公租金'!$B$108:$M$108</definedName>
    <definedName name="办公公共部分装修">'比较法-办公'!$B$108:$M$108</definedName>
    <definedName name="办公基础设施水平" localSheetId="25">'比较法-办公租金'!$B$117:$M$117</definedName>
    <definedName name="办公基础设施水平">'比较法-办公'!$B$117:$M$117</definedName>
    <definedName name="办公集聚程度">定义!$M$1:$M$6</definedName>
    <definedName name="办公建筑结构" localSheetId="25">'比较法-办公租金'!$B$106:$M$106</definedName>
    <definedName name="办公建筑结构">'比较法-办公'!$B$106:$M$106</definedName>
    <definedName name="办公建筑类型" localSheetId="25">'比较法-办公租金'!$B$101:$M$101</definedName>
    <definedName name="办公建筑类型">'比较法-办公'!$B$101:$M$101</definedName>
    <definedName name="办公交易情况" localSheetId="25">'比较法-办公租金'!$A$62:$M$62</definedName>
    <definedName name="办公交易情况">'比较法-办公'!$A$62:$M$62</definedName>
    <definedName name="办公楼层" localSheetId="25">'比较法-办公租金'!$B$89:$M$89</definedName>
    <definedName name="办公楼层">'比较法-办公'!$B$89:$M$89</definedName>
    <definedName name="办公内部装修" localSheetId="25">'比较法-办公租金'!$B$123:$M$123</definedName>
    <definedName name="办公内部装修">'比较法-办公'!$B$123:$M$123</definedName>
    <definedName name="办公物业管理" localSheetId="25">'比较法-办公租金'!$B$115:$M$115</definedName>
    <definedName name="办公物业管理">'比较法-办公'!$B$115:$M$115</definedName>
    <definedName name="办公用途" localSheetId="2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5">'比较法-办公租金'!$B$113:$M$113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12" i="74" l="1"/>
  <c r="Q36" i="87" l="1"/>
  <c r="J37" i="87"/>
  <c r="J36" i="87"/>
  <c r="E12" i="74"/>
  <c r="J23" i="9"/>
  <c r="E14" i="74"/>
  <c r="Y26" i="1"/>
  <c r="L21" i="9"/>
  <c r="Q34" i="87"/>
  <c r="AC14" i="87"/>
  <c r="AC7" i="87"/>
  <c r="AC9" i="87"/>
  <c r="AC11" i="87"/>
  <c r="AC12" i="87"/>
  <c r="AC13" i="87"/>
  <c r="AC19" i="87"/>
  <c r="AC23" i="87"/>
  <c r="AC25" i="87"/>
  <c r="AC26" i="87"/>
  <c r="AC32" i="87"/>
  <c r="AC33" i="87"/>
  <c r="AC6" i="87"/>
  <c r="U6" i="1" l="1"/>
  <c r="U26" i="1"/>
  <c r="X26" i="1"/>
  <c r="X22" i="1"/>
  <c r="X23" i="1"/>
  <c r="X24" i="1"/>
  <c r="X25" i="1"/>
  <c r="X21" i="1"/>
  <c r="W26" i="1"/>
  <c r="W25" i="1"/>
  <c r="W22" i="1"/>
  <c r="W23" i="1"/>
  <c r="W24" i="1"/>
  <c r="W21" i="1"/>
  <c r="U23" i="1"/>
  <c r="U24" i="1"/>
  <c r="U25" i="1"/>
  <c r="U22" i="1"/>
  <c r="J49" i="15" l="1"/>
  <c r="N19" i="1"/>
  <c r="U5" i="43" l="1"/>
  <c r="U4" i="43"/>
  <c r="U3" i="43"/>
  <c r="U2" i="43"/>
  <c r="D37" i="43"/>
  <c r="N31" i="87"/>
  <c r="J31" i="87"/>
  <c r="AC31" i="87" s="1"/>
  <c r="N30" i="87"/>
  <c r="J30" i="87"/>
  <c r="AC30" i="87" s="1"/>
  <c r="P29" i="87"/>
  <c r="N29" i="87"/>
  <c r="J29" i="87"/>
  <c r="AC29" i="87" s="1"/>
  <c r="J28" i="87"/>
  <c r="AC28" i="87" s="1"/>
  <c r="N27" i="87"/>
  <c r="J27" i="87"/>
  <c r="P26" i="87"/>
  <c r="P25" i="87"/>
  <c r="P24" i="87"/>
  <c r="J24" i="87"/>
  <c r="AC24" i="87" s="1"/>
  <c r="P22" i="87"/>
  <c r="J22" i="87"/>
  <c r="AC22" i="87" s="1"/>
  <c r="P21" i="87"/>
  <c r="J21" i="87"/>
  <c r="AC21" i="87" s="1"/>
  <c r="P20" i="87"/>
  <c r="J20" i="87"/>
  <c r="AC20" i="87" s="1"/>
  <c r="N18" i="87"/>
  <c r="J18" i="87"/>
  <c r="AC18" i="87" s="1"/>
  <c r="N17" i="87"/>
  <c r="J17" i="87"/>
  <c r="AC17" i="87" s="1"/>
  <c r="N16" i="87"/>
  <c r="J16" i="87"/>
  <c r="AC16" i="87" s="1"/>
  <c r="J15" i="87"/>
  <c r="AC15" i="87" s="1"/>
  <c r="J14" i="87"/>
  <c r="J10" i="87"/>
  <c r="AC10" i="87" s="1"/>
  <c r="J8" i="87"/>
  <c r="G19" i="6"/>
  <c r="F19" i="6"/>
  <c r="AC8" i="87" l="1"/>
  <c r="J34" i="87"/>
  <c r="Q35" i="87" s="1"/>
  <c r="AC27" i="87"/>
  <c r="I10" i="34"/>
  <c r="G10" i="34"/>
  <c r="E10" i="34"/>
  <c r="C10" i="34"/>
  <c r="B131" i="86"/>
  <c r="B129" i="86"/>
  <c r="B127" i="86"/>
  <c r="E126" i="86"/>
  <c r="F126" i="86" s="1"/>
  <c r="G126" i="86" s="1"/>
  <c r="D126" i="86"/>
  <c r="D124" i="86"/>
  <c r="E124" i="86" s="1"/>
  <c r="E120" i="86"/>
  <c r="F120" i="86" s="1"/>
  <c r="G120" i="86" s="1"/>
  <c r="H120" i="86" s="1"/>
  <c r="I120" i="86" s="1"/>
  <c r="J120" i="86" s="1"/>
  <c r="K120" i="86" s="1"/>
  <c r="L120" i="86" s="1"/>
  <c r="M120" i="86" s="1"/>
  <c r="D120" i="86"/>
  <c r="E118" i="86"/>
  <c r="F118" i="86" s="1"/>
  <c r="G118" i="86" s="1"/>
  <c r="D118" i="86"/>
  <c r="D116" i="86"/>
  <c r="E116" i="86" s="1"/>
  <c r="F116" i="86" s="1"/>
  <c r="G116" i="86" s="1"/>
  <c r="H116" i="86" s="1"/>
  <c r="I116" i="86" s="1"/>
  <c r="J116" i="86" s="1"/>
  <c r="K116" i="86" s="1"/>
  <c r="L116" i="86" s="1"/>
  <c r="M116" i="86" s="1"/>
  <c r="E114" i="86"/>
  <c r="F114" i="86" s="1"/>
  <c r="G114" i="86" s="1"/>
  <c r="H114" i="86" s="1"/>
  <c r="I114" i="86" s="1"/>
  <c r="J114" i="86" s="1"/>
  <c r="K114" i="86" s="1"/>
  <c r="L114" i="86" s="1"/>
  <c r="M114" i="86" s="1"/>
  <c r="D114" i="86"/>
  <c r="D112" i="86"/>
  <c r="E112" i="86" s="1"/>
  <c r="F112" i="86" s="1"/>
  <c r="G112" i="86" s="1"/>
  <c r="H112" i="86" s="1"/>
  <c r="I112" i="86" s="1"/>
  <c r="J112" i="86" s="1"/>
  <c r="K112" i="86" s="1"/>
  <c r="L112" i="86" s="1"/>
  <c r="M112" i="86" s="1"/>
  <c r="G110" i="86"/>
  <c r="F110" i="86"/>
  <c r="E110" i="86"/>
  <c r="D110" i="86"/>
  <c r="C110" i="86"/>
  <c r="F109" i="86"/>
  <c r="G109" i="86" s="1"/>
  <c r="H109" i="86" s="1"/>
  <c r="I109" i="86" s="1"/>
  <c r="J109" i="86" s="1"/>
  <c r="K109" i="86" s="1"/>
  <c r="L109" i="86" s="1"/>
  <c r="M109" i="86" s="1"/>
  <c r="E109" i="86"/>
  <c r="D109" i="86"/>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B95" i="86"/>
  <c r="B93" i="86"/>
  <c r="D92" i="86"/>
  <c r="E92" i="86" s="1"/>
  <c r="F92" i="86" s="1"/>
  <c r="G92" i="86" s="1"/>
  <c r="H92" i="86" s="1"/>
  <c r="I92" i="86" s="1"/>
  <c r="J92" i="86" s="1"/>
  <c r="K92" i="86" s="1"/>
  <c r="L92" i="86" s="1"/>
  <c r="M92" i="86" s="1"/>
  <c r="B91" i="86"/>
  <c r="E90" i="86"/>
  <c r="F90" i="86" s="1"/>
  <c r="G90" i="86" s="1"/>
  <c r="H90" i="86" s="1"/>
  <c r="I90" i="86" s="1"/>
  <c r="J90" i="86" s="1"/>
  <c r="K90" i="86" s="1"/>
  <c r="L90" i="86" s="1"/>
  <c r="M90" i="86" s="1"/>
  <c r="D90" i="86"/>
  <c r="B89" i="86"/>
  <c r="E88" i="86"/>
  <c r="F88" i="86" s="1"/>
  <c r="G88" i="86" s="1"/>
  <c r="H88" i="86" s="1"/>
  <c r="I88" i="86" s="1"/>
  <c r="J88" i="86" s="1"/>
  <c r="K88" i="86" s="1"/>
  <c r="L88" i="86" s="1"/>
  <c r="M88" i="86" s="1"/>
  <c r="D88" i="86"/>
  <c r="E86" i="86"/>
  <c r="F86" i="86" s="1"/>
  <c r="G86" i="86" s="1"/>
  <c r="D86" i="86"/>
  <c r="E84" i="86"/>
  <c r="F84" i="86" s="1"/>
  <c r="G84" i="86" s="1"/>
  <c r="D84" i="86"/>
  <c r="E82" i="86"/>
  <c r="F82" i="86" s="1"/>
  <c r="G82" i="86" s="1"/>
  <c r="D82" i="86"/>
  <c r="E80" i="86"/>
  <c r="F80" i="86" s="1"/>
  <c r="G80" i="86" s="1"/>
  <c r="D80" i="86"/>
  <c r="E78" i="86"/>
  <c r="F78" i="86" s="1"/>
  <c r="G78" i="86" s="1"/>
  <c r="D78" i="86"/>
  <c r="B75" i="86"/>
  <c r="B73" i="86"/>
  <c r="B71" i="86"/>
  <c r="F70" i="86"/>
  <c r="G70" i="86" s="1"/>
  <c r="H70" i="86" s="1"/>
  <c r="I70" i="86" s="1"/>
  <c r="J70" i="86" s="1"/>
  <c r="K70" i="86" s="1"/>
  <c r="L70" i="86" s="1"/>
  <c r="M70" i="86" s="1"/>
  <c r="E70" i="86"/>
  <c r="D70" i="86"/>
  <c r="M68" i="86"/>
  <c r="L68" i="86"/>
  <c r="K68" i="86"/>
  <c r="J68" i="86"/>
  <c r="I68" i="86"/>
  <c r="H68" i="86"/>
  <c r="G68" i="86"/>
  <c r="F68" i="86"/>
  <c r="E68" i="86"/>
  <c r="D68" i="86"/>
  <c r="C68" i="86"/>
  <c r="E67" i="86"/>
  <c r="F67" i="86" s="1"/>
  <c r="G67" i="86" s="1"/>
  <c r="D67" i="86"/>
  <c r="C64" i="86"/>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F44" i="86"/>
  <c r="AA44" i="86" s="1"/>
  <c r="Q43" i="86"/>
  <c r="Z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AB35" i="86"/>
  <c r="Q35" i="86"/>
  <c r="Z35" i="86" s="1"/>
  <c r="J35" i="86"/>
  <c r="AC35" i="86" s="1"/>
  <c r="H35" i="86"/>
  <c r="U35" i="86" s="1"/>
  <c r="F35" i="86"/>
  <c r="S35" i="86" s="1"/>
  <c r="Q34" i="86"/>
  <c r="Z34" i="86" s="1"/>
  <c r="Z33" i="86"/>
  <c r="Q33" i="86"/>
  <c r="J33" i="86"/>
  <c r="AC33" i="86" s="1"/>
  <c r="H33" i="86"/>
  <c r="AB33" i="86" s="1"/>
  <c r="F33" i="86"/>
  <c r="AA33" i="86" s="1"/>
  <c r="AB32" i="86"/>
  <c r="U32" i="86"/>
  <c r="Q32" i="86"/>
  <c r="Z32" i="86" s="1"/>
  <c r="J32" i="86"/>
  <c r="W32" i="86" s="1"/>
  <c r="H32" i="86"/>
  <c r="F32" i="86"/>
  <c r="AA32" i="86" s="1"/>
  <c r="AC31" i="86"/>
  <c r="Q31" i="86"/>
  <c r="Z31" i="86" s="1"/>
  <c r="J31" i="86"/>
  <c r="W31" i="86" s="1"/>
  <c r="H31" i="86"/>
  <c r="U31" i="86" s="1"/>
  <c r="F31" i="86"/>
  <c r="S31" i="86" s="1"/>
  <c r="AA30" i="86"/>
  <c r="Z30" i="86"/>
  <c r="Q30" i="86"/>
  <c r="J30" i="86"/>
  <c r="AC30" i="86" s="1"/>
  <c r="H30" i="86"/>
  <c r="U30" i="86" s="1"/>
  <c r="F30" i="86"/>
  <c r="S30" i="86" s="1"/>
  <c r="AA29" i="86"/>
  <c r="Q29" i="86"/>
  <c r="Z29" i="86" s="1"/>
  <c r="J29" i="86"/>
  <c r="W29" i="86" s="1"/>
  <c r="H29" i="86"/>
  <c r="AB29" i="86" s="1"/>
  <c r="F29" i="86"/>
  <c r="S29" i="86" s="1"/>
  <c r="AC28" i="86"/>
  <c r="W28" i="86"/>
  <c r="U28" i="86"/>
  <c r="Q28" i="86"/>
  <c r="Z28" i="86" s="1"/>
  <c r="J28" i="86"/>
  <c r="H28" i="86"/>
  <c r="AB28" i="86" s="1"/>
  <c r="F28" i="86"/>
  <c r="AA28" i="86" s="1"/>
  <c r="Q27" i="86"/>
  <c r="Z27" i="86" s="1"/>
  <c r="H27" i="86"/>
  <c r="U27" i="86" s="1"/>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AC8" i="86" s="1"/>
  <c r="H8" i="86"/>
  <c r="AB8" i="86" s="1"/>
  <c r="F8" i="86"/>
  <c r="S8" i="86" s="1"/>
  <c r="E67" i="34"/>
  <c r="F67" i="34"/>
  <c r="G67" i="34"/>
  <c r="D67" i="34"/>
  <c r="D2" i="86"/>
  <c r="U8" i="86" l="1"/>
  <c r="W8" i="86"/>
  <c r="J27" i="86"/>
  <c r="W27" i="86" s="1"/>
  <c r="F27" i="86"/>
  <c r="S27" i="86" s="1"/>
  <c r="S15" i="86"/>
  <c r="S9" i="86"/>
  <c r="W11" i="86"/>
  <c r="S13" i="86"/>
  <c r="U14" i="86"/>
  <c r="U17" i="86"/>
  <c r="U19" i="86"/>
  <c r="U21" i="86"/>
  <c r="U23" i="86"/>
  <c r="W25" i="86"/>
  <c r="AC29" i="86"/>
  <c r="AC32" i="86"/>
  <c r="U15" i="86"/>
  <c r="AA8" i="86"/>
  <c r="W10" i="86"/>
  <c r="S12" i="86"/>
  <c r="U13" i="86"/>
  <c r="W14" i="86"/>
  <c r="W17" i="86"/>
  <c r="W21" i="86"/>
  <c r="W23" i="86"/>
  <c r="AB27" i="86"/>
  <c r="AB30" i="86"/>
  <c r="AA31" i="86"/>
  <c r="W33" i="86"/>
  <c r="AA35" i="86"/>
  <c r="S10" i="86"/>
  <c r="U11" i="86"/>
  <c r="W12" i="86"/>
  <c r="S14" i="86"/>
  <c r="U10" i="86"/>
  <c r="U9" i="86"/>
  <c r="W15" i="86"/>
  <c r="W19" i="86"/>
  <c r="W9" i="86"/>
  <c r="S11" i="86"/>
  <c r="U12" i="86"/>
  <c r="W13" i="86"/>
  <c r="S25" i="86"/>
  <c r="AB31" i="86"/>
  <c r="H43" i="86"/>
  <c r="F43" i="86"/>
  <c r="F124" i="86"/>
  <c r="G124" i="86" s="1"/>
  <c r="H124" i="86" s="1"/>
  <c r="I124" i="86" s="1"/>
  <c r="J124" i="86" s="1"/>
  <c r="K124" i="86" s="1"/>
  <c r="L124" i="86" s="1"/>
  <c r="M124" i="86" s="1"/>
  <c r="J43" i="86"/>
  <c r="S17" i="86"/>
  <c r="S19" i="86"/>
  <c r="S21" i="86"/>
  <c r="S23" i="86"/>
  <c r="U25" i="86"/>
  <c r="S28" i="86"/>
  <c r="U29" i="86"/>
  <c r="W30" i="86"/>
  <c r="S32" i="86"/>
  <c r="U33" i="86"/>
  <c r="S36" i="86"/>
  <c r="U38" i="86"/>
  <c r="W39" i="86"/>
  <c r="S41" i="86"/>
  <c r="U42" i="86"/>
  <c r="S45" i="86"/>
  <c r="U46" i="86"/>
  <c r="W47" i="86"/>
  <c r="U36" i="86"/>
  <c r="W38" i="86"/>
  <c r="S40" i="86"/>
  <c r="U41" i="86"/>
  <c r="W42" i="86"/>
  <c r="S44" i="86"/>
  <c r="U45" i="86"/>
  <c r="W46" i="86"/>
  <c r="W36" i="86"/>
  <c r="S39" i="86"/>
  <c r="U40" i="86"/>
  <c r="W41" i="86"/>
  <c r="U44" i="86"/>
  <c r="W45" i="86"/>
  <c r="S47" i="86"/>
  <c r="S33" i="86"/>
  <c r="W35" i="86"/>
  <c r="S38" i="86"/>
  <c r="U39" i="86"/>
  <c r="W40" i="86"/>
  <c r="S42" i="86"/>
  <c r="W44" i="86"/>
  <c r="S46" i="86"/>
  <c r="U47" i="86"/>
  <c r="AA27" i="86" l="1"/>
  <c r="AC27" i="86"/>
  <c r="AC43" i="86"/>
  <c r="W43" i="86"/>
  <c r="AA43" i="86"/>
  <c r="S43" i="86"/>
  <c r="AB43" i="86"/>
  <c r="U43" i="86"/>
  <c r="C18" i="31"/>
  <c r="D17" i="31"/>
  <c r="E17" i="31"/>
  <c r="C17" i="31"/>
  <c r="D4" i="31"/>
  <c r="E4" i="31"/>
  <c r="F4" i="31"/>
  <c r="C4" i="31"/>
  <c r="D3" i="31"/>
  <c r="E3" i="31"/>
  <c r="F3" i="31"/>
  <c r="C3" i="31"/>
  <c r="B25" i="31"/>
  <c r="B26" i="31"/>
  <c r="B24" i="31"/>
  <c r="I10" i="33"/>
  <c r="G10" i="33"/>
  <c r="E10" i="33"/>
  <c r="C10" i="33"/>
  <c r="C44" i="33"/>
  <c r="C33" i="33"/>
  <c r="E93" i="33"/>
  <c r="E18" i="31" s="1"/>
  <c r="D93" i="33"/>
  <c r="D18" i="31" s="1"/>
  <c r="E89" i="33"/>
  <c r="F89" i="33"/>
  <c r="G89" i="33"/>
  <c r="D89" i="33"/>
  <c r="E66" i="33"/>
  <c r="F66" i="33"/>
  <c r="D66" i="33"/>
  <c r="J49" i="67" l="1"/>
  <c r="N21" i="1"/>
  <c r="N6" i="1" s="1"/>
  <c r="D3" i="4"/>
  <c r="C37" i="86" l="1"/>
  <c r="C37" i="34"/>
  <c r="C36" i="33"/>
  <c r="Y6" i="1"/>
  <c r="C60" i="78"/>
  <c r="D60" i="78" s="1"/>
  <c r="B55" i="78"/>
  <c r="D55" i="78" s="1"/>
  <c r="D53" i="78"/>
  <c r="D52" i="78"/>
  <c r="D51" i="78" s="1"/>
  <c r="B51" i="78"/>
  <c r="B56" i="78" s="1"/>
  <c r="J37" i="86" l="1"/>
  <c r="H37" i="86"/>
  <c r="F37" i="86"/>
  <c r="C51" i="78"/>
  <c r="C56" i="78" s="1"/>
  <c r="C58" i="78" s="1"/>
  <c r="B62" i="78"/>
  <c r="B54" i="78"/>
  <c r="D54" i="78" s="1"/>
  <c r="D56" i="78" s="1"/>
  <c r="S37" i="86" l="1"/>
  <c r="AA37" i="86"/>
  <c r="AB37" i="86"/>
  <c r="U37" i="86"/>
  <c r="AC37" i="86"/>
  <c r="W37" i="86"/>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N28" i="79" s="1"/>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c r="F22" i="71" s="1"/>
  <c r="P25" i="71"/>
  <c r="O25" i="71"/>
  <c r="N25" i="71"/>
  <c r="B24" i="71"/>
  <c r="B23" i="71" s="1"/>
  <c r="B22"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C35" i="71"/>
  <c r="C36"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D35"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S18" i="35" s="1"/>
  <c r="C18" i="35"/>
  <c r="Z21" i="37"/>
  <c r="Q21" i="37"/>
  <c r="D77" i="37"/>
  <c r="E77" i="37" s="1"/>
  <c r="F77" i="37" s="1"/>
  <c r="G77" i="37" s="1"/>
  <c r="C21" i="37"/>
  <c r="Q21" i="34"/>
  <c r="Z21" i="34" s="1"/>
  <c r="D84" i="34"/>
  <c r="E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AC29" i="39" s="1"/>
  <c r="J18" i="36"/>
  <c r="AC18" i="36" s="1"/>
  <c r="H18" i="35"/>
  <c r="AB18" i="35" s="1"/>
  <c r="G68" i="35"/>
  <c r="J18" i="35"/>
  <c r="H21" i="37"/>
  <c r="F21" i="37"/>
  <c r="AA21" i="37" s="1"/>
  <c r="F84" i="34"/>
  <c r="G84" i="34"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J21" i="21"/>
  <c r="C40" i="69"/>
  <c r="F38" i="68"/>
  <c r="E37" i="68"/>
  <c r="F36" i="68"/>
  <c r="F35" i="68"/>
  <c r="F21" i="68"/>
  <c r="C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G44" i="43"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82" i="31"/>
  <c r="S350" i="31"/>
  <c r="S298" i="31"/>
  <c r="S254" i="31"/>
  <c r="S426" i="31"/>
  <c r="S186" i="31"/>
  <c r="S142" i="31"/>
  <c r="S442" i="31"/>
  <c r="S466" i="31"/>
  <c r="S457" i="31"/>
  <c r="S74" i="31"/>
  <c r="S110"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U39" i="34" s="1"/>
  <c r="Q38" i="34"/>
  <c r="Z38" i="34" s="1"/>
  <c r="Q37" i="34"/>
  <c r="Z37" i="34"/>
  <c r="Q36" i="34"/>
  <c r="Z36" i="34" s="1"/>
  <c r="Q35" i="34"/>
  <c r="Z35" i="34"/>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U34" i="35"/>
  <c r="F36" i="34"/>
  <c r="S36" i="34" s="1"/>
  <c r="J35" i="34"/>
  <c r="W35" i="34" s="1"/>
  <c r="H39" i="33"/>
  <c r="AB39" i="33" s="1"/>
  <c r="F26" i="33"/>
  <c r="AA26" i="33" s="1"/>
  <c r="U35" i="33"/>
  <c r="S40" i="33"/>
  <c r="H39" i="37"/>
  <c r="AB39" i="37"/>
  <c r="S27" i="35"/>
  <c r="F11" i="40"/>
  <c r="AA11" i="40" s="1"/>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J28" i="34"/>
  <c r="W28" i="34" s="1"/>
  <c r="F41"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AB42" i="34"/>
  <c r="J40" i="34"/>
  <c r="AC40" i="34" s="1"/>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c r="J44" i="34"/>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J13" i="33"/>
  <c r="H13" i="33"/>
  <c r="U13" i="33" s="1"/>
  <c r="F13" i="33"/>
  <c r="S13" i="33" s="1"/>
  <c r="J29" i="33"/>
  <c r="H29" i="33"/>
  <c r="U29" i="33" s="1"/>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s="1"/>
  <c r="F30" i="33"/>
  <c r="J30" i="33"/>
  <c r="H44" i="33"/>
  <c r="AB44" i="33" s="1"/>
  <c r="J44" i="33"/>
  <c r="AC44" i="33" s="1"/>
  <c r="F44" i="33"/>
  <c r="S44" i="33" s="1"/>
  <c r="J46" i="33"/>
  <c r="AC46" i="33" s="1"/>
  <c r="F46" i="33"/>
  <c r="AA46" i="33" s="1"/>
  <c r="H46" i="33"/>
  <c r="AB46" i="33"/>
  <c r="H13" i="34"/>
  <c r="U13" i="34" s="1"/>
  <c r="J13" i="34"/>
  <c r="W13" i="34" s="1"/>
  <c r="F13" i="34"/>
  <c r="AA13" i="34" s="1"/>
  <c r="J29" i="34"/>
  <c r="W29" i="34" s="1"/>
  <c r="F29" i="34"/>
  <c r="S29" i="34" s="1"/>
  <c r="H29" i="34"/>
  <c r="AB29" i="34" s="1"/>
  <c r="J31" i="34"/>
  <c r="AC31" i="34"/>
  <c r="H31" i="34"/>
  <c r="F31" i="34"/>
  <c r="S31" i="34" s="1"/>
  <c r="H45" i="34"/>
  <c r="U45" i="34" s="1"/>
  <c r="J45" i="34"/>
  <c r="AC45" i="34" s="1"/>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U46" i="33"/>
  <c r="AA14" i="33"/>
  <c r="J36" i="37"/>
  <c r="AC36" i="37" s="1"/>
  <c r="J10" i="36"/>
  <c r="AC10" i="36" s="1"/>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39" i="37"/>
  <c r="U26" i="37"/>
  <c r="W47" i="34"/>
  <c r="AA13"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S11" i="39" s="1"/>
  <c r="AA11" i="39"/>
  <c r="G4" i="4"/>
  <c r="I4" i="4"/>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AZ120" i="3" s="1"/>
  <c r="G121" i="3"/>
  <c r="BA123" i="3"/>
  <c r="BL124" i="3"/>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BL160" i="3"/>
  <c r="AZ160" i="3" s="1"/>
  <c r="G161" i="3"/>
  <c r="BA163" i="3"/>
  <c r="AZ163" i="3"/>
  <c r="BL164" i="3"/>
  <c r="G165" i="3"/>
  <c r="BA167" i="3"/>
  <c r="BL168" i="3"/>
  <c r="AZ168" i="3" s="1"/>
  <c r="G169" i="3"/>
  <c r="BA171" i="3"/>
  <c r="AZ171" i="3"/>
  <c r="BL172" i="3"/>
  <c r="G173" i="3"/>
  <c r="BA175" i="3"/>
  <c r="AZ175" i="3"/>
  <c r="BL176" i="3"/>
  <c r="G177" i="3"/>
  <c r="BA179" i="3"/>
  <c r="AZ179" i="3"/>
  <c r="BL180" i="3"/>
  <c r="G181" i="3"/>
  <c r="BA183" i="3"/>
  <c r="BL184" i="3"/>
  <c r="G185" i="3"/>
  <c r="BA187" i="3"/>
  <c r="AZ187" i="3" s="1"/>
  <c r="BL188" i="3"/>
  <c r="AZ188" i="3" s="1"/>
  <c r="G189" i="3"/>
  <c r="BA191" i="3"/>
  <c r="BL192" i="3"/>
  <c r="G193" i="3"/>
  <c r="BA195" i="3"/>
  <c r="AZ195" i="3" s="1"/>
  <c r="BL196" i="3"/>
  <c r="G197" i="3"/>
  <c r="BA199" i="3"/>
  <c r="AZ199" i="3" s="1"/>
  <c r="BL200" i="3"/>
  <c r="AZ200" i="3" s="1"/>
  <c r="G201" i="3"/>
  <c r="BA203" i="3"/>
  <c r="BL204" i="3"/>
  <c r="AZ55"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62" i="3"/>
  <c r="AZ500" i="3"/>
  <c r="BA16"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G346" i="3"/>
  <c r="BL349" i="3"/>
  <c r="AZ349" i="3" s="1"/>
  <c r="BL352" i="3"/>
  <c r="G353" i="3"/>
  <c r="BA357" i="3"/>
  <c r="AZ357" i="3" s="1"/>
  <c r="BL358" i="3"/>
  <c r="AZ358" i="3" s="1"/>
  <c r="G359" i="3"/>
  <c r="BA361" i="3"/>
  <c r="AZ361" i="3" s="1"/>
  <c r="BL362" i="3"/>
  <c r="AZ362" i="3" s="1"/>
  <c r="G363" i="3"/>
  <c r="BA365" i="3"/>
  <c r="AZ365" i="3" s="1"/>
  <c r="BL366" i="3"/>
  <c r="G367" i="3"/>
  <c r="BA369" i="3"/>
  <c r="AZ369" i="3" s="1"/>
  <c r="BL370" i="3"/>
  <c r="G371" i="3"/>
  <c r="BA373" i="3"/>
  <c r="AZ373" i="3" s="1"/>
  <c r="BL374" i="3"/>
  <c r="AZ374" i="3" s="1"/>
  <c r="G375" i="3"/>
  <c r="BA377" i="3"/>
  <c r="AZ377" i="3" s="1"/>
  <c r="AZ269" i="3"/>
  <c r="BA379" i="3"/>
  <c r="AZ379" i="3" s="1"/>
  <c r="BL380" i="3"/>
  <c r="G381" i="3"/>
  <c r="BA383" i="3"/>
  <c r="AZ383" i="3" s="1"/>
  <c r="BL384" i="3"/>
  <c r="G385" i="3"/>
  <c r="BA387" i="3"/>
  <c r="BL388" i="3"/>
  <c r="AZ388" i="3" s="1"/>
  <c r="G389" i="3"/>
  <c r="BA391" i="3"/>
  <c r="AZ391" i="3" s="1"/>
  <c r="BL392" i="3"/>
  <c r="G393" i="3"/>
  <c r="BO5" i="3"/>
  <c r="BM5" i="3"/>
  <c r="BJ5" i="3"/>
  <c r="BH5" i="3"/>
  <c r="BF5" i="3"/>
  <c r="BD5" i="3"/>
  <c r="AZ341" i="3"/>
  <c r="AC5" i="3"/>
  <c r="AZ506" i="3"/>
  <c r="AZ496" i="3"/>
  <c r="G548" i="3"/>
  <c r="G538" i="3"/>
  <c r="G520" i="3"/>
  <c r="G502" i="3"/>
  <c r="BS5" i="3"/>
  <c r="BP5" i="3"/>
  <c r="BN5" i="3"/>
  <c r="BK5" i="3"/>
  <c r="BI5" i="3"/>
  <c r="BG5" i="3"/>
  <c r="BE5" i="3"/>
  <c r="BC5" i="3"/>
  <c r="G17" i="3"/>
  <c r="BA17" i="3"/>
  <c r="BT5" i="3"/>
  <c r="AZ368" i="3"/>
  <c r="BR5" i="3"/>
  <c r="AZ380" i="3"/>
  <c r="AZ392" i="3"/>
  <c r="AZ499" i="3"/>
  <c r="AZ509" i="3"/>
  <c r="G509" i="3"/>
  <c r="BL493" i="3"/>
  <c r="AZ493" i="3"/>
  <c r="U36" i="40"/>
  <c r="F83" i="43"/>
  <c r="H85" i="43" s="1"/>
  <c r="F50" i="43"/>
  <c r="H54" i="43" s="1"/>
  <c r="G54" i="43" s="1"/>
  <c r="M54" i="43" s="1"/>
  <c r="N54" i="43" s="1"/>
  <c r="F72" i="43"/>
  <c r="H75" i="43" s="1"/>
  <c r="U17" i="39"/>
  <c r="S14" i="35"/>
  <c r="U43" i="21"/>
  <c r="U35" i="21"/>
  <c r="AC35" i="21"/>
  <c r="AC11" i="39"/>
  <c r="AZ563" i="3"/>
  <c r="AZ501" i="3"/>
  <c r="W37" i="37"/>
  <c r="W44" i="34"/>
  <c r="AC44" i="34"/>
  <c r="S15" i="37"/>
  <c r="U13" i="37"/>
  <c r="U12" i="40"/>
  <c r="AA12" i="40"/>
  <c r="J37" i="33"/>
  <c r="W37" i="33"/>
  <c r="AC17" i="34"/>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c r="F27" i="40"/>
  <c r="S27" i="40" s="1"/>
  <c r="J30" i="40"/>
  <c r="AC30" i="40"/>
  <c r="F30" i="40"/>
  <c r="S30" i="40" s="1"/>
  <c r="AC21" i="40"/>
  <c r="S31" i="39"/>
  <c r="S11" i="40"/>
  <c r="E98" i="40"/>
  <c r="F98" i="40" s="1"/>
  <c r="G98" i="40" s="1"/>
  <c r="H98" i="40" s="1"/>
  <c r="I98" i="40" s="1"/>
  <c r="J98" i="40" s="1"/>
  <c r="K98" i="40" s="1"/>
  <c r="L98" i="40" s="1"/>
  <c r="M98" i="40" s="1"/>
  <c r="F35" i="33"/>
  <c r="S35" i="33" s="1"/>
  <c r="F39" i="34"/>
  <c r="AA39" i="34" s="1"/>
  <c r="J39" i="34"/>
  <c r="W39" i="34" s="1"/>
  <c r="F40" i="34"/>
  <c r="S40" i="34" s="1"/>
  <c r="H44" i="34"/>
  <c r="U44" i="34" s="1"/>
  <c r="AC38" i="39"/>
  <c r="F39" i="39"/>
  <c r="S39" i="39" s="1"/>
  <c r="J39" i="39"/>
  <c r="AC39" i="39" s="1"/>
  <c r="E96" i="39"/>
  <c r="F96" i="39" s="1"/>
  <c r="G96" i="39" s="1"/>
  <c r="AZ353" i="3"/>
  <c r="C40" i="11"/>
  <c r="AZ248" i="3"/>
  <c r="AZ259" i="3"/>
  <c r="AZ271" i="3"/>
  <c r="AZ130" i="3"/>
  <c r="AZ77" i="3"/>
  <c r="AZ82" i="3"/>
  <c r="F23" i="39"/>
  <c r="AA23" i="39"/>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G29" i="6"/>
  <c r="AB34" i="36"/>
  <c r="U34" i="36"/>
  <c r="AB33" i="36"/>
  <c r="U33" i="36"/>
  <c r="AC12" i="39"/>
  <c r="W12" i="39"/>
  <c r="AC39" i="40"/>
  <c r="W39" i="40"/>
  <c r="AZ412" i="3"/>
  <c r="AZ433" i="3"/>
  <c r="AZ586" i="3"/>
  <c r="W12" i="33"/>
  <c r="AC12" i="33"/>
  <c r="AA32" i="36"/>
  <c r="S32" i="36"/>
  <c r="AZ437" i="3"/>
  <c r="BL14" i="3"/>
  <c r="U30" i="33"/>
  <c r="AC13" i="34"/>
  <c r="AA47" i="34"/>
  <c r="W28" i="37"/>
  <c r="S19" i="39"/>
  <c r="F12" i="33"/>
  <c r="H12" i="39"/>
  <c r="AB12" i="39" s="1"/>
  <c r="F39" i="40"/>
  <c r="BA14" i="3"/>
  <c r="AZ250" i="3"/>
  <c r="AZ181"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C42" i="34"/>
  <c r="AA45" i="34"/>
  <c r="AA25" i="34"/>
  <c r="U28" i="34"/>
  <c r="S17" i="34"/>
  <c r="AA29" i="34"/>
  <c r="S23" i="34"/>
  <c r="U15" i="34"/>
  <c r="S13" i="34"/>
  <c r="H10" i="34"/>
  <c r="AB10" i="34" s="1"/>
  <c r="F11" i="34"/>
  <c r="S11" i="34" s="1"/>
  <c r="F70" i="34"/>
  <c r="W42" i="33"/>
  <c r="AA35" i="33"/>
  <c r="S32" i="33"/>
  <c r="AA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87" i="33"/>
  <c r="H25" i="33"/>
  <c r="U25" i="33" s="1"/>
  <c r="F25" i="33"/>
  <c r="AA25" i="33" s="1"/>
  <c r="J23" i="33"/>
  <c r="AC23" i="33" s="1"/>
  <c r="F85" i="33"/>
  <c r="H23" i="33"/>
  <c r="AB23" i="33" s="1"/>
  <c r="F81" i="33"/>
  <c r="F19" i="33"/>
  <c r="S19" i="33" s="1"/>
  <c r="J17" i="33"/>
  <c r="AC17" i="33" s="1"/>
  <c r="F79" i="33"/>
  <c r="G79" i="33" s="1"/>
  <c r="S15" i="33"/>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BA13" i="3"/>
  <c r="BL17" i="3"/>
  <c r="AZ17" i="3"/>
  <c r="BL13" i="3"/>
  <c r="J56" i="9"/>
  <c r="J57" i="9" s="1"/>
  <c r="J59" i="9" s="1"/>
  <c r="J61" i="9" s="1"/>
  <c r="A24" i="51"/>
  <c r="B18" i="72" s="1"/>
  <c r="E5" i="6"/>
  <c r="E32" i="6"/>
  <c r="G1" i="68"/>
  <c r="K1" i="12"/>
  <c r="E19" i="69"/>
  <c r="E19" i="68"/>
  <c r="E19"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A31" i="34"/>
  <c r="AA30" i="34"/>
  <c r="AB45" i="34"/>
  <c r="AB47" i="34"/>
  <c r="U25" i="34"/>
  <c r="AC14" i="34"/>
  <c r="AC32" i="34"/>
  <c r="W46" i="34"/>
  <c r="AC46" i="34"/>
  <c r="S32" i="34"/>
  <c r="AA32" i="34"/>
  <c r="U30" i="34"/>
  <c r="AB30" i="34"/>
  <c r="U38" i="34"/>
  <c r="AA19" i="34"/>
  <c r="S19" i="34"/>
  <c r="AA8" i="34"/>
  <c r="AB9" i="34"/>
  <c r="U9" i="34"/>
  <c r="S46" i="34"/>
  <c r="AA46" i="34"/>
  <c r="U32" i="34"/>
  <c r="AB32" i="34"/>
  <c r="U14" i="34"/>
  <c r="AB14" i="34"/>
  <c r="W23" i="34"/>
  <c r="AC23" i="34"/>
  <c r="AC35" i="34"/>
  <c r="U12" i="34"/>
  <c r="AB12" i="34"/>
  <c r="AB28" i="33"/>
  <c r="AC37" i="33"/>
  <c r="W46" i="33"/>
  <c r="U39" i="33"/>
  <c r="U38" i="33"/>
  <c r="S33" i="33"/>
  <c r="S30" i="33"/>
  <c r="AA30" i="33"/>
  <c r="AC14" i="33"/>
  <c r="W14" i="33"/>
  <c r="AC30" i="33"/>
  <c r="W30" i="33"/>
  <c r="S31" i="33"/>
  <c r="AA31" i="33"/>
  <c r="W13" i="33"/>
  <c r="AC13"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G87" i="33"/>
  <c r="H87" i="33"/>
  <c r="I87" i="33" s="1"/>
  <c r="J87" i="33" s="1"/>
  <c r="K87" i="33" s="1"/>
  <c r="L87" i="33" s="1"/>
  <c r="M87" i="33" s="1"/>
  <c r="J25" i="33"/>
  <c r="AC25" i="33" s="1"/>
  <c r="U23" i="33"/>
  <c r="F23" i="33"/>
  <c r="G85" i="33"/>
  <c r="AA19" i="33"/>
  <c r="H19" i="33"/>
  <c r="U19" i="33" s="1"/>
  <c r="G81" i="33"/>
  <c r="H17" i="33"/>
  <c r="U17" i="33" s="1"/>
  <c r="F17" i="33"/>
  <c r="S17" i="33" s="1"/>
  <c r="S37" i="21"/>
  <c r="AA23" i="21"/>
  <c r="AB15" i="21"/>
  <c r="J23" i="21"/>
  <c r="F85" i="21"/>
  <c r="G85" i="21" s="1"/>
  <c r="H23" i="21"/>
  <c r="S13" i="21"/>
  <c r="D6" i="52"/>
  <c r="AP7" i="1"/>
  <c r="AB45"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D21" i="71" s="1"/>
  <c r="M26" i="15"/>
  <c r="M23" i="15"/>
  <c r="F7" i="73"/>
  <c r="F20" i="31"/>
  <c r="E13" i="76"/>
  <c r="F3" i="73"/>
  <c r="E10" i="76"/>
  <c r="F40" i="15"/>
  <c r="F9" i="67"/>
  <c r="F5" i="73"/>
  <c r="E2" i="68"/>
  <c r="F16" i="15"/>
  <c r="M8" i="67"/>
  <c r="F42" i="67"/>
  <c r="M24" i="67"/>
  <c r="B13" i="76"/>
  <c r="M6" i="15"/>
  <c r="F16" i="67"/>
  <c r="B12" i="76"/>
  <c r="F4" i="73"/>
  <c r="F38" i="67"/>
  <c r="C76" i="15"/>
  <c r="F8" i="67"/>
  <c r="F9" i="15"/>
  <c r="E9" i="76"/>
  <c r="M28" i="67"/>
  <c r="B7" i="76"/>
  <c r="E12" i="76"/>
  <c r="B10" i="76"/>
  <c r="F43" i="15"/>
  <c r="F6" i="15"/>
  <c r="M8" i="15"/>
  <c r="F42" i="15"/>
  <c r="M23" i="67"/>
  <c r="F36" i="15"/>
  <c r="E11" i="76"/>
  <c r="F26" i="15"/>
  <c r="B8" i="76"/>
  <c r="B11" i="76"/>
  <c r="F36" i="67"/>
  <c r="L47" i="15"/>
  <c r="M26" i="67"/>
  <c r="F6" i="73"/>
  <c r="M9" i="67"/>
  <c r="J15" i="15"/>
  <c r="F38" i="15"/>
  <c r="F8" i="15"/>
  <c r="M22" i="15"/>
  <c r="C76" i="67"/>
  <c r="AO13" i="1"/>
  <c r="E2" i="69"/>
  <c r="M22" i="67"/>
  <c r="M6" i="67"/>
  <c r="F13" i="67"/>
  <c r="L47" i="67"/>
  <c r="M24" i="15"/>
  <c r="D6" i="73"/>
  <c r="F37" i="15"/>
  <c r="E8" i="76"/>
  <c r="F26" i="67"/>
  <c r="B9" i="76"/>
  <c r="J15" i="67"/>
  <c r="F40" i="67"/>
  <c r="F37" i="67"/>
  <c r="M29" i="15"/>
  <c r="E7" i="76"/>
  <c r="G7" i="34" l="1"/>
  <c r="E7" i="34"/>
  <c r="I7" i="34"/>
  <c r="C59" i="86"/>
  <c r="D59" i="86" s="1"/>
  <c r="E59" i="86" s="1"/>
  <c r="F59" i="86" s="1"/>
  <c r="G59" i="86" s="1"/>
  <c r="H59" i="86" s="1"/>
  <c r="I59" i="86" s="1"/>
  <c r="J59" i="86" s="1"/>
  <c r="K59" i="86" s="1"/>
  <c r="L59" i="86" s="1"/>
  <c r="M59" i="86" s="1"/>
  <c r="N59" i="86" s="1"/>
  <c r="O59" i="86" s="1"/>
  <c r="I7" i="86"/>
  <c r="J7" i="86" s="1"/>
  <c r="G7" i="86"/>
  <c r="H7" i="86" s="1"/>
  <c r="E7" i="86"/>
  <c r="F7" i="86" s="1"/>
  <c r="D22" i="15"/>
  <c r="D23" i="15"/>
  <c r="W33" i="33"/>
  <c r="G13" i="3"/>
  <c r="S37" i="34"/>
  <c r="W45" i="34"/>
  <c r="AC29" i="34"/>
  <c r="AB33" i="34"/>
  <c r="U29" i="34"/>
  <c r="U44" i="33"/>
  <c r="C18" i="9"/>
  <c r="D18" i="9" s="1"/>
  <c r="F43" i="34"/>
  <c r="AA43" i="34" s="1"/>
  <c r="J43" i="34"/>
  <c r="AC43" i="34" s="1"/>
  <c r="H43" i="34"/>
  <c r="AB43" i="34" s="1"/>
  <c r="AB40" i="34"/>
  <c r="W41" i="34"/>
  <c r="W43" i="34"/>
  <c r="U43" i="34"/>
  <c r="W33" i="34"/>
  <c r="W27" i="34"/>
  <c r="AB39" i="34"/>
  <c r="AC39" i="34"/>
  <c r="W40" i="34"/>
  <c r="AA40" i="34"/>
  <c r="AB41" i="34"/>
  <c r="S43" i="34"/>
  <c r="AA36" i="34"/>
  <c r="AB36" i="34"/>
  <c r="AB35" i="34"/>
  <c r="AA33" i="34"/>
  <c r="U27" i="34"/>
  <c r="W8" i="34"/>
  <c r="K54" i="43"/>
  <c r="J54" i="43" s="1"/>
  <c r="E7" i="33"/>
  <c r="I7" i="33"/>
  <c r="G7" i="33"/>
  <c r="S36" i="33"/>
  <c r="F7" i="1"/>
  <c r="F6" i="1"/>
  <c r="G6" i="1" s="1"/>
  <c r="W44" i="33"/>
  <c r="AA44" i="33"/>
  <c r="H34" i="33"/>
  <c r="U34" i="33" s="1"/>
  <c r="J34" i="33"/>
  <c r="W34" i="33" s="1"/>
  <c r="F34" i="33"/>
  <c r="S34" i="33" s="1"/>
  <c r="AA34" i="33"/>
  <c r="AB34" i="33"/>
  <c r="W39" i="33"/>
  <c r="S38" i="33"/>
  <c r="J27" i="33"/>
  <c r="AC27" i="33" s="1"/>
  <c r="F27" i="33"/>
  <c r="AA27" i="33" s="1"/>
  <c r="F91" i="33"/>
  <c r="G91" i="33" s="1"/>
  <c r="H91" i="33" s="1"/>
  <c r="I91" i="33" s="1"/>
  <c r="J91" i="33" s="1"/>
  <c r="K91" i="33" s="1"/>
  <c r="L91" i="33" s="1"/>
  <c r="M91" i="33" s="1"/>
  <c r="H27" i="33"/>
  <c r="AB27" i="33" s="1"/>
  <c r="S28" i="33"/>
  <c r="AC28" i="33"/>
  <c r="AC26" i="33"/>
  <c r="AB26" i="33"/>
  <c r="S26" i="33"/>
  <c r="AB25" i="33"/>
  <c r="S25" i="33"/>
  <c r="W25" i="33"/>
  <c r="AB29" i="33"/>
  <c r="AC21" i="33"/>
  <c r="W19" i="33"/>
  <c r="W17" i="33"/>
  <c r="AA17" i="33"/>
  <c r="U15" i="33"/>
  <c r="W15" i="33"/>
  <c r="A4" i="52"/>
  <c r="B41" i="72" s="1"/>
  <c r="A2" i="9"/>
  <c r="A118" i="9"/>
  <c r="F28" i="15"/>
  <c r="F32" i="67"/>
  <c r="F60" i="67" s="1"/>
  <c r="F28" i="67"/>
  <c r="M18" i="15"/>
  <c r="F30" i="11"/>
  <c r="C48" i="11" s="1"/>
  <c r="F54" i="9"/>
  <c r="F32" i="15"/>
  <c r="F60" i="15" s="1"/>
  <c r="F52" i="9"/>
  <c r="F30" i="68"/>
  <c r="F48" i="68" s="1"/>
  <c r="M18" i="67"/>
  <c r="D68" i="9"/>
  <c r="F30" i="69"/>
  <c r="F48" i="69" s="1"/>
  <c r="F31" i="12"/>
  <c r="C31" i="12" s="1"/>
  <c r="G22" i="69"/>
  <c r="G22" i="11"/>
  <c r="E1" i="73"/>
  <c r="G26" i="12"/>
  <c r="G22" i="68"/>
  <c r="BA15" i="3"/>
  <c r="AZ15" i="3" s="1"/>
  <c r="AZ14" i="3"/>
  <c r="BB5" i="3"/>
  <c r="E14" i="6" s="1"/>
  <c r="AZ16" i="3"/>
  <c r="W17" i="21"/>
  <c r="U12" i="39"/>
  <c r="AA27" i="40"/>
  <c r="AB27" i="40"/>
  <c r="AZ387" i="3"/>
  <c r="AZ366" i="3"/>
  <c r="AZ338" i="3"/>
  <c r="AZ307" i="3"/>
  <c r="AZ390" i="3"/>
  <c r="AZ371" i="3"/>
  <c r="AZ351" i="3"/>
  <c r="AZ336" i="3"/>
  <c r="AZ320" i="3"/>
  <c r="AZ304" i="3"/>
  <c r="AZ183" i="3"/>
  <c r="S14" i="37"/>
  <c r="AA14" i="37"/>
  <c r="W36" i="34"/>
  <c r="AC36" i="34"/>
  <c r="S29" i="35"/>
  <c r="AA29" i="35"/>
  <c r="U23" i="34"/>
  <c r="AB23" i="34"/>
  <c r="AB19" i="33"/>
  <c r="W27" i="33"/>
  <c r="W23" i="37"/>
  <c r="AB9" i="21"/>
  <c r="AB36" i="33"/>
  <c r="AC15" i="21"/>
  <c r="AA30" i="40"/>
  <c r="F29" i="6"/>
  <c r="E29" i="6" s="1"/>
  <c r="K15" i="1" s="1"/>
  <c r="AZ306" i="3"/>
  <c r="AZ513" i="3"/>
  <c r="U30" i="21"/>
  <c r="AB30" i="21"/>
  <c r="U17" i="34"/>
  <c r="AB17" i="34"/>
  <c r="AZ191" i="3"/>
  <c r="U33" i="40"/>
  <c r="AB33" i="40"/>
  <c r="U46" i="34"/>
  <c r="AB46" i="34"/>
  <c r="W31" i="33"/>
  <c r="AC31" i="33"/>
  <c r="AZ345" i="3"/>
  <c r="AZ303" i="3"/>
  <c r="AZ372" i="3"/>
  <c r="AZ337" i="3"/>
  <c r="AZ376" i="3"/>
  <c r="AZ324" i="3"/>
  <c r="AZ309" i="3"/>
  <c r="U45" i="33"/>
  <c r="AB45" i="33"/>
  <c r="AA44" i="34"/>
  <c r="S44" i="34"/>
  <c r="AA41" i="33"/>
  <c r="S41" i="33"/>
  <c r="AZ531" i="3"/>
  <c r="AZ583" i="3"/>
  <c r="AZ568" i="3"/>
  <c r="AZ576" i="3"/>
  <c r="AA14" i="34"/>
  <c r="W9" i="34"/>
  <c r="AC27" i="35"/>
  <c r="G587" i="3"/>
  <c r="F9" i="33"/>
  <c r="AA9" i="33" s="1"/>
  <c r="J12" i="35"/>
  <c r="G551" i="3"/>
  <c r="BL550" i="3"/>
  <c r="G542" i="3"/>
  <c r="AZ523" i="3"/>
  <c r="AZ547" i="3"/>
  <c r="AZ571" i="3"/>
  <c r="AZ579" i="3"/>
  <c r="W22" i="35"/>
  <c r="BL585" i="3"/>
  <c r="B75" i="43"/>
  <c r="H9" i="33"/>
  <c r="H24" i="36"/>
  <c r="G570" i="3"/>
  <c r="AZ305" i="3"/>
  <c r="AZ375" i="3"/>
  <c r="AZ360" i="3"/>
  <c r="AZ539" i="3"/>
  <c r="AZ529" i="3"/>
  <c r="AZ537" i="3"/>
  <c r="AZ518" i="3"/>
  <c r="AZ526" i="3"/>
  <c r="AZ546" i="3"/>
  <c r="AZ564" i="3"/>
  <c r="AZ580" i="3"/>
  <c r="AZ585" i="3"/>
  <c r="U33" i="33"/>
  <c r="B79" i="43"/>
  <c r="H23" i="35"/>
  <c r="BL587" i="3"/>
  <c r="AZ587" i="3" s="1"/>
  <c r="AZ413" i="3"/>
  <c r="AZ418" i="3"/>
  <c r="AZ451" i="3"/>
  <c r="AZ469" i="3"/>
  <c r="AZ480" i="3"/>
  <c r="AZ487" i="3"/>
  <c r="G574" i="3"/>
  <c r="BL16" i="3"/>
  <c r="BA401" i="3"/>
  <c r="AZ401" i="3" s="1"/>
  <c r="BA403" i="3"/>
  <c r="BA404" i="3"/>
  <c r="AZ404" i="3" s="1"/>
  <c r="BA405" i="3"/>
  <c r="AZ405" i="3" s="1"/>
  <c r="G409" i="3"/>
  <c r="BL410" i="3"/>
  <c r="G419" i="3"/>
  <c r="BA422" i="3"/>
  <c r="G430" i="3"/>
  <c r="BL431" i="3"/>
  <c r="BL434" i="3"/>
  <c r="AZ434" i="3" s="1"/>
  <c r="G437" i="3"/>
  <c r="BL438" i="3"/>
  <c r="BL439" i="3"/>
  <c r="BA441" i="3"/>
  <c r="AZ441" i="3" s="1"/>
  <c r="BL445" i="3"/>
  <c r="BL446" i="3"/>
  <c r="BL449" i="3"/>
  <c r="BL450" i="3"/>
  <c r="AZ450" i="3" s="1"/>
  <c r="BL452" i="3"/>
  <c r="G455" i="3"/>
  <c r="BL456" i="3"/>
  <c r="BA464" i="3"/>
  <c r="AZ464" i="3" s="1"/>
  <c r="BL467" i="3"/>
  <c r="BL468" i="3"/>
  <c r="BA471" i="3"/>
  <c r="AZ471" i="3" s="1"/>
  <c r="BA478" i="3"/>
  <c r="AZ478" i="3" s="1"/>
  <c r="BA551" i="3"/>
  <c r="AZ551" i="3" s="1"/>
  <c r="BA550" i="3"/>
  <c r="AZ550" i="3" s="1"/>
  <c r="BL548" i="3"/>
  <c r="AZ548" i="3" s="1"/>
  <c r="G398" i="3"/>
  <c r="G399" i="3"/>
  <c r="BL400" i="3"/>
  <c r="AZ400" i="3" s="1"/>
  <c r="BL408" i="3"/>
  <c r="BL411" i="3"/>
  <c r="BL413" i="3"/>
  <c r="G415" i="3"/>
  <c r="G416" i="3"/>
  <c r="BL417" i="3"/>
  <c r="BL418" i="3"/>
  <c r="BL420" i="3"/>
  <c r="G422" i="3"/>
  <c r="G423" i="3"/>
  <c r="BL424" i="3"/>
  <c r="G426" i="3"/>
  <c r="G427" i="3"/>
  <c r="BL428" i="3"/>
  <c r="BL429" i="3"/>
  <c r="BL432" i="3"/>
  <c r="BL435" i="3"/>
  <c r="AZ435" i="3" s="1"/>
  <c r="BL436" i="3"/>
  <c r="AZ436" i="3" s="1"/>
  <c r="BA439" i="3"/>
  <c r="BA440" i="3"/>
  <c r="AZ440" i="3" s="1"/>
  <c r="BA442" i="3"/>
  <c r="BA445" i="3"/>
  <c r="AZ445" i="3" s="1"/>
  <c r="BA447" i="3"/>
  <c r="AZ447" i="3" s="1"/>
  <c r="BA449" i="3"/>
  <c r="BL453" i="3"/>
  <c r="BL454" i="3"/>
  <c r="AZ454" i="3" s="1"/>
  <c r="G458" i="3"/>
  <c r="BL459" i="3"/>
  <c r="AZ459" i="3" s="1"/>
  <c r="G461" i="3"/>
  <c r="G462" i="3"/>
  <c r="BA465" i="3"/>
  <c r="AZ465" i="3" s="1"/>
  <c r="BA467" i="3"/>
  <c r="BA468" i="3"/>
  <c r="BL472" i="3"/>
  <c r="G473" i="3"/>
  <c r="BL473" i="3"/>
  <c r="AZ473" i="3" s="1"/>
  <c r="BL474" i="3"/>
  <c r="G475" i="3"/>
  <c r="BA477" i="3"/>
  <c r="BA485" i="3"/>
  <c r="BA489" i="3"/>
  <c r="AZ270" i="3"/>
  <c r="BL398" i="3"/>
  <c r="AZ398" i="3" s="1"/>
  <c r="BL403" i="3"/>
  <c r="G405" i="3"/>
  <c r="BA408" i="3"/>
  <c r="AZ408" i="3" s="1"/>
  <c r="BA409" i="3"/>
  <c r="AZ409" i="3" s="1"/>
  <c r="BA411" i="3"/>
  <c r="BL414" i="3"/>
  <c r="AZ414" i="3" s="1"/>
  <c r="BL415" i="3"/>
  <c r="AZ415" i="3" s="1"/>
  <c r="BA417" i="3"/>
  <c r="BL421" i="3"/>
  <c r="AZ421" i="3" s="1"/>
  <c r="BL422" i="3"/>
  <c r="BL425" i="3"/>
  <c r="AZ425" i="3" s="1"/>
  <c r="BL426" i="3"/>
  <c r="BA428" i="3"/>
  <c r="BA429" i="3"/>
  <c r="AZ429" i="3" s="1"/>
  <c r="BA430" i="3"/>
  <c r="AZ430" i="3" s="1"/>
  <c r="BA432" i="3"/>
  <c r="BA434" i="3"/>
  <c r="BA436" i="3"/>
  <c r="BA438" i="3"/>
  <c r="AZ438" i="3" s="1"/>
  <c r="G442" i="3"/>
  <c r="BA446" i="3"/>
  <c r="BA450" i="3"/>
  <c r="BA453" i="3"/>
  <c r="AZ453" i="3" s="1"/>
  <c r="BA455" i="3"/>
  <c r="AZ455" i="3" s="1"/>
  <c r="BL457" i="3"/>
  <c r="AZ457" i="3" s="1"/>
  <c r="BL460" i="3"/>
  <c r="AZ460" i="3" s="1"/>
  <c r="BL461" i="3"/>
  <c r="AZ461" i="3" s="1"/>
  <c r="BL463" i="3"/>
  <c r="G465" i="3"/>
  <c r="G470" i="3"/>
  <c r="BL470" i="3"/>
  <c r="AZ470" i="3" s="1"/>
  <c r="G472" i="3"/>
  <c r="BL475" i="3"/>
  <c r="G481" i="3"/>
  <c r="BA482" i="3"/>
  <c r="BA484" i="3"/>
  <c r="AZ484" i="3" s="1"/>
  <c r="BA488" i="3"/>
  <c r="AZ488" i="3" s="1"/>
  <c r="BL490" i="3"/>
  <c r="G491" i="3"/>
  <c r="BA303" i="3"/>
  <c r="BA307" i="3"/>
  <c r="G311" i="3"/>
  <c r="BL314" i="3"/>
  <c r="AZ314" i="3" s="1"/>
  <c r="G315" i="3"/>
  <c r="BA332" i="3"/>
  <c r="AZ332" i="3" s="1"/>
  <c r="BL332" i="3"/>
  <c r="G339" i="3"/>
  <c r="G364" i="3"/>
  <c r="BA367" i="3"/>
  <c r="AZ367" i="3" s="1"/>
  <c r="BA370" i="3"/>
  <c r="AZ370" i="3" s="1"/>
  <c r="BA386" i="3"/>
  <c r="AZ386" i="3" s="1"/>
  <c r="BA216" i="3"/>
  <c r="AZ216" i="3" s="1"/>
  <c r="BA218" i="3"/>
  <c r="AZ218" i="3" s="1"/>
  <c r="BL218" i="3"/>
  <c r="BL220" i="3"/>
  <c r="AZ220" i="3" s="1"/>
  <c r="BL221" i="3"/>
  <c r="BL223" i="3"/>
  <c r="AZ223" i="3" s="1"/>
  <c r="BA227" i="3"/>
  <c r="AZ227" i="3" s="1"/>
  <c r="BA229" i="3"/>
  <c r="AZ229" i="3" s="1"/>
  <c r="BL229" i="3"/>
  <c r="BL231" i="3"/>
  <c r="BL233" i="3"/>
  <c r="AZ233" i="3" s="1"/>
  <c r="BL235" i="3"/>
  <c r="AZ235" i="3" s="1"/>
  <c r="BL236" i="3"/>
  <c r="BL238" i="3"/>
  <c r="AZ238" i="3" s="1"/>
  <c r="BL243" i="3"/>
  <c r="AZ243" i="3" s="1"/>
  <c r="BA247" i="3"/>
  <c r="AZ247" i="3" s="1"/>
  <c r="BL247" i="3"/>
  <c r="BA249" i="3"/>
  <c r="AZ249" i="3" s="1"/>
  <c r="BL249" i="3"/>
  <c r="BA251" i="3"/>
  <c r="AZ251" i="3" s="1"/>
  <c r="BL251" i="3"/>
  <c r="BA253" i="3"/>
  <c r="BL260" i="3"/>
  <c r="BL263" i="3"/>
  <c r="AZ263" i="3" s="1"/>
  <c r="BL270" i="3"/>
  <c r="BA272" i="3"/>
  <c r="AZ272" i="3" s="1"/>
  <c r="BL275" i="3"/>
  <c r="AZ275" i="3" s="1"/>
  <c r="BL287" i="3"/>
  <c r="BA290" i="3"/>
  <c r="AZ125" i="3"/>
  <c r="BA491" i="3"/>
  <c r="BL324" i="3"/>
  <c r="BL328" i="3"/>
  <c r="AZ328" i="3" s="1"/>
  <c r="G329" i="3"/>
  <c r="BA335" i="3"/>
  <c r="AZ335" i="3" s="1"/>
  <c r="BA339" i="3"/>
  <c r="AZ339" i="3" s="1"/>
  <c r="G343" i="3"/>
  <c r="G347" i="3"/>
  <c r="BA348" i="3"/>
  <c r="BA350" i="3"/>
  <c r="AZ350" i="3" s="1"/>
  <c r="BA354" i="3"/>
  <c r="BA366" i="3"/>
  <c r="BL375" i="3"/>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1" i="3"/>
  <c r="AZ291" i="3" s="1"/>
  <c r="BL293" i="3"/>
  <c r="BL294" i="3"/>
  <c r="BA297" i="3"/>
  <c r="BL297" i="3"/>
  <c r="BL300" i="3"/>
  <c r="BA116" i="3"/>
  <c r="AZ116" i="3" s="1"/>
  <c r="BA121" i="3"/>
  <c r="BL121" i="3"/>
  <c r="BA124" i="3"/>
  <c r="AZ124" i="3" s="1"/>
  <c r="BA126" i="3"/>
  <c r="AZ126" i="3" s="1"/>
  <c r="BA129" i="3"/>
  <c r="BA133" i="3"/>
  <c r="BA134" i="3"/>
  <c r="BA276" i="3"/>
  <c r="BA279" i="3"/>
  <c r="BA281" i="3"/>
  <c r="G286" i="3"/>
  <c r="BL286" i="3"/>
  <c r="AZ286" i="3" s="1"/>
  <c r="G291" i="3"/>
  <c r="BA296" i="3"/>
  <c r="G469"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G302" i="3"/>
  <c r="BL113" i="3"/>
  <c r="BL115" i="3"/>
  <c r="AZ115" i="3" s="1"/>
  <c r="BA118" i="3"/>
  <c r="AZ118" i="3" s="1"/>
  <c r="BL118" i="3"/>
  <c r="BA122" i="3"/>
  <c r="AZ122" i="3" s="1"/>
  <c r="BL125" i="3"/>
  <c r="BL126" i="3"/>
  <c r="G130" i="3"/>
  <c r="BL133" i="3"/>
  <c r="BA144" i="3"/>
  <c r="AZ144" i="3" s="1"/>
  <c r="G152" i="3"/>
  <c r="BA153" i="3"/>
  <c r="AZ153" i="3" s="1"/>
  <c r="BL155" i="3"/>
  <c r="AZ155" i="3" s="1"/>
  <c r="BA164" i="3"/>
  <c r="AZ164" i="3" s="1"/>
  <c r="BA166" i="3"/>
  <c r="AZ166" i="3" s="1"/>
  <c r="BA169" i="3"/>
  <c r="AZ169" i="3" s="1"/>
  <c r="BA176" i="3"/>
  <c r="AZ176" i="3" s="1"/>
  <c r="BA178" i="3"/>
  <c r="G182" i="3"/>
  <c r="BA184" i="3"/>
  <c r="AZ184" i="3" s="1"/>
  <c r="BL189" i="3"/>
  <c r="AZ189" i="3" s="1"/>
  <c r="BA192" i="3"/>
  <c r="AZ192" i="3" s="1"/>
  <c r="BA202" i="3"/>
  <c r="AZ27" i="3"/>
  <c r="AZ64" i="3"/>
  <c r="AZ70" i="3"/>
  <c r="C44" i="71"/>
  <c r="D43" i="71"/>
  <c r="C52" i="71"/>
  <c r="D51" i="71"/>
  <c r="V24" i="71"/>
  <c r="E23" i="71"/>
  <c r="E22" i="71" s="1"/>
  <c r="E21" i="71" s="1"/>
  <c r="E20" i="71" s="1"/>
  <c r="BA137" i="3"/>
  <c r="BL138" i="3"/>
  <c r="BA140" i="3"/>
  <c r="AZ140" i="3" s="1"/>
  <c r="BA142" i="3"/>
  <c r="BL149" i="3"/>
  <c r="AZ149" i="3" s="1"/>
  <c r="BA152" i="3"/>
  <c r="AZ152" i="3" s="1"/>
  <c r="BA154" i="3"/>
  <c r="AZ154" i="3" s="1"/>
  <c r="BA173" i="3"/>
  <c r="AZ173" i="3" s="1"/>
  <c r="BA174" i="3"/>
  <c r="BL194" i="3"/>
  <c r="AZ194" i="3" s="1"/>
  <c r="BA198" i="3"/>
  <c r="AZ198" i="3" s="1"/>
  <c r="G199" i="3"/>
  <c r="G205" i="3"/>
  <c r="BL206" i="3"/>
  <c r="BA19" i="3"/>
  <c r="AZ19" i="3" s="1"/>
  <c r="G27" i="3"/>
  <c r="BA27" i="3"/>
  <c r="BL30" i="3"/>
  <c r="AZ30" i="3" s="1"/>
  <c r="BL31" i="3"/>
  <c r="AZ31" i="3" s="1"/>
  <c r="G37" i="3"/>
  <c r="BL40" i="3"/>
  <c r="BL41" i="3"/>
  <c r="AZ41" i="3" s="1"/>
  <c r="BL45" i="3"/>
  <c r="BA48" i="3"/>
  <c r="BA49" i="3"/>
  <c r="BA51" i="3"/>
  <c r="AZ51" i="3" s="1"/>
  <c r="G55" i="3"/>
  <c r="BL56" i="3"/>
  <c r="BA58" i="3"/>
  <c r="BL59" i="3"/>
  <c r="AZ59" i="3" s="1"/>
  <c r="BL60" i="3"/>
  <c r="BA61" i="3"/>
  <c r="AZ61" i="3" s="1"/>
  <c r="BA68" i="3"/>
  <c r="BA71" i="3"/>
  <c r="BL72" i="3"/>
  <c r="BL75" i="3"/>
  <c r="BL92" i="3"/>
  <c r="C47" i="71"/>
  <c r="D47" i="71" s="1"/>
  <c r="D46" i="71"/>
  <c r="BL157" i="3"/>
  <c r="AZ157" i="3" s="1"/>
  <c r="BL159" i="3"/>
  <c r="AZ159" i="3" s="1"/>
  <c r="BL177" i="3"/>
  <c r="AZ177" i="3" s="1"/>
  <c r="BL183" i="3"/>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BA46" i="3"/>
  <c r="BL49" i="3"/>
  <c r="BL50" i="3"/>
  <c r="AZ50" i="3" s="1"/>
  <c r="BL51" i="3"/>
  <c r="BL53" i="3"/>
  <c r="BA56" i="3"/>
  <c r="AZ56" i="3" s="1"/>
  <c r="BA57" i="3"/>
  <c r="AZ57" i="3" s="1"/>
  <c r="BL58" i="3"/>
  <c r="G60" i="3"/>
  <c r="BA60" i="3"/>
  <c r="AZ60" i="3" s="1"/>
  <c r="BA63" i="3"/>
  <c r="BA66" i="3"/>
  <c r="BL70" i="3"/>
  <c r="BL71" i="3"/>
  <c r="BA78" i="3"/>
  <c r="BA80" i="3"/>
  <c r="BL84" i="3"/>
  <c r="D31" i="71"/>
  <c r="C32" i="71"/>
  <c r="C55" i="71"/>
  <c r="D54" i="71"/>
  <c r="N67" i="71"/>
  <c r="B66" i="71"/>
  <c r="F66" i="71"/>
  <c r="Q67" i="71"/>
  <c r="BL301" i="3"/>
  <c r="AZ301" i="3" s="1"/>
  <c r="BL302" i="3"/>
  <c r="AZ302" i="3" s="1"/>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G183" i="3"/>
  <c r="BA185" i="3"/>
  <c r="BL191" i="3"/>
  <c r="G192" i="3"/>
  <c r="BA193" i="3"/>
  <c r="BA196" i="3"/>
  <c r="AZ196" i="3" s="1"/>
  <c r="G203" i="3"/>
  <c r="BA205" i="3"/>
  <c r="AZ205" i="3" s="1"/>
  <c r="G20" i="3"/>
  <c r="BL20" i="3"/>
  <c r="AZ20" i="3" s="1"/>
  <c r="BA21" i="3"/>
  <c r="BA25" i="3"/>
  <c r="AZ25" i="3" s="1"/>
  <c r="BA26" i="3"/>
  <c r="G28" i="3"/>
  <c r="BL28" i="3"/>
  <c r="AZ28" i="3" s="1"/>
  <c r="BA29" i="3"/>
  <c r="AZ29" i="3" s="1"/>
  <c r="BA36" i="3"/>
  <c r="BL38" i="3"/>
  <c r="AZ38" i="3" s="1"/>
  <c r="BA39" i="3"/>
  <c r="AZ39" i="3" s="1"/>
  <c r="BL47" i="3"/>
  <c r="AZ47" i="3" s="1"/>
  <c r="G49" i="3"/>
  <c r="G52" i="3"/>
  <c r="BA52" i="3"/>
  <c r="AZ52" i="3" s="1"/>
  <c r="BA53" i="3"/>
  <c r="AZ53" i="3" s="1"/>
  <c r="BA54" i="3"/>
  <c r="BL57" i="3"/>
  <c r="G62" i="3"/>
  <c r="BL62" i="3"/>
  <c r="AZ62" i="3" s="1"/>
  <c r="BL63" i="3"/>
  <c r="G65" i="3"/>
  <c r="BL65" i="3"/>
  <c r="AZ65" i="3" s="1"/>
  <c r="BL66" i="3"/>
  <c r="BL67" i="3"/>
  <c r="AZ67" i="3" s="1"/>
  <c r="G69" i="3"/>
  <c r="BA72" i="3"/>
  <c r="BA73" i="3"/>
  <c r="AZ73" i="3" s="1"/>
  <c r="BA79" i="3"/>
  <c r="AZ79" i="3" s="1"/>
  <c r="G82" i="3"/>
  <c r="G83" i="3"/>
  <c r="BA84" i="3"/>
  <c r="AZ84" i="3" s="1"/>
  <c r="BL88" i="3"/>
  <c r="AZ88" i="3" s="1"/>
  <c r="BL90" i="3"/>
  <c r="BA94" i="3"/>
  <c r="BL99" i="3"/>
  <c r="BA105" i="3"/>
  <c r="AZ105" i="3" s="1"/>
  <c r="F40" i="68"/>
  <c r="C21" i="68"/>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AZ108" i="3" s="1"/>
  <c r="BA110" i="3"/>
  <c r="AZ110" i="3" s="1"/>
  <c r="F3" i="35"/>
  <c r="S21" i="33"/>
  <c r="S21" i="37"/>
  <c r="W29" i="39"/>
  <c r="B77" i="43"/>
  <c r="AA18" i="35"/>
  <c r="O67" i="71"/>
  <c r="AA28" i="71"/>
  <c r="AB27" i="71"/>
  <c r="E75" i="71"/>
  <c r="E74" i="71" s="1"/>
  <c r="AB25" i="71"/>
  <c r="X26" i="71"/>
  <c r="Y25" i="71"/>
  <c r="Z25" i="71" s="1"/>
  <c r="X38" i="71"/>
  <c r="Y29" i="71"/>
  <c r="Z29" i="71" s="1"/>
  <c r="E38" i="71"/>
  <c r="E39" i="71" s="1"/>
  <c r="E40" i="71" s="1"/>
  <c r="U40" i="71" s="1"/>
  <c r="B34" i="71"/>
  <c r="B35" i="71" s="1"/>
  <c r="B36" i="71" s="1"/>
  <c r="S36" i="71" s="1"/>
  <c r="AB32" i="71"/>
  <c r="X33" i="71"/>
  <c r="AB37" i="71"/>
  <c r="BA103" i="3"/>
  <c r="AZ103" i="3" s="1"/>
  <c r="BA104" i="3"/>
  <c r="BA106" i="3"/>
  <c r="BL108" i="3"/>
  <c r="G110" i="3"/>
  <c r="BL111"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B21" i="71"/>
  <c r="B2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W35" i="39"/>
  <c r="F27" i="34"/>
  <c r="C21" i="39"/>
  <c r="U9" i="36"/>
  <c r="U14" i="37"/>
  <c r="H12" i="21"/>
  <c r="G526" i="3"/>
  <c r="AZ420" i="3"/>
  <c r="AZ424" i="3"/>
  <c r="AZ446"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76" i="3"/>
  <c r="AZ293" i="3"/>
  <c r="BA472" i="3"/>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68" i="3"/>
  <c r="AZ104" i="3"/>
  <c r="AZ106"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D36" i="71"/>
  <c r="T36" i="71"/>
  <c r="AZ95" i="3"/>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7"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1" i="6"/>
  <c r="E60" i="39" s="1"/>
  <c r="E13" i="6"/>
  <c r="P6" i="1"/>
  <c r="C13" i="12" s="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51" i="67"/>
  <c r="F65" i="67"/>
  <c r="F51" i="15"/>
  <c r="F71" i="15"/>
  <c r="F66" i="67"/>
  <c r="L59" i="15"/>
  <c r="N59" i="15"/>
  <c r="M59" i="15"/>
  <c r="F66" i="15"/>
  <c r="Q71" i="67"/>
  <c r="F64" i="15"/>
  <c r="C27" i="67"/>
  <c r="C27" i="15"/>
  <c r="F65" i="15"/>
  <c r="N59" i="67"/>
  <c r="L59" i="67"/>
  <c r="M59" i="67"/>
  <c r="B13" i="70"/>
  <c r="F68" i="67"/>
  <c r="F64" i="67"/>
  <c r="F68" i="15"/>
  <c r="C36" i="68"/>
  <c r="D9" i="69"/>
  <c r="D9" i="68"/>
  <c r="L48" i="15"/>
  <c r="D5" i="73"/>
  <c r="D3" i="73"/>
  <c r="M28" i="15"/>
  <c r="C16" i="15"/>
  <c r="D4" i="73"/>
  <c r="M9" i="15"/>
  <c r="F7" i="15"/>
  <c r="L48" i="67"/>
  <c r="D7" i="73"/>
  <c r="F13" i="15"/>
  <c r="S7" i="86" l="1"/>
  <c r="AA7" i="86"/>
  <c r="U7" i="86"/>
  <c r="AB7" i="86"/>
  <c r="AC7" i="86"/>
  <c r="W7" i="86"/>
  <c r="C44" i="43"/>
  <c r="M52" i="43"/>
  <c r="N52" i="43" s="1"/>
  <c r="K52" i="43"/>
  <c r="M50" i="43"/>
  <c r="N50" i="43" s="1"/>
  <c r="K50" i="43"/>
  <c r="M57" i="43"/>
  <c r="N57" i="43" s="1"/>
  <c r="K57" i="43"/>
  <c r="J57" i="43" s="1"/>
  <c r="D57" i="43" s="1"/>
  <c r="M56" i="43"/>
  <c r="N56" i="43" s="1"/>
  <c r="K56" i="43"/>
  <c r="M53" i="43"/>
  <c r="N53" i="43" s="1"/>
  <c r="K53" i="43"/>
  <c r="M55" i="43"/>
  <c r="N55" i="43" s="1"/>
  <c r="K55" i="43"/>
  <c r="M51" i="43"/>
  <c r="N51" i="43" s="1"/>
  <c r="K51" i="43"/>
  <c r="M58" i="43"/>
  <c r="N58" i="43" s="1"/>
  <c r="K58" i="43"/>
  <c r="F26" i="43"/>
  <c r="N370" i="46"/>
  <c r="E28" i="6"/>
  <c r="K14" i="1" s="1"/>
  <c r="M14" i="1" s="1"/>
  <c r="G26" i="43"/>
  <c r="I24" i="43"/>
  <c r="C24" i="43" s="1"/>
  <c r="L56" i="67"/>
  <c r="J57" i="67"/>
  <c r="J55" i="67" s="1"/>
  <c r="J58" i="67" s="1"/>
  <c r="Q50" i="67" s="1"/>
  <c r="I54" i="67"/>
  <c r="J53" i="67"/>
  <c r="F1" i="67" s="1"/>
  <c r="L58" i="67"/>
  <c r="Q73" i="67" s="1"/>
  <c r="J57" i="15"/>
  <c r="J55" i="15" s="1"/>
  <c r="J58" i="15" s="1"/>
  <c r="Q50" i="15" s="1"/>
  <c r="I54" i="15"/>
  <c r="J53" i="15"/>
  <c r="L56" i="15" s="1"/>
  <c r="L58" i="15"/>
  <c r="Q73" i="15" s="1"/>
  <c r="J10" i="33"/>
  <c r="H10" i="33"/>
  <c r="F10" i="33"/>
  <c r="G7" i="1"/>
  <c r="AC34" i="33"/>
  <c r="S27" i="33"/>
  <c r="U27" i="33"/>
  <c r="C30" i="69"/>
  <c r="C48" i="69"/>
  <c r="C30" i="68"/>
  <c r="C48" i="68"/>
  <c r="C30" i="11"/>
  <c r="E10" i="6"/>
  <c r="E8" i="6"/>
  <c r="E15" i="6"/>
  <c r="E64" i="39" s="1"/>
  <c r="E63" i="39"/>
  <c r="E59" i="40"/>
  <c r="F30" i="6"/>
  <c r="E26" i="43"/>
  <c r="H26" i="43"/>
  <c r="N94" i="46"/>
  <c r="J7" i="36"/>
  <c r="M7" i="15"/>
  <c r="J6" i="15" s="1"/>
  <c r="J18" i="15" s="1"/>
  <c r="C6" i="15"/>
  <c r="C32" i="15" s="1"/>
  <c r="F50" i="15"/>
  <c r="C49" i="15" s="1"/>
  <c r="F31" i="15"/>
  <c r="AZ287" i="3"/>
  <c r="AZ264" i="3"/>
  <c r="AZ354" i="3"/>
  <c r="T28" i="71"/>
  <c r="D28" i="71"/>
  <c r="U28" i="71" s="1"/>
  <c r="C27" i="71"/>
  <c r="D79" i="71"/>
  <c r="C78" i="71"/>
  <c r="D78" i="71" s="1"/>
  <c r="N65" i="71"/>
  <c r="N66" i="71"/>
  <c r="T32" i="71"/>
  <c r="D32" i="71"/>
  <c r="AZ63" i="3"/>
  <c r="D44" i="71"/>
  <c r="T44" i="71"/>
  <c r="AZ121" i="3"/>
  <c r="AZ297" i="3"/>
  <c r="AZ284" i="3"/>
  <c r="AZ277" i="3"/>
  <c r="AZ256" i="3"/>
  <c r="AZ397" i="3"/>
  <c r="AZ432" i="3"/>
  <c r="AZ417" i="3"/>
  <c r="AZ422" i="3"/>
  <c r="U23" i="35"/>
  <c r="AB23" i="35"/>
  <c r="AB24" i="36"/>
  <c r="U24" i="36"/>
  <c r="W12" i="35"/>
  <c r="AC12" i="35"/>
  <c r="D83" i="71"/>
  <c r="C82" i="71"/>
  <c r="D82" i="71" s="1"/>
  <c r="O65" i="71"/>
  <c r="D66" i="71"/>
  <c r="O66" i="71"/>
  <c r="AZ71" i="3"/>
  <c r="AB9" i="33"/>
  <c r="U9" i="33"/>
  <c r="G5" i="3"/>
  <c r="B3" i="3" s="1"/>
  <c r="AZ113" i="3"/>
  <c r="AZ482" i="3"/>
  <c r="AZ215" i="3"/>
  <c r="B19" i="71"/>
  <c r="B18" i="71" s="1"/>
  <c r="B17" i="71" s="1"/>
  <c r="B16" i="71" s="1"/>
  <c r="S20" i="71"/>
  <c r="C40" i="71"/>
  <c r="D39" i="71"/>
  <c r="AZ94" i="3"/>
  <c r="AZ72" i="3"/>
  <c r="AZ21" i="3"/>
  <c r="AZ58" i="3"/>
  <c r="AZ49" i="3"/>
  <c r="AZ137" i="3"/>
  <c r="T52" i="71"/>
  <c r="D52" i="71"/>
  <c r="AZ282" i="3"/>
  <c r="AZ210" i="3"/>
  <c r="AZ403" i="3"/>
  <c r="AZ107" i="3"/>
  <c r="AZ472" i="3"/>
  <c r="C70" i="71"/>
  <c r="D70" i="71" s="1"/>
  <c r="D71" i="71"/>
  <c r="C56" i="71"/>
  <c r="D55" i="71"/>
  <c r="AZ66" i="3"/>
  <c r="AZ45" i="3"/>
  <c r="AZ178" i="3"/>
  <c r="AZ133" i="3"/>
  <c r="AZ491" i="3"/>
  <c r="AZ428" i="3"/>
  <c r="AZ411" i="3"/>
  <c r="J7" i="37"/>
  <c r="K1" i="73"/>
  <c r="AA26" i="37"/>
  <c r="S26" i="37"/>
  <c r="BA5" i="3"/>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51" i="40"/>
  <c r="E58" i="40"/>
  <c r="E62" i="39"/>
  <c r="D5" i="43"/>
  <c r="C7" i="43"/>
  <c r="C5" i="43" s="1"/>
  <c r="D10" i="52"/>
  <c r="D125" i="9"/>
  <c r="D11" i="52" s="1"/>
  <c r="B7" i="74"/>
  <c r="C7" i="74" s="1"/>
  <c r="F67" i="39"/>
  <c r="F59" i="67"/>
  <c r="H7" i="37"/>
  <c r="AB7" i="37" s="1"/>
  <c r="T42" i="37" s="1"/>
  <c r="G42" i="37" s="1"/>
  <c r="H7" i="33"/>
  <c r="J7" i="33"/>
  <c r="D65" i="40"/>
  <c r="E63" i="40"/>
  <c r="F48" i="35"/>
  <c r="S7" i="36"/>
  <c r="AC7" i="37"/>
  <c r="W7" i="37"/>
  <c r="U7" i="36"/>
  <c r="F7" i="33"/>
  <c r="E58" i="21"/>
  <c r="AC7" i="36"/>
  <c r="V36" i="36" s="1"/>
  <c r="I36" i="36" s="1"/>
  <c r="W7" i="36"/>
  <c r="F7" i="37"/>
  <c r="M17" i="67"/>
  <c r="P28" i="43"/>
  <c r="B66" i="40" s="1"/>
  <c r="P25" i="43"/>
  <c r="P29" i="43"/>
  <c r="P27" i="43"/>
  <c r="B70" i="39" s="1"/>
  <c r="M11" i="67"/>
  <c r="J10" i="67" s="1"/>
  <c r="F11" i="15"/>
  <c r="M11" i="15"/>
  <c r="J10" i="15" s="1"/>
  <c r="F11" i="67"/>
  <c r="Q61" i="67"/>
  <c r="Q74" i="67"/>
  <c r="Q74" i="15"/>
  <c r="Q61" i="15"/>
  <c r="AE11" i="1"/>
  <c r="AE9" i="1"/>
  <c r="AE7" i="1"/>
  <c r="AE8" i="1"/>
  <c r="AE12" i="1"/>
  <c r="AE10" i="1"/>
  <c r="G1" i="73"/>
  <c r="J58" i="43" l="1"/>
  <c r="D58" i="43"/>
  <c r="D55" i="43"/>
  <c r="J55" i="43"/>
  <c r="J56" i="43"/>
  <c r="D56" i="43"/>
  <c r="J50" i="43"/>
  <c r="D50" i="43"/>
  <c r="J51" i="43"/>
  <c r="D51" i="43"/>
  <c r="J53" i="43"/>
  <c r="D53" i="43"/>
  <c r="J52" i="43"/>
  <c r="D52" i="43"/>
  <c r="E212" i="3"/>
  <c r="E19" i="6"/>
  <c r="E16" i="6"/>
  <c r="D26" i="43"/>
  <c r="C25" i="43" s="1"/>
  <c r="Q60" i="67"/>
  <c r="Q60" i="15"/>
  <c r="Q52" i="15"/>
  <c r="Q52" i="67"/>
  <c r="F1" i="15"/>
  <c r="S10" i="33"/>
  <c r="AA10" i="33"/>
  <c r="U10" i="33"/>
  <c r="AB10" i="33"/>
  <c r="W10" i="33"/>
  <c r="AC10" i="33"/>
  <c r="J5" i="15"/>
  <c r="J24" i="15" s="1"/>
  <c r="M17" i="15"/>
  <c r="E131" i="3"/>
  <c r="E240" i="3"/>
  <c r="E483" i="3"/>
  <c r="E135" i="3"/>
  <c r="E311" i="3"/>
  <c r="E204" i="3"/>
  <c r="E586" i="3"/>
  <c r="E318" i="3"/>
  <c r="E238" i="3"/>
  <c r="E416" i="3"/>
  <c r="E172" i="3"/>
  <c r="E579" i="3"/>
  <c r="E171" i="3"/>
  <c r="E183" i="3"/>
  <c r="E45" i="3"/>
  <c r="E426" i="3"/>
  <c r="E248" i="3"/>
  <c r="E100" i="3"/>
  <c r="E189" i="3"/>
  <c r="E572" i="3"/>
  <c r="E406" i="3"/>
  <c r="E337" i="3"/>
  <c r="E114" i="3"/>
  <c r="E54" i="3"/>
  <c r="E378" i="3"/>
  <c r="E142" i="3"/>
  <c r="AI6" i="3"/>
  <c r="AB6" i="3"/>
  <c r="E531" i="3"/>
  <c r="E545" i="3"/>
  <c r="E27" i="3"/>
  <c r="E558" i="3"/>
  <c r="E179" i="3"/>
  <c r="AY6" i="3"/>
  <c r="E132" i="3"/>
  <c r="E190" i="3"/>
  <c r="E139" i="3"/>
  <c r="E369" i="3"/>
  <c r="E94" i="3"/>
  <c r="E219" i="3"/>
  <c r="E275" i="3"/>
  <c r="E148" i="3"/>
  <c r="E246" i="3"/>
  <c r="E263" i="3"/>
  <c r="E535" i="3"/>
  <c r="E278" i="3"/>
  <c r="E335" i="3"/>
  <c r="E570" i="3"/>
  <c r="E247" i="3"/>
  <c r="E268" i="3"/>
  <c r="E182" i="3"/>
  <c r="E485" i="3"/>
  <c r="E74" i="3"/>
  <c r="E468" i="3"/>
  <c r="E133" i="3"/>
  <c r="E347" i="3"/>
  <c r="E91" i="3"/>
  <c r="E380" i="3"/>
  <c r="E175" i="3"/>
  <c r="E515" i="3"/>
  <c r="E571" i="3"/>
  <c r="E336" i="3"/>
  <c r="N6" i="3"/>
  <c r="E73" i="3"/>
  <c r="E237" i="3"/>
  <c r="E367" i="3"/>
  <c r="E461" i="3"/>
  <c r="E436" i="3"/>
  <c r="E36" i="3"/>
  <c r="E118" i="3"/>
  <c r="E487" i="3"/>
  <c r="E296" i="3"/>
  <c r="E200" i="3"/>
  <c r="E385" i="3"/>
  <c r="E191" i="3"/>
  <c r="E445" i="3"/>
  <c r="E69" i="3"/>
  <c r="E387" i="3"/>
  <c r="E514" i="3"/>
  <c r="E431" i="3"/>
  <c r="E217" i="3"/>
  <c r="E28" i="3"/>
  <c r="Z6" i="3"/>
  <c r="E315" i="3"/>
  <c r="E587" i="3"/>
  <c r="E228" i="3"/>
  <c r="E124" i="3"/>
  <c r="E503" i="3"/>
  <c r="AR6" i="3"/>
  <c r="E331" i="3"/>
  <c r="E269" i="3"/>
  <c r="E458" i="3"/>
  <c r="E245" i="3"/>
  <c r="E316" i="3"/>
  <c r="E437" i="3"/>
  <c r="S6" i="3"/>
  <c r="E196" i="3"/>
  <c r="E413" i="3"/>
  <c r="E354" i="3"/>
  <c r="E419" i="3"/>
  <c r="E242" i="3"/>
  <c r="E119" i="3"/>
  <c r="X6" i="3"/>
  <c r="E423" i="3"/>
  <c r="E161" i="3"/>
  <c r="E563" i="3"/>
  <c r="E215" i="3"/>
  <c r="M6" i="3"/>
  <c r="E201" i="3"/>
  <c r="AJ6" i="3"/>
  <c r="E273" i="3"/>
  <c r="E345" i="3"/>
  <c r="E368" i="3"/>
  <c r="E106" i="3"/>
  <c r="E560" i="3"/>
  <c r="E568" i="3"/>
  <c r="E301" i="3"/>
  <c r="E185" i="3"/>
  <c r="E508" i="3"/>
  <c r="E505" i="3"/>
  <c r="E111" i="3"/>
  <c r="E85" i="3"/>
  <c r="E559" i="3"/>
  <c r="E236" i="3"/>
  <c r="E159" i="3"/>
  <c r="E291" i="3"/>
  <c r="E529" i="3"/>
  <c r="E542" i="3"/>
  <c r="E386" i="3"/>
  <c r="E235" i="3"/>
  <c r="E509" i="3"/>
  <c r="E526" i="3"/>
  <c r="E377" i="3"/>
  <c r="E70" i="3"/>
  <c r="E557" i="3"/>
  <c r="AO6" i="3"/>
  <c r="E89" i="3"/>
  <c r="E362" i="3"/>
  <c r="E146" i="3"/>
  <c r="E577" i="3"/>
  <c r="E472" i="3"/>
  <c r="E277" i="3"/>
  <c r="E181" i="3"/>
  <c r="E399" i="3"/>
  <c r="E350" i="3"/>
  <c r="E180" i="3"/>
  <c r="E261" i="3"/>
  <c r="E439" i="3"/>
  <c r="E410" i="3"/>
  <c r="E441" i="3"/>
  <c r="E447" i="3"/>
  <c r="E585" i="3"/>
  <c r="E351" i="3"/>
  <c r="E562" i="3"/>
  <c r="E99" i="3"/>
  <c r="E293" i="3"/>
  <c r="E320" i="3"/>
  <c r="E125" i="3"/>
  <c r="AG6" i="3"/>
  <c r="AE6" i="3"/>
  <c r="E353" i="3"/>
  <c r="E338" i="3"/>
  <c r="E53" i="3"/>
  <c r="U6" i="3"/>
  <c r="W6" i="3"/>
  <c r="E307" i="3"/>
  <c r="E462" i="3"/>
  <c r="E323" i="3"/>
  <c r="E222" i="3"/>
  <c r="E540" i="3"/>
  <c r="E360" i="3"/>
  <c r="E322" i="3"/>
  <c r="E109" i="3"/>
  <c r="E211" i="3"/>
  <c r="E489" i="3"/>
  <c r="E400" i="3"/>
  <c r="E327" i="3"/>
  <c r="E227" i="3"/>
  <c r="E214" i="3"/>
  <c r="E454" i="3"/>
  <c r="E465" i="3"/>
  <c r="K6" i="3"/>
  <c r="AK6" i="3"/>
  <c r="E77" i="3"/>
  <c r="E495" i="3"/>
  <c r="E134" i="3"/>
  <c r="E361" i="3"/>
  <c r="E216" i="3"/>
  <c r="E533" i="3"/>
  <c r="E305" i="3"/>
  <c r="E210" i="3"/>
  <c r="E477" i="3"/>
  <c r="E549" i="3"/>
  <c r="E72" i="3"/>
  <c r="E573" i="3"/>
  <c r="E453" i="3"/>
  <c r="E550" i="3"/>
  <c r="E396" i="3"/>
  <c r="E88" i="3"/>
  <c r="E394" i="3"/>
  <c r="E120" i="3"/>
  <c r="E17" i="3"/>
  <c r="E359" i="3"/>
  <c r="E71" i="3"/>
  <c r="E357" i="3"/>
  <c r="E157" i="3"/>
  <c r="E195" i="3"/>
  <c r="E266" i="3"/>
  <c r="E110" i="3"/>
  <c r="E165" i="3"/>
  <c r="E116" i="3"/>
  <c r="E491"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348" i="3"/>
  <c r="E20" i="3"/>
  <c r="E194" i="3"/>
  <c r="E226" i="3"/>
  <c r="E507" i="3"/>
  <c r="E80" i="3"/>
  <c r="E41" i="3"/>
  <c r="E197" i="3"/>
  <c r="E84"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66" i="3"/>
  <c r="E289" i="3"/>
  <c r="E79" i="3"/>
  <c r="E25" i="3"/>
  <c r="E564" i="3"/>
  <c r="E35" i="3"/>
  <c r="E470" i="3"/>
  <c r="E102" i="3"/>
  <c r="E59"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58" i="3"/>
  <c r="E265" i="3"/>
  <c r="E325" i="3"/>
  <c r="E372" i="3"/>
  <c r="E376" i="3"/>
  <c r="E329" i="3"/>
  <c r="E356" i="3"/>
  <c r="E405" i="3"/>
  <c r="E494" i="3"/>
  <c r="E286"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497" i="3"/>
  <c r="E512" i="3"/>
  <c r="E534" i="3"/>
  <c r="E22" i="3"/>
  <c r="E34" i="3"/>
  <c r="E482" i="3"/>
  <c r="E68" i="3"/>
  <c r="E160" i="3"/>
  <c r="E258" i="3"/>
  <c r="E430" i="3"/>
  <c r="E460" i="3"/>
  <c r="E141" i="3"/>
  <c r="E365" i="3"/>
  <c r="E62" i="3"/>
  <c r="E340" i="3"/>
  <c r="E112" i="3"/>
  <c r="E392" i="3"/>
  <c r="E234" i="3"/>
  <c r="E38" i="3"/>
  <c r="E473" i="3"/>
  <c r="L6" i="3"/>
  <c r="E276" i="3"/>
  <c r="E108" i="3"/>
  <c r="E401" i="3"/>
  <c r="AH6" i="3"/>
  <c r="E422" i="3"/>
  <c r="E543" i="3"/>
  <c r="E105" i="3"/>
  <c r="E16" i="3"/>
  <c r="E158" i="3"/>
  <c r="E49" i="3"/>
  <c r="E220" i="3"/>
  <c r="E428" i="3"/>
  <c r="E115" i="3"/>
  <c r="E420" i="3"/>
  <c r="E556" i="3"/>
  <c r="E469" i="3"/>
  <c r="E173" i="3"/>
  <c r="E308" i="3"/>
  <c r="E86" i="3"/>
  <c r="E391" i="3"/>
  <c r="E184" i="3"/>
  <c r="E467" i="3"/>
  <c r="E37" i="3"/>
  <c r="E502"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408" i="3"/>
  <c r="T6" i="3"/>
  <c r="E140" i="3"/>
  <c r="AF6" i="3"/>
  <c r="E174" i="3"/>
  <c r="E283" i="3"/>
  <c r="E371" i="3"/>
  <c r="E349" i="3"/>
  <c r="AP6" i="3"/>
  <c r="E539" i="3"/>
  <c r="E3" i="6"/>
  <c r="F59" i="15"/>
  <c r="E18" i="3"/>
  <c r="AL6" i="3"/>
  <c r="E198" i="3"/>
  <c r="E309" i="3"/>
  <c r="E63" i="3"/>
  <c r="E233" i="3"/>
  <c r="E67" i="3"/>
  <c r="E310" i="3"/>
  <c r="E267" i="3"/>
  <c r="E64" i="3"/>
  <c r="E409" i="3"/>
  <c r="E389" i="3"/>
  <c r="E241" i="3"/>
  <c r="E95" i="3"/>
  <c r="E417" i="3"/>
  <c r="E554" i="3"/>
  <c r="E449" i="3"/>
  <c r="E442" i="3"/>
  <c r="E575" i="3"/>
  <c r="E536" i="3"/>
  <c r="D56" i="71"/>
  <c r="T56" i="71"/>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O14" i="1"/>
  <c r="AY176" i="3"/>
  <c r="AY382" i="3"/>
  <c r="AY289" i="3"/>
  <c r="AY319" i="3"/>
  <c r="AY180" i="3"/>
  <c r="AY310" i="3"/>
  <c r="AY544" i="3"/>
  <c r="AY45" i="3"/>
  <c r="AY154" i="3"/>
  <c r="AY278"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2" i="3"/>
  <c r="AY194" i="3"/>
  <c r="AY251" i="3"/>
  <c r="AY345" i="3"/>
  <c r="AY328" i="3"/>
  <c r="AY484" i="3"/>
  <c r="AY442" i="3"/>
  <c r="AY423" i="3"/>
  <c r="AY499" i="3"/>
  <c r="AY502" i="3"/>
  <c r="BR6" i="3"/>
  <c r="BA6" i="3"/>
  <c r="AY78" i="3"/>
  <c r="AY187" i="3"/>
  <c r="AY127" i="3"/>
  <c r="AY264" i="3"/>
  <c r="AY376" i="3"/>
  <c r="AY314" i="3"/>
  <c r="AY424" i="3"/>
  <c r="AY517" i="3"/>
  <c r="BL6" i="3"/>
  <c r="AY587" i="3"/>
  <c r="AY55" i="3"/>
  <c r="AY70" i="3"/>
  <c r="AY184" i="3"/>
  <c r="AY179" i="3"/>
  <c r="AY148" i="3"/>
  <c r="AY128" i="3"/>
  <c r="AY119" i="3"/>
  <c r="AY277" i="3"/>
  <c r="AY241" i="3"/>
  <c r="AY256" i="3"/>
  <c r="AY224"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4"/>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AE6" i="1"/>
  <c r="M27" i="15"/>
  <c r="M27" i="67"/>
  <c r="F41" i="67"/>
  <c r="F41" i="15"/>
  <c r="D3" i="21" l="1"/>
  <c r="C34" i="34"/>
  <c r="C34" i="86"/>
  <c r="K6" i="1"/>
  <c r="H16" i="1" s="1"/>
  <c r="D3" i="86"/>
  <c r="F69" i="67"/>
  <c r="E50" i="43"/>
  <c r="B48" i="43" s="1"/>
  <c r="C28" i="43" s="1"/>
  <c r="F27" i="6"/>
  <c r="F31" i="6" s="1"/>
  <c r="AP6" i="1"/>
  <c r="C36" i="69" s="1"/>
  <c r="D37" i="11"/>
  <c r="B14" i="74"/>
  <c r="AY51" i="3"/>
  <c r="AY66" i="3"/>
  <c r="AY144" i="3"/>
  <c r="AY59" i="3"/>
  <c r="AY276" i="3"/>
  <c r="AY253" i="3"/>
  <c r="AY34" i="3"/>
  <c r="AY155" i="3"/>
  <c r="AY188" i="3"/>
  <c r="AY111" i="3"/>
  <c r="AY268" i="3"/>
  <c r="AY335" i="3"/>
  <c r="AY196" i="3"/>
  <c r="AY183" i="3"/>
  <c r="AY209" i="3"/>
  <c r="AY470" i="3"/>
  <c r="AY529" i="3"/>
  <c r="AY260" i="3"/>
  <c r="AY358" i="3"/>
  <c r="AY463" i="3"/>
  <c r="AY549" i="3"/>
  <c r="AY541" i="3"/>
  <c r="AY92" i="3"/>
  <c r="AY44" i="3"/>
  <c r="AY201" i="3"/>
  <c r="AY165" i="3"/>
  <c r="AY283"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87" i="3"/>
  <c r="AY23" i="3"/>
  <c r="AY115" i="3"/>
  <c r="AY152" i="3"/>
  <c r="AY58" i="3"/>
  <c r="AY225" i="3"/>
  <c r="AY303" i="3"/>
  <c r="AY160" i="3"/>
  <c r="AY261" i="3"/>
  <c r="AY363" i="3"/>
  <c r="AY460" i="3"/>
  <c r="AY26" i="3"/>
  <c r="AY228" i="3"/>
  <c r="AY327" i="3"/>
  <c r="AY420" i="3"/>
  <c r="BK6" i="3"/>
  <c r="BE6" i="3"/>
  <c r="AY61" i="3"/>
  <c r="AY28" i="3"/>
  <c r="AY185" i="3"/>
  <c r="AY133" i="3"/>
  <c r="AY294"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558" i="3"/>
  <c r="AY456" i="3"/>
  <c r="AY346" i="3"/>
  <c r="AY378" i="3"/>
  <c r="AY249" i="3"/>
  <c r="AY135" i="3"/>
  <c r="AY192" i="3"/>
  <c r="AY63" i="3"/>
  <c r="AY578" i="3"/>
  <c r="AY542" i="3"/>
  <c r="AY524" i="3"/>
  <c r="AY506" i="3"/>
  <c r="AY439" i="3"/>
  <c r="AY458" i="3"/>
  <c r="AY471" i="3"/>
  <c r="AY344"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125" i="3"/>
  <c r="AY190" i="3"/>
  <c r="AY108" i="3"/>
  <c r="AY401" i="3"/>
  <c r="AY372" i="3"/>
  <c r="AY409" i="3"/>
  <c r="AY284" i="3"/>
  <c r="AY50" i="3"/>
  <c r="AY297" i="3"/>
  <c r="AY83" i="3"/>
  <c r="AY213" i="3"/>
  <c r="AY273" i="3"/>
  <c r="AY159" i="3"/>
  <c r="AY27" i="3"/>
  <c r="AY86" i="3"/>
  <c r="AY512" i="3"/>
  <c r="AY405" i="3"/>
  <c r="AY466" i="3"/>
  <c r="AY331" i="3"/>
  <c r="AY221" i="3"/>
  <c r="AY280" i="3"/>
  <c r="AY167" i="3"/>
  <c r="AY35" i="3"/>
  <c r="AY94" i="3"/>
  <c r="AY531" i="3"/>
  <c r="AY509" i="3"/>
  <c r="D3" i="6"/>
  <c r="D21" i="6" s="1"/>
  <c r="AY579" i="3"/>
  <c r="AY410" i="3"/>
  <c r="AY453" i="3"/>
  <c r="AY487" i="3"/>
  <c r="AY313"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118" i="3"/>
  <c r="AY33" i="3"/>
  <c r="AY97" i="3"/>
  <c r="AY433" i="3"/>
  <c r="AY217" i="3"/>
  <c r="AY441" i="3"/>
  <c r="AY204" i="3"/>
  <c r="AY103" i="3"/>
  <c r="AY131" i="3"/>
  <c r="AY38" i="3"/>
  <c r="AY91" i="3"/>
  <c r="AY560" i="3"/>
  <c r="AY437" i="3"/>
  <c r="AY469" i="3"/>
  <c r="AY362" i="3"/>
  <c r="AY232" i="3"/>
  <c r="AY285" i="3"/>
  <c r="AY156" i="3"/>
  <c r="AY46" i="3"/>
  <c r="AY99" i="3"/>
  <c r="AY570" i="3"/>
  <c r="AY565" i="3"/>
  <c r="AY14" i="3"/>
  <c r="AY407" i="3"/>
  <c r="AY426" i="3"/>
  <c r="AY468" i="3"/>
  <c r="AY312" i="3"/>
  <c r="AY329"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8" i="3"/>
  <c r="AY76" i="3"/>
  <c r="AY533" i="3"/>
  <c r="AY465" i="3"/>
  <c r="AY300" i="3"/>
  <c r="AY473" i="3"/>
  <c r="AY74" i="3"/>
  <c r="AY371" i="3"/>
  <c r="AY95"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D3" i="33"/>
  <c r="M18" i="9"/>
  <c r="B118" i="9" s="1"/>
  <c r="C17" i="4"/>
  <c r="B4" i="52" s="1"/>
  <c r="B43" i="72" s="1"/>
  <c r="D14" i="12"/>
  <c r="D17" i="12" s="1"/>
  <c r="C17" i="12" s="1"/>
  <c r="L18" i="9"/>
  <c r="E6" i="6"/>
  <c r="D10" i="69" s="1"/>
  <c r="F25" i="12"/>
  <c r="C26" i="12" s="1"/>
  <c r="D25" i="12" s="1"/>
  <c r="D3" i="37"/>
  <c r="D19" i="11"/>
  <c r="C19" i="11" s="1"/>
  <c r="C20" i="11" s="1"/>
  <c r="H6" i="3"/>
  <c r="AC6" i="3"/>
  <c r="F22" i="68"/>
  <c r="F24" i="15"/>
  <c r="C24" i="15" s="1"/>
  <c r="F22" i="69"/>
  <c r="F41" i="69" s="1"/>
  <c r="F22" i="11"/>
  <c r="F24" i="67"/>
  <c r="C24" i="67" s="1"/>
  <c r="D116" i="43"/>
  <c r="O36" i="43"/>
  <c r="Q36" i="43"/>
  <c r="N36" i="43"/>
  <c r="M36" i="43"/>
  <c r="P36" i="43"/>
  <c r="C17" i="71"/>
  <c r="D18" i="71"/>
  <c r="P37" i="43"/>
  <c r="M37" i="43"/>
  <c r="Q37" i="43"/>
  <c r="O37" i="43"/>
  <c r="N37" i="43"/>
  <c r="F69" i="15"/>
  <c r="S11" i="1"/>
  <c r="E11" i="70" s="1"/>
  <c r="S9" i="1"/>
  <c r="S7" i="1"/>
  <c r="E7" i="70" s="1"/>
  <c r="S10" i="1"/>
  <c r="E10" i="70" s="1"/>
  <c r="S12" i="1"/>
  <c r="D25" i="6"/>
  <c r="D15" i="6"/>
  <c r="D24" i="6"/>
  <c r="D20" i="6"/>
  <c r="M19" i="9"/>
  <c r="C118" i="9" s="1"/>
  <c r="B2" i="74" s="1"/>
  <c r="D26" i="6"/>
  <c r="D8" i="6"/>
  <c r="D14" i="6"/>
  <c r="D9" i="6"/>
  <c r="D10" i="6"/>
  <c r="L19" i="9"/>
  <c r="D29" i="6"/>
  <c r="D19" i="6"/>
  <c r="C18" i="4"/>
  <c r="D23" i="6"/>
  <c r="D5" i="6"/>
  <c r="D12" i="6"/>
  <c r="D11" i="6"/>
  <c r="D13" i="6"/>
  <c r="D28" i="6"/>
  <c r="E61" i="40"/>
  <c r="P14" i="1"/>
  <c r="P16" i="1" s="1"/>
  <c r="C11" i="12" s="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F43" i="67"/>
  <c r="C17" i="15"/>
  <c r="F7" i="67"/>
  <c r="M29" i="67"/>
  <c r="Q16" i="1" l="1"/>
  <c r="Q18" i="1" s="1"/>
  <c r="M6" i="1"/>
  <c r="M16" i="1" s="1"/>
  <c r="C34" i="68" s="1"/>
  <c r="M7" i="67"/>
  <c r="J6" i="67" s="1"/>
  <c r="J5" i="67" s="1"/>
  <c r="J24" i="67" s="1"/>
  <c r="F50" i="67"/>
  <c r="C49" i="67" s="1"/>
  <c r="C48" i="67" s="1"/>
  <c r="C60" i="67" s="1"/>
  <c r="F71" i="67"/>
  <c r="F34" i="34"/>
  <c r="J34" i="34"/>
  <c r="H34" i="34"/>
  <c r="K16" i="1"/>
  <c r="G16" i="1"/>
  <c r="F10" i="40" s="1"/>
  <c r="J34" i="86"/>
  <c r="H34" i="86"/>
  <c r="F34" i="86"/>
  <c r="D22" i="6"/>
  <c r="D10" i="68"/>
  <c r="C10" i="68" s="1"/>
  <c r="B29" i="1" s="1"/>
  <c r="C8" i="68" s="1"/>
  <c r="D20" i="12"/>
  <c r="C20" i="12" s="1"/>
  <c r="D6" i="6"/>
  <c r="D10" i="11"/>
  <c r="C10" i="11" s="1"/>
  <c r="T15" i="43"/>
  <c r="V15" i="43" s="1"/>
  <c r="T7" i="43"/>
  <c r="V7" i="43" s="1"/>
  <c r="T10" i="43"/>
  <c r="V10" i="43" s="1"/>
  <c r="T2" i="43"/>
  <c r="T14" i="43"/>
  <c r="V14" i="43" s="1"/>
  <c r="T13" i="43"/>
  <c r="V13" i="43" s="1"/>
  <c r="T16" i="43"/>
  <c r="V16" i="43" s="1"/>
  <c r="T8" i="43"/>
  <c r="V8" i="43" s="1"/>
  <c r="T6" i="43"/>
  <c r="V6" i="43" s="1"/>
  <c r="C37" i="43"/>
  <c r="C42" i="43"/>
  <c r="T11" i="43"/>
  <c r="V11" i="43" s="1"/>
  <c r="T4" i="43"/>
  <c r="W4" i="43" s="1"/>
  <c r="C41" i="43"/>
  <c r="C38" i="43"/>
  <c r="T9" i="43"/>
  <c r="V9" i="43" s="1"/>
  <c r="T12" i="43"/>
  <c r="V12" i="43" s="1"/>
  <c r="T3" i="43"/>
  <c r="W3" i="43" s="1"/>
  <c r="C40" i="43"/>
  <c r="C39" i="43"/>
  <c r="T5" i="43"/>
  <c r="C33" i="43"/>
  <c r="E33" i="43" s="1"/>
  <c r="B1" i="74"/>
  <c r="F27" i="69"/>
  <c r="F28" i="12"/>
  <c r="C29" i="12" s="1"/>
  <c r="D28" i="12" s="1"/>
  <c r="O6" i="1"/>
  <c r="O16" i="1" s="1"/>
  <c r="E27" i="6"/>
  <c r="D30" i="6"/>
  <c r="E6" i="3"/>
  <c r="C25" i="11"/>
  <c r="C44" i="68"/>
  <c r="D41" i="68" s="1"/>
  <c r="C23" i="11"/>
  <c r="F41" i="68"/>
  <c r="C26" i="68"/>
  <c r="D22" i="68" s="1"/>
  <c r="C44" i="69"/>
  <c r="D41" i="69" s="1"/>
  <c r="C26" i="69"/>
  <c r="D22" i="69" s="1"/>
  <c r="C24" i="11"/>
  <c r="C26" i="11"/>
  <c r="D22" i="11" s="1"/>
  <c r="C44" i="11"/>
  <c r="D41" i="11" s="1"/>
  <c r="C16" i="71"/>
  <c r="D17" i="71"/>
  <c r="C38" i="69"/>
  <c r="C35" i="69"/>
  <c r="E12" i="70"/>
  <c r="F34" i="11"/>
  <c r="F11" i="12"/>
  <c r="E9" i="70"/>
  <c r="AR9" i="1"/>
  <c r="AQ9" i="1"/>
  <c r="T9" i="1"/>
  <c r="AQ11" i="1"/>
  <c r="AR11" i="1"/>
  <c r="T11" i="1"/>
  <c r="AR12" i="1"/>
  <c r="T12" i="1"/>
  <c r="AQ12" i="1"/>
  <c r="AQ10" i="1"/>
  <c r="T10" i="1"/>
  <c r="AR10" i="1"/>
  <c r="AR7" i="1"/>
  <c r="AQ7" i="1"/>
  <c r="T7" i="1"/>
  <c r="D16" i="6"/>
  <c r="C15" i="12"/>
  <c r="C12" i="12"/>
  <c r="D27" i="6"/>
  <c r="D8" i="74"/>
  <c r="D7" i="74"/>
  <c r="C10" i="69"/>
  <c r="C8" i="69" s="1"/>
  <c r="D19" i="69"/>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16" i="67"/>
  <c r="C14" i="15"/>
  <c r="H10" i="39" l="1"/>
  <c r="J10" i="39"/>
  <c r="AC10" i="39" s="1"/>
  <c r="C18" i="12"/>
  <c r="V5" i="43"/>
  <c r="W5" i="43"/>
  <c r="J10" i="40"/>
  <c r="AC10" i="40" s="1"/>
  <c r="F10" i="39"/>
  <c r="S10" i="39" s="1"/>
  <c r="J19" i="67"/>
  <c r="H10" i="40"/>
  <c r="U10" i="40" s="1"/>
  <c r="J18" i="67"/>
  <c r="F27" i="68"/>
  <c r="F45" i="68" s="1"/>
  <c r="F27" i="11"/>
  <c r="C28" i="11" s="1"/>
  <c r="C27" i="11" s="1"/>
  <c r="C66" i="67"/>
  <c r="AB34" i="34"/>
  <c r="T49" i="34" s="1"/>
  <c r="G49" i="34" s="1"/>
  <c r="U34" i="34"/>
  <c r="AC34" i="34"/>
  <c r="V49" i="34" s="1"/>
  <c r="I49" i="34" s="1"/>
  <c r="W34" i="34"/>
  <c r="AA34" i="34"/>
  <c r="R49" i="34" s="1"/>
  <c r="S34" i="34"/>
  <c r="S34" i="86"/>
  <c r="AA34" i="86"/>
  <c r="R49" i="86" s="1"/>
  <c r="AB34" i="86"/>
  <c r="T49" i="86" s="1"/>
  <c r="G49" i="86" s="1"/>
  <c r="U34" i="86"/>
  <c r="AC34" i="86"/>
  <c r="V49" i="86" s="1"/>
  <c r="I49" i="86" s="1"/>
  <c r="W34" i="86"/>
  <c r="D19" i="68"/>
  <c r="D37" i="68" s="1"/>
  <c r="C37" i="68" s="1"/>
  <c r="D31" i="6"/>
  <c r="I6" i="6" s="1"/>
  <c r="G39" i="43"/>
  <c r="I39" i="43" s="1"/>
  <c r="E39" i="43"/>
  <c r="V2" i="43"/>
  <c r="W2" i="43"/>
  <c r="E40" i="43"/>
  <c r="G40" i="43"/>
  <c r="I40" i="43" s="1"/>
  <c r="G38" i="43"/>
  <c r="I38" i="43" s="1"/>
  <c r="E38" i="43"/>
  <c r="E42" i="43"/>
  <c r="G42" i="43"/>
  <c r="I42" i="43" s="1"/>
  <c r="V3" i="43"/>
  <c r="E41" i="43"/>
  <c r="G41" i="43"/>
  <c r="I41" i="43" s="1"/>
  <c r="E37" i="43"/>
  <c r="G37" i="43"/>
  <c r="I37" i="43" s="1"/>
  <c r="V4" i="43"/>
  <c r="S10" i="40"/>
  <c r="AA10" i="40"/>
  <c r="C47" i="69"/>
  <c r="D45" i="69" s="1"/>
  <c r="F45" i="69"/>
  <c r="C29" i="69"/>
  <c r="D27" i="69" s="1"/>
  <c r="U10" i="39"/>
  <c r="AB10" i="39"/>
  <c r="W10" i="39"/>
  <c r="K26" i="6"/>
  <c r="M26" i="6" s="1"/>
  <c r="I26" i="6" s="1"/>
  <c r="K23" i="6"/>
  <c r="M23" i="6" s="1"/>
  <c r="I23" i="6" s="1"/>
  <c r="K19" i="6"/>
  <c r="K21" i="6"/>
  <c r="K22" i="6"/>
  <c r="M22" i="6" s="1"/>
  <c r="I22" i="6" s="1"/>
  <c r="K25" i="6"/>
  <c r="M25" i="6" s="1"/>
  <c r="I25" i="6" s="1"/>
  <c r="E31" i="6"/>
  <c r="K20" i="6"/>
  <c r="M20" i="6" s="1"/>
  <c r="I20" i="6" s="1"/>
  <c r="K24" i="6"/>
  <c r="M24" i="6" s="1"/>
  <c r="I24" i="6" s="1"/>
  <c r="W10" i="40"/>
  <c r="AA10" i="39"/>
  <c r="N16" i="1"/>
  <c r="L16" i="1"/>
  <c r="AB10" i="40"/>
  <c r="R24" i="31"/>
  <c r="C22" i="11"/>
  <c r="C15" i="71"/>
  <c r="T16" i="71"/>
  <c r="D16" i="71"/>
  <c r="U16" i="71" s="1"/>
  <c r="C18" i="15"/>
  <c r="C15" i="15"/>
  <c r="C38" i="68"/>
  <c r="C35" i="68"/>
  <c r="C36" i="11"/>
  <c r="C37" i="11"/>
  <c r="C34" i="11"/>
  <c r="C23" i="12"/>
  <c r="C14" i="12"/>
  <c r="C16" i="12" s="1"/>
  <c r="C19" i="69"/>
  <c r="C24" i="69" s="1"/>
  <c r="D37" i="69"/>
  <c r="C37" i="69" s="1"/>
  <c r="C33" i="69" s="1"/>
  <c r="I69" i="39"/>
  <c r="J67" i="39"/>
  <c r="I63" i="40"/>
  <c r="H65" i="40"/>
  <c r="I58" i="21"/>
  <c r="J58" i="21" s="1"/>
  <c r="K58" i="21" s="1"/>
  <c r="L58" i="21" s="1"/>
  <c r="M58" i="21" s="1"/>
  <c r="N58" i="21" s="1"/>
  <c r="O58" i="21" s="1"/>
  <c r="H7" i="21" s="1"/>
  <c r="J48" i="35"/>
  <c r="C6" i="68" l="1"/>
  <c r="C21" i="12"/>
  <c r="C22" i="12" s="1"/>
  <c r="C47" i="68"/>
  <c r="D45" i="68" s="1"/>
  <c r="C29" i="68"/>
  <c r="D27" i="68" s="1"/>
  <c r="C47" i="11"/>
  <c r="D45" i="11" s="1"/>
  <c r="I5" i="6"/>
  <c r="C29" i="11"/>
  <c r="D27" i="11" s="1"/>
  <c r="R50" i="86"/>
  <c r="E49" i="86"/>
  <c r="I54" i="86" s="1"/>
  <c r="J54" i="86" s="1"/>
  <c r="I53" i="34"/>
  <c r="J53" i="34" s="1"/>
  <c r="I53" i="86"/>
  <c r="J53" i="86" s="1"/>
  <c r="G53" i="86"/>
  <c r="H53" i="86" s="1"/>
  <c r="G54" i="86"/>
  <c r="H54" i="86" s="1"/>
  <c r="R50" i="34"/>
  <c r="E49" i="34"/>
  <c r="I54" i="34" s="1"/>
  <c r="J54" i="34" s="1"/>
  <c r="G53" i="34"/>
  <c r="H53" i="34" s="1"/>
  <c r="G54" i="34"/>
  <c r="H54" i="34" s="1"/>
  <c r="C19" i="68"/>
  <c r="C24" i="68" s="1"/>
  <c r="C34" i="43"/>
  <c r="E34" i="43" s="1"/>
  <c r="C31" i="43" s="1"/>
  <c r="C30" i="43"/>
  <c r="C6" i="69"/>
  <c r="C31" i="11"/>
  <c r="S24" i="6"/>
  <c r="H24" i="6"/>
  <c r="R24" i="6" s="1"/>
  <c r="R11" i="1" s="1"/>
  <c r="S22" i="6"/>
  <c r="H22" i="6"/>
  <c r="R22" i="6" s="1"/>
  <c r="R9" i="1" s="1"/>
  <c r="S26" i="6"/>
  <c r="H26" i="6"/>
  <c r="R26" i="6" s="1"/>
  <c r="S20" i="6"/>
  <c r="H20" i="6"/>
  <c r="R20" i="6" s="1"/>
  <c r="R7" i="1" s="1"/>
  <c r="S8" i="1"/>
  <c r="M21" i="6"/>
  <c r="I21" i="6" s="1"/>
  <c r="S6" i="1"/>
  <c r="K27" i="6"/>
  <c r="M19" i="6"/>
  <c r="F50" i="68"/>
  <c r="F50" i="69"/>
  <c r="F50" i="11"/>
  <c r="S25" i="6"/>
  <c r="H25" i="6"/>
  <c r="R25" i="6" s="1"/>
  <c r="R12" i="1" s="1"/>
  <c r="S23" i="6"/>
  <c r="H23" i="6"/>
  <c r="R23" i="6" s="1"/>
  <c r="R10" i="1" s="1"/>
  <c r="S24" i="31"/>
  <c r="R26" i="31"/>
  <c r="S26" i="31" s="1"/>
  <c r="R25" i="31"/>
  <c r="S25" i="31" s="1"/>
  <c r="C14" i="71"/>
  <c r="D15" i="71"/>
  <c r="F7" i="21"/>
  <c r="S7" i="21" s="1"/>
  <c r="J7" i="21"/>
  <c r="AC7" i="21" s="1"/>
  <c r="V48" i="21" s="1"/>
  <c r="I48" i="21" s="1"/>
  <c r="C19" i="15"/>
  <c r="C20" i="15" s="1"/>
  <c r="C26" i="15" s="1"/>
  <c r="C33" i="68"/>
  <c r="C39" i="68" s="1"/>
  <c r="C30" i="12"/>
  <c r="C28" i="12" s="1"/>
  <c r="C38" i="11"/>
  <c r="C35" i="11"/>
  <c r="C39" i="69"/>
  <c r="C43" i="69" s="1"/>
  <c r="C42" i="69"/>
  <c r="J69" i="39"/>
  <c r="K67" i="39"/>
  <c r="U7" i="21"/>
  <c r="AB7" i="21"/>
  <c r="T48" i="21" s="1"/>
  <c r="G48" i="21" s="1"/>
  <c r="J63" i="40"/>
  <c r="I65" i="40"/>
  <c r="K48" i="35"/>
  <c r="L48" i="35" s="1"/>
  <c r="M48" i="35" s="1"/>
  <c r="N48" i="35" s="1"/>
  <c r="O48" i="35" s="1"/>
  <c r="H7" i="35" s="1"/>
  <c r="C14" i="67"/>
  <c r="C17" i="67"/>
  <c r="E6" i="76"/>
  <c r="C7" i="68" l="1"/>
  <c r="C5" i="68" s="1"/>
  <c r="C27" i="12"/>
  <c r="C25" i="12" s="1"/>
  <c r="C32" i="12" s="1"/>
  <c r="B2" i="12" s="1"/>
  <c r="B3" i="12" s="1"/>
  <c r="E54" i="34"/>
  <c r="F54" i="34" s="1"/>
  <c r="E53" i="34"/>
  <c r="F53" i="34" s="1"/>
  <c r="E54" i="86"/>
  <c r="F54" i="86" s="1"/>
  <c r="E53" i="86"/>
  <c r="F53" i="86" s="1"/>
  <c r="C50" i="34"/>
  <c r="C49" i="34"/>
  <c r="C49" i="86"/>
  <c r="C50" i="86"/>
  <c r="E2" i="76"/>
  <c r="C7" i="69"/>
  <c r="C5" i="69" s="1"/>
  <c r="B2" i="43"/>
  <c r="C18" i="67"/>
  <c r="C15" i="67"/>
  <c r="E6" i="70"/>
  <c r="AQ6" i="1"/>
  <c r="AR6" i="1"/>
  <c r="T6" i="1"/>
  <c r="S16" i="1"/>
  <c r="S21" i="6"/>
  <c r="H21" i="6"/>
  <c r="R21" i="6" s="1"/>
  <c r="R8" i="1" s="1"/>
  <c r="M27" i="6"/>
  <c r="I19" i="6"/>
  <c r="E8" i="70"/>
  <c r="AQ8" i="1"/>
  <c r="T8" i="1"/>
  <c r="AR8" i="1"/>
  <c r="S22" i="31"/>
  <c r="D14" i="71"/>
  <c r="C13" i="71"/>
  <c r="W7" i="21"/>
  <c r="AA7" i="21"/>
  <c r="R48" i="21" s="1"/>
  <c r="R49" i="21" s="1"/>
  <c r="J7" i="35"/>
  <c r="W7" i="35" s="1"/>
  <c r="C33" i="11"/>
  <c r="C39" i="11" s="1"/>
  <c r="C61" i="67"/>
  <c r="C42" i="68"/>
  <c r="C23" i="15"/>
  <c r="C29" i="15" s="1"/>
  <c r="C41" i="69"/>
  <c r="C46" i="69"/>
  <c r="C45" i="69" s="1"/>
  <c r="C46" i="68"/>
  <c r="C45" i="68" s="1"/>
  <c r="C43" i="68"/>
  <c r="L67" i="39"/>
  <c r="K69" i="39"/>
  <c r="J65" i="40"/>
  <c r="K63" i="40"/>
  <c r="I52" i="21"/>
  <c r="J52" i="21" s="1"/>
  <c r="U7" i="35"/>
  <c r="AB7" i="35"/>
  <c r="T38" i="35" s="1"/>
  <c r="G38" i="35" s="1"/>
  <c r="E48" i="21"/>
  <c r="G52" i="21"/>
  <c r="H52" i="21" s="1"/>
  <c r="G53" i="21"/>
  <c r="H53" i="21" s="1"/>
  <c r="F7" i="35"/>
  <c r="B6" i="76"/>
  <c r="C23" i="68" l="1"/>
  <c r="C20" i="68"/>
  <c r="B3" i="86"/>
  <c r="B2" i="86"/>
  <c r="C19" i="67"/>
  <c r="C20" i="67" s="1"/>
  <c r="C26" i="67" s="1"/>
  <c r="B2" i="76"/>
  <c r="B3" i="76" s="1"/>
  <c r="B3" i="43"/>
  <c r="C23" i="69"/>
  <c r="C20" i="69"/>
  <c r="E2" i="70"/>
  <c r="I27" i="6"/>
  <c r="H19" i="6"/>
  <c r="S19" i="6"/>
  <c r="S27" i="6" s="1"/>
  <c r="T16" i="1"/>
  <c r="R22" i="31"/>
  <c r="B20" i="31"/>
  <c r="B21" i="31" s="1"/>
  <c r="AC7" i="35"/>
  <c r="V38" i="35" s="1"/>
  <c r="I38" i="35" s="1"/>
  <c r="G43" i="35" s="1"/>
  <c r="H43" i="35" s="1"/>
  <c r="C12" i="71"/>
  <c r="D13" i="71"/>
  <c r="C36" i="15"/>
  <c r="J59" i="15"/>
  <c r="J60" i="15" s="1"/>
  <c r="Q48" i="15" s="1"/>
  <c r="C46" i="11"/>
  <c r="C45" i="11" s="1"/>
  <c r="C43" i="11"/>
  <c r="C42" i="11"/>
  <c r="J19" i="15"/>
  <c r="C41" i="68"/>
  <c r="C49" i="68" s="1"/>
  <c r="C51" i="68" s="1"/>
  <c r="Q49" i="15"/>
  <c r="C57" i="15"/>
  <c r="J14" i="15"/>
  <c r="J13" i="15" s="1"/>
  <c r="J23" i="15" s="1"/>
  <c r="C13" i="15"/>
  <c r="Q70" i="15" s="1"/>
  <c r="C49" i="69"/>
  <c r="C51" i="69" s="1"/>
  <c r="L69" i="39"/>
  <c r="M67" i="39"/>
  <c r="S7" i="35"/>
  <c r="AA7" i="35"/>
  <c r="R38" i="35" s="1"/>
  <c r="C49" i="21"/>
  <c r="C48" i="21"/>
  <c r="E52" i="21"/>
  <c r="F52" i="21" s="1"/>
  <c r="E53" i="21"/>
  <c r="F53" i="21" s="1"/>
  <c r="G42" i="35"/>
  <c r="H42" i="35" s="1"/>
  <c r="I53" i="21"/>
  <c r="J53" i="21" s="1"/>
  <c r="K65" i="40"/>
  <c r="L63" i="40"/>
  <c r="F6" i="67"/>
  <c r="C28" i="68" l="1"/>
  <c r="C27" i="68" s="1"/>
  <c r="C25" i="68"/>
  <c r="C22" i="68" s="1"/>
  <c r="C6" i="67"/>
  <c r="C28" i="69"/>
  <c r="C27" i="69" s="1"/>
  <c r="C25" i="69"/>
  <c r="C22" i="69" s="1"/>
  <c r="C23" i="67"/>
  <c r="C29" i="67" s="1"/>
  <c r="C57" i="67" s="1"/>
  <c r="C64" i="67" s="1"/>
  <c r="H27" i="6"/>
  <c r="R19" i="6"/>
  <c r="I42" i="35"/>
  <c r="J42" i="35" s="1"/>
  <c r="C11" i="71"/>
  <c r="T12" i="71"/>
  <c r="D12" i="71"/>
  <c r="U12" i="71" s="1"/>
  <c r="C41" i="11"/>
  <c r="C49" i="11" s="1"/>
  <c r="C51" i="11" s="1"/>
  <c r="C52" i="11" s="1"/>
  <c r="B2" i="11" s="1"/>
  <c r="B3" i="11" s="1"/>
  <c r="J22" i="15"/>
  <c r="C61" i="15"/>
  <c r="C64" i="15"/>
  <c r="C37" i="15"/>
  <c r="C56" i="15"/>
  <c r="C65" i="15" s="1"/>
  <c r="C75" i="15"/>
  <c r="M69" i="39"/>
  <c r="N67" i="39"/>
  <c r="R39" i="35"/>
  <c r="E38" i="35"/>
  <c r="M63" i="40"/>
  <c r="L65" i="40"/>
  <c r="D2" i="21"/>
  <c r="C31" i="68" l="1"/>
  <c r="C52" i="68" s="1"/>
  <c r="B2" i="68" s="1"/>
  <c r="B3" i="68" s="1"/>
  <c r="C32" i="67"/>
  <c r="C33" i="67"/>
  <c r="C10" i="67"/>
  <c r="C5" i="67" s="1"/>
  <c r="C38" i="67" s="1"/>
  <c r="J59" i="67"/>
  <c r="J60" i="67" s="1"/>
  <c r="Q48" i="67" s="1"/>
  <c r="C31" i="69"/>
  <c r="C52" i="69" s="1"/>
  <c r="B2" i="69" s="1"/>
  <c r="C13" i="67"/>
  <c r="Q70" i="67" s="1"/>
  <c r="C36" i="67"/>
  <c r="Q49" i="67"/>
  <c r="J14" i="67"/>
  <c r="J13" i="67" s="1"/>
  <c r="J23" i="67" s="1"/>
  <c r="R27" i="6"/>
  <c r="R6" i="1"/>
  <c r="C10" i="71"/>
  <c r="D11" i="71"/>
  <c r="C56" i="11"/>
  <c r="C57" i="11" s="1"/>
  <c r="B2" i="21"/>
  <c r="B3" i="21" s="1"/>
  <c r="O67" i="39"/>
  <c r="O69" i="39" s="1"/>
  <c r="N69" i="39"/>
  <c r="F7" i="39"/>
  <c r="C39" i="35"/>
  <c r="C38" i="35"/>
  <c r="N63" i="40"/>
  <c r="M65" i="40"/>
  <c r="E43" i="35"/>
  <c r="F43" i="35" s="1"/>
  <c r="E42" i="35"/>
  <c r="F42" i="35" s="1"/>
  <c r="I43" i="35"/>
  <c r="J43" i="35" s="1"/>
  <c r="M21" i="67"/>
  <c r="F35" i="67"/>
  <c r="M21" i="15"/>
  <c r="D2" i="33"/>
  <c r="F35" i="15"/>
  <c r="C57" i="68" l="1"/>
  <c r="C56" i="68" s="1"/>
  <c r="F63" i="15"/>
  <c r="C62" i="15" s="1"/>
  <c r="C59" i="15" s="1"/>
  <c r="C58" i="15" s="1"/>
  <c r="C67" i="15" s="1"/>
  <c r="C68" i="15" s="1"/>
  <c r="C71" i="15" s="1"/>
  <c r="C34" i="15"/>
  <c r="C31" i="15" s="1"/>
  <c r="C30" i="15" s="1"/>
  <c r="C39" i="15" s="1"/>
  <c r="Q69" i="15" s="1"/>
  <c r="Q68" i="15" s="1"/>
  <c r="J20" i="15"/>
  <c r="J17" i="15" s="1"/>
  <c r="J16" i="15" s="1"/>
  <c r="J25" i="15" s="1"/>
  <c r="J26" i="15" s="1"/>
  <c r="J29" i="15" s="1"/>
  <c r="C57" i="69"/>
  <c r="C56" i="69" s="1"/>
  <c r="J22" i="67"/>
  <c r="B3" i="69"/>
  <c r="C56" i="67"/>
  <c r="C65" i="67" s="1"/>
  <c r="C75" i="67"/>
  <c r="C37" i="67"/>
  <c r="C34" i="67"/>
  <c r="C31" i="67" s="1"/>
  <c r="F63" i="67"/>
  <c r="C62" i="67" s="1"/>
  <c r="C59" i="67" s="1"/>
  <c r="C58" i="67" s="1"/>
  <c r="C67" i="67" s="1"/>
  <c r="C68" i="67" s="1"/>
  <c r="C71" i="67" s="1"/>
  <c r="J20" i="67"/>
  <c r="J17" i="67" s="1"/>
  <c r="R16" i="1"/>
  <c r="D10" i="71"/>
  <c r="C9" i="71"/>
  <c r="L57" i="67"/>
  <c r="L60" i="67" s="1"/>
  <c r="L46" i="67" s="1"/>
  <c r="B2" i="33"/>
  <c r="B3" i="33" s="1"/>
  <c r="H7" i="39"/>
  <c r="J7" i="39"/>
  <c r="S7" i="39"/>
  <c r="AA7" i="39"/>
  <c r="R47" i="39" s="1"/>
  <c r="O63" i="40"/>
  <c r="O65" i="40" s="1"/>
  <c r="N65" i="40"/>
  <c r="L51" i="15"/>
  <c r="D2" i="34"/>
  <c r="D2" i="36"/>
  <c r="D2" i="37"/>
  <c r="D2" i="35"/>
  <c r="C40" i="15" l="1"/>
  <c r="C46" i="15" s="1"/>
  <c r="C80" i="15"/>
  <c r="C79" i="15" s="1"/>
  <c r="J16" i="67"/>
  <c r="J25" i="67" s="1"/>
  <c r="J26" i="67" s="1"/>
  <c r="J29" i="67" s="1"/>
  <c r="C30" i="67"/>
  <c r="C39" i="67" s="1"/>
  <c r="C40" i="67" s="1"/>
  <c r="C8" i="71"/>
  <c r="D9" i="71"/>
  <c r="Q57" i="67"/>
  <c r="Q66" i="67"/>
  <c r="L57" i="15"/>
  <c r="L60" i="15" s="1"/>
  <c r="Q57" i="15" s="1"/>
  <c r="Q67" i="15"/>
  <c r="B2" i="36"/>
  <c r="B3" i="36" s="1"/>
  <c r="B2" i="35"/>
  <c r="B3" i="35" s="1"/>
  <c r="M3" i="35"/>
  <c r="B2" i="37"/>
  <c r="B3" i="37" s="1"/>
  <c r="B2" i="34"/>
  <c r="W7" i="39"/>
  <c r="AC7" i="39"/>
  <c r="V47" i="39" s="1"/>
  <c r="I47" i="39" s="1"/>
  <c r="E47" i="39"/>
  <c r="R48" i="39"/>
  <c r="U7" i="39"/>
  <c r="AB7" i="39"/>
  <c r="T47" i="39" s="1"/>
  <c r="G47" i="39" s="1"/>
  <c r="J7" i="40"/>
  <c r="F7" i="40"/>
  <c r="H7" i="40"/>
  <c r="AO10" i="1"/>
  <c r="AO8" i="1"/>
  <c r="AO12" i="1"/>
  <c r="L51" i="67"/>
  <c r="AO9" i="1"/>
  <c r="C19" i="9"/>
  <c r="AO11" i="1"/>
  <c r="AO7" i="1"/>
  <c r="Q56" i="15" l="1"/>
  <c r="Q62" i="15" s="1"/>
  <c r="C43" i="15"/>
  <c r="Q47" i="15"/>
  <c r="Q53" i="15" s="1"/>
  <c r="C83" i="15"/>
  <c r="C82" i="15" s="1"/>
  <c r="Q65" i="15"/>
  <c r="C21" i="9"/>
  <c r="C102" i="9"/>
  <c r="B3" i="34"/>
  <c r="C80" i="67"/>
  <c r="C79" i="67" s="1"/>
  <c r="Q69" i="67"/>
  <c r="Q68" i="67" s="1"/>
  <c r="Q67" i="67"/>
  <c r="C45" i="67"/>
  <c r="C46" i="67" s="1"/>
  <c r="Q65" i="67"/>
  <c r="Q75" i="67" s="1"/>
  <c r="Q47" i="67"/>
  <c r="Q53" i="67" s="1"/>
  <c r="Q56" i="67"/>
  <c r="Q62" i="67" s="1"/>
  <c r="C83" i="67"/>
  <c r="C82" i="67" s="1"/>
  <c r="C43" i="67"/>
  <c r="D2" i="67"/>
  <c r="C7" i="71"/>
  <c r="D8" i="71"/>
  <c r="L46" i="15"/>
  <c r="B2" i="15" s="1"/>
  <c r="B3" i="15" s="1"/>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Q75" i="15" l="1"/>
  <c r="C103" i="9"/>
  <c r="B2" i="67"/>
  <c r="B3" i="67"/>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20" i="9"/>
  <c r="AO6" i="1"/>
  <c r="D19" i="9"/>
  <c r="G20" i="9" l="1"/>
  <c r="I21" i="9" s="1"/>
  <c r="D103" i="9"/>
  <c r="G19" i="9"/>
  <c r="D102" i="9"/>
  <c r="D21" i="9"/>
  <c r="D22" i="9"/>
  <c r="B6" i="70"/>
  <c r="B2" i="70" s="1"/>
  <c r="B3" i="70" s="1"/>
  <c r="D6" i="71"/>
  <c r="C5" i="71"/>
  <c r="D5" i="71" s="1"/>
  <c r="M24" i="43" s="1"/>
  <c r="C42" i="40"/>
  <c r="C43" i="40"/>
  <c r="E47" i="40"/>
  <c r="F47" i="40" s="1"/>
  <c r="E46" i="40"/>
  <c r="F46" i="40" s="1"/>
  <c r="I47" i="40"/>
  <c r="J47" i="40" s="1"/>
  <c r="J22" i="9" l="1"/>
  <c r="L22" i="9"/>
  <c r="G21" i="9"/>
  <c r="G14" i="74"/>
  <c r="C32" i="9"/>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l="1"/>
  <c r="F118" i="9" s="1"/>
  <c r="I118" i="9"/>
  <c r="H102" i="9" s="1"/>
  <c r="H118" i="9" l="1"/>
  <c r="C104" i="9" s="1"/>
  <c r="C5" i="74"/>
  <c r="D7" i="53"/>
  <c r="B21" i="72" s="1"/>
  <c r="F4" i="52"/>
  <c r="B51" i="72" s="1"/>
  <c r="F119" i="9"/>
  <c r="F5" i="52" s="1"/>
  <c r="B53" i="72" s="1"/>
  <c r="E118" i="9"/>
  <c r="I4" i="52"/>
  <c r="G4" i="52"/>
  <c r="B52" i="72" s="1"/>
  <c r="C105" i="9"/>
  <c r="H119" i="9" l="1"/>
  <c r="H5" i="52" s="1"/>
  <c r="H101" i="9"/>
  <c r="D5" i="53" s="1"/>
  <c r="H4" i="52"/>
  <c r="D118" i="9"/>
  <c r="E4" i="52"/>
  <c r="B48" i="72" s="1"/>
  <c r="M48" i="9" l="1"/>
  <c r="H107" i="9"/>
  <c r="H108" i="9" s="1"/>
  <c r="D45" i="9"/>
  <c r="D52" i="9" s="1"/>
  <c r="B20" i="72"/>
  <c r="D6" i="53"/>
  <c r="B22" i="72" s="1"/>
  <c r="D4" i="52"/>
  <c r="B47" i="72" s="1"/>
  <c r="D119" i="9"/>
  <c r="D5" i="52" s="1"/>
  <c r="B49" i="72" s="1"/>
  <c r="M49" i="9" l="1"/>
  <c r="L66" i="9" s="1"/>
  <c r="M66" i="9" s="1"/>
  <c r="D13" i="53"/>
  <c r="D14" i="53" s="1"/>
  <c r="B32" i="72" s="1"/>
  <c r="D122" i="9"/>
  <c r="D8" i="52" s="1"/>
  <c r="C93" i="9"/>
  <c r="C86" i="9" s="1"/>
  <c r="D55" i="9"/>
  <c r="M53" i="9" s="1"/>
  <c r="C78" i="9"/>
  <c r="C73" i="9" s="1"/>
  <c r="C72" i="9"/>
  <c r="C85" i="9"/>
  <c r="C64" i="9"/>
  <c r="C63" i="9" s="1"/>
  <c r="C67" i="9" s="1"/>
  <c r="C68" i="9" s="1"/>
  <c r="D54" i="9" s="1"/>
  <c r="D53" i="9"/>
  <c r="C6" i="74"/>
  <c r="D15" i="53"/>
  <c r="B31" i="72" s="1"/>
  <c r="B30" i="72" l="1"/>
  <c r="D123" i="9"/>
  <c r="D9" i="52" s="1"/>
  <c r="C95" i="9"/>
  <c r="C96" i="9" s="1"/>
  <c r="E96" i="9" s="1"/>
  <c r="E97" i="9" s="1"/>
  <c r="L65" i="9"/>
  <c r="M65" i="9" s="1"/>
  <c r="L68" i="9"/>
  <c r="M68" i="9" s="1"/>
  <c r="C79" i="9"/>
  <c r="C80" i="9" s="1"/>
  <c r="E80" i="9" s="1"/>
  <c r="E81" i="9" s="1"/>
  <c r="D59" i="9"/>
  <c r="M55" i="9" s="1"/>
  <c r="L63" i="9"/>
  <c r="M63" i="9" s="1"/>
  <c r="L67" i="9"/>
  <c r="M67" i="9" s="1"/>
  <c r="L64" i="9"/>
  <c r="M64" i="9" s="1"/>
  <c r="M69" i="9" l="1"/>
  <c r="N69" i="9" s="1"/>
  <c r="C97" i="9"/>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<sst xmlns="http://schemas.openxmlformats.org/spreadsheetml/2006/main" count="8912" uniqueCount="3802">
  <si>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</si>
  <si>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</si>
  <si>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</si>
  <si>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</si>
  <si>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</si>
  <si>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</si>
  <si>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</si>
  <si>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</si>
  <si>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</si>
  <si>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</si>
  <si>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</si>
  <si>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</si>
  <si>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</si>
  <si>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</si>
  <si>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</si>
  <si>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</si>
  <si>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</si>
  <si>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</si>
  <si>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</si>
  <si>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</si>
  <si>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</si>
  <si>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</si>
  <si>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</si>
  <si>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</si>
  <si>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</si>
  <si>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</si>
  <si>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</si>
  <si>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</si>
  <si>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</si>
  <si>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</si>
  <si>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</si>
  <si>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</si>
  <si>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</si>
  <si>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</si>
  <si>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</si>
  <si>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</si>
  <si>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</si>
  <si>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</si>
  <si>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</si>
  <si>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</si>
  <si>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</si>
  <si>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</si>
  <si>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</si>
  <si>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</si>
  <si>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</si>
  <si>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</si>
  <si>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</si>
  <si>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</si>
  <si>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</si>
  <si>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</si>
  <si>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</si>
  <si>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</si>
  <si>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</si>
  <si>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</si>
  <si>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</si>
  <si>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</si>
  <si>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</si>
  <si>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</si>
  <si>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</si>
  <si>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</si>
  <si>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</si>
  <si>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</si>
  <si>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</si>
  <si>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</si>
  <si>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</si>
  <si>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</si>
  <si>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</si>
  <si>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</si>
  <si>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</si>
  <si>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</si>
  <si>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</si>
  <si>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</si>
  <si>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</si>
  <si>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</si>
  <si>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</si>
  <si>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</si>
  <si>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</si>
  <si>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</si>
  <si>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</si>
  <si>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</si>
  <si>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</si>
  <si>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</si>
  <si>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</si>
  <si>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</si>
  <si>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</si>
  <si>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</si>
  <si>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</si>
  <si>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</si>
  <si>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</si>
  <si>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</si>
  <si>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</si>
  <si>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</si>
  <si>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</si>
  <si>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</si>
  <si>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</si>
  <si>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</si>
  <si>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</si>
  <si>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</si>
  <si>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</si>
  <si>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</si>
  <si>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</si>
  <si>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</si>
  <si>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</si>
  <si>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</si>
  <si>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</si>
  <si>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</si>
  <si>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</si>
  <si>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</si>
  <si>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</si>
  <si>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</si>
  <si>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</si>
  <si>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</si>
  <si>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</si>
  <si>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</si>
  <si>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</si>
  <si>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</si>
  <si>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</si>
  <si>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</si>
  <si>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</si>
  <si>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</si>
  <si>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</si>
  <si>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</si>
  <si>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</si>
  <si>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</si>
  <si>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</si>
  <si>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</si>
  <si>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</si>
  <si>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</si>
  <si>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</si>
  <si>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</si>
  <si>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</si>
  <si>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</si>
  <si>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</si>
  <si>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</si>
  <si>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</si>
  <si>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</si>
  <si>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</si>
  <si>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</si>
  <si>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</si>
  <si>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</si>
  <si>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</si>
  <si>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</si>
  <si>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</si>
  <si>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</si>
  <si>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</si>
  <si>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</si>
  <si>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</si>
  <si>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</si>
  <si>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</si>
  <si>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</si>
  <si>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</si>
  <si>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</si>
  <si>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</si>
  <si>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</si>
  <si>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</si>
  <si>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</si>
  <si>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</si>
  <si>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</si>
  <si>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</si>
  <si>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</si>
  <si>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</si>
  <si>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</si>
  <si>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</si>
  <si>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</si>
  <si>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</si>
  <si>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</si>
  <si>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</si>
  <si>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</si>
  <si>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</si>
  <si>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</si>
  <si>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</si>
  <si>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</si>
  <si>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</si>
  <si>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</si>
  <si>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</si>
  <si>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</si>
  <si>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</si>
  <si>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</si>
  <si>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</si>
  <si>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</si>
  <si>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</si>
  <si>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</si>
  <si>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</si>
  <si>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</si>
  <si>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</si>
  <si>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</si>
  <si>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</si>
  <si>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</si>
  <si>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</si>
  <si>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</si>
  <si>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</si>
  <si>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</si>
  <si>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</si>
  <si>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</si>
  <si>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</si>
  <si>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</si>
  <si>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</si>
  <si>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</si>
  <si>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</si>
  <si>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</si>
  <si>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</si>
  <si>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</si>
  <si>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</si>
  <si>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</si>
  <si>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</si>
  <si>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</si>
  <si>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</si>
  <si>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</si>
  <si>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</si>
  <si>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</si>
  <si>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</si>
  <si>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</si>
  <si>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</si>
  <si>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</si>
  <si>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</si>
  <si>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</si>
  <si>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</si>
  <si>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</si>
  <si>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</si>
  <si>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</si>
  <si>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</si>
  <si>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</si>
  <si>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</si>
  <si>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</si>
  <si>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</si>
  <si>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</si>
  <si>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</si>
  <si>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</si>
  <si>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</si>
  <si>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</si>
  <si>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</si>
  <si>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</si>
  <si>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</si>
  <si>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</si>
  <si>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</si>
  <si>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</si>
  <si>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</si>
  <si>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</si>
  <si>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</si>
  <si>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</si>
  <si>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</si>
  <si>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</si>
  <si>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</si>
  <si>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</si>
  <si>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</si>
  <si>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</si>
  <si>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</si>
  <si>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</si>
  <si>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</si>
  <si>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</si>
  <si>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</si>
  <si>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</si>
  <si>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</si>
  <si>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</si>
  <si>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</si>
  <si>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</si>
  <si>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</si>
  <si>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</si>
  <si>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</si>
  <si>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</si>
  <si>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</si>
  <si>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</si>
  <si>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</si>
  <si>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</si>
  <si>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</si>
  <si>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</si>
  <si>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</si>
  <si>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</si>
  <si>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</si>
  <si>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</si>
  <si>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</si>
  <si>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</si>
  <si>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</si>
  <si>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</si>
  <si>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</si>
  <si>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</si>
  <si>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</si>
  <si>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</si>
  <si>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</si>
  <si>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</si>
  <si>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</si>
  <si>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</si>
  <si>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</si>
  <si>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</si>
  <si>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</si>
  <si>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</si>
  <si>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</si>
  <si>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</si>
  <si>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</si>
  <si>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</si>
  <si>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</si>
  <si>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</si>
  <si>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</si>
  <si>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</si>
  <si>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</si>
  <si>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</si>
  <si>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</si>
  <si>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</si>
  <si>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</si>
  <si>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</si>
  <si>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</si>
  <si>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</si>
  <si>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</si>
  <si>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</si>
  <si>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</si>
  <si>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</si>
  <si>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</si>
  <si>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</si>
  <si>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</si>
  <si>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</si>
  <si>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</si>
  <si>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</si>
  <si>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</si>
  <si>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</si>
  <si>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</si>
  <si>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</si>
  <si>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</si>
  <si>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</si>
  <si>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</si>
  <si>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</si>
  <si>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</si>
  <si>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</si>
  <si>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</si>
  <si>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</si>
  <si>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</si>
  <si>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</si>
  <si>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</si>
  <si>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</si>
  <si>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</si>
  <si>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</si>
  <si>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</si>
  <si>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</si>
  <si>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</si>
  <si>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</si>
  <si>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</si>
  <si>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</si>
  <si>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</si>
  <si>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</si>
  <si>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</si>
  <si>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</si>
  <si>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</si>
  <si>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</si>
  <si>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</si>
  <si>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</si>
  <si>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</si>
  <si>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</si>
  <si>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</si>
  <si>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</si>
  <si>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</si>
  <si>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</si>
  <si>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</si>
  <si>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</si>
  <si>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</si>
  <si>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</si>
  <si>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</si>
  <si>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</si>
  <si>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</si>
  <si>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</si>
  <si>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</si>
  <si>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</si>
  <si>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</si>
  <si>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</si>
  <si>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</si>
  <si>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</si>
  <si>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</si>
  <si>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</si>
  <si>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</si>
  <si>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</si>
  <si>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</si>
  <si>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</si>
  <si>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</si>
  <si>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</si>
  <si>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</si>
  <si>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</si>
  <si>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</si>
  <si>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</si>
  <si>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</si>
  <si>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</si>
  <si>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</si>
  <si>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</si>
  <si>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</si>
  <si>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</si>
  <si>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</si>
  <si>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</si>
  <si>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</si>
  <si>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</si>
  <si>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</si>
  <si>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</si>
  <si>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</si>
  <si>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</si>
  <si>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</si>
  <si>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</si>
  <si>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</si>
  <si>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</si>
  <si>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</si>
  <si>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</si>
  <si>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</si>
  <si>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</si>
  <si>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</si>
  <si>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</si>
  <si>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</si>
  <si>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</si>
  <si>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</si>
  <si>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</si>
  <si>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</si>
  <si>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</si>
  <si>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</si>
  <si>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</si>
  <si>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</si>
  <si>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</si>
  <si>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</si>
  <si>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</si>
  <si>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</si>
  <si>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</si>
  <si>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</si>
  <si>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</si>
  <si>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</si>
  <si>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</si>
  <si>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</si>
  <si>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</si>
  <si>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</si>
  <si>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</si>
  <si>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</si>
  <si>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</si>
  <si>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</si>
  <si>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</si>
  <si>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</si>
  <si>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</si>
  <si>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</si>
  <si>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</si>
  <si>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</si>
  <si>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</si>
  <si>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</si>
  <si>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</si>
  <si>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</si>
  <si>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</si>
  <si>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</si>
  <si>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</si>
  <si>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</si>
  <si>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</si>
  <si>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</si>
  <si>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</si>
  <si>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</si>
  <si>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</si>
  <si>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</si>
  <si>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</si>
  <si>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</si>
  <si>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</si>
  <si>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</si>
  <si>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</si>
  <si>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</si>
  <si>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</si>
  <si>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</si>
  <si>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</si>
  <si>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</si>
  <si>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</si>
  <si>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</si>
  <si>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</si>
  <si>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</si>
  <si>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</si>
  <si>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</si>
  <si>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</si>
  <si>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</si>
  <si>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</si>
  <si>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</si>
  <si>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</si>
  <si>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</si>
  <si>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</si>
  <si>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</si>
  <si>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</si>
  <si>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</si>
  <si>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</si>
  <si>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</si>
  <si>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</si>
  <si>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</si>
  <si>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</si>
  <si>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</si>
  <si>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</si>
  <si>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</si>
  <si>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</si>
  <si>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</si>
  <si>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</si>
  <si>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</si>
  <si>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</si>
  <si>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</si>
  <si>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</si>
  <si>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</si>
  <si>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</si>
  <si>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</si>
  <si>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</si>
  <si>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</si>
  <si>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</si>
  <si>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</si>
  <si>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</si>
  <si>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</si>
  <si>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</si>
  <si>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</si>
  <si>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</si>
  <si>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</si>
  <si>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</si>
  <si>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</si>
  <si>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</si>
  <si>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</si>
  <si>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</si>
  <si>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</si>
  <si>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</si>
  <si>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</si>
  <si>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</si>
  <si>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</si>
  <si>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</si>
  <si>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</si>
  <si>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</si>
  <si>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</si>
  <si>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</si>
  <si>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</si>
  <si>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</si>
  <si>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</si>
  <si>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</si>
  <si>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</si>
  <si>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</si>
  <si>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</si>
  <si>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</si>
  <si>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</si>
  <si>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</si>
  <si>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</si>
  <si>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</si>
  <si>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</si>
  <si>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</si>
  <si>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</si>
  <si>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</si>
  <si>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</si>
  <si>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</si>
  <si>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</si>
  <si>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</si>
  <si>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</si>
  <si>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</si>
  <si>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</si>
  <si>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</si>
  <si>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</si>
  <si>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</si>
  <si>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</si>
  <si>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</si>
  <si>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</si>
  <si>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</si>
  <si>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</si>
  <si>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</si>
  <si>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</si>
  <si>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</si>
  <si>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</si>
  <si>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</si>
  <si>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</si>
  <si>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</si>
  <si>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</si>
  <si>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</si>
  <si>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</si>
  <si>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</si>
  <si>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</si>
  <si>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</si>
  <si>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</si>
  <si>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</si>
  <si>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</si>
  <si>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</si>
  <si>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</si>
  <si>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</si>
  <si>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</si>
  <si>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</si>
  <si>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</si>
  <si>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</si>
  <si>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</si>
  <si>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</si>
  <si>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</si>
  <si>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</si>
  <si>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</si>
  <si>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</si>
  <si>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</si>
  <si>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</si>
  <si>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</si>
  <si>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</si>
  <si>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</si>
  <si>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</si>
  <si>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</si>
  <si>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</si>
  <si>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</si>
  <si>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</si>
  <si>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</si>
  <si>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</si>
  <si>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</si>
  <si>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</si>
  <si>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</si>
  <si>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</si>
  <si>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</si>
  <si>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</si>
  <si>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</si>
  <si>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</si>
  <si>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</si>
  <si>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</si>
  <si>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</si>
  <si>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</si>
  <si>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</si>
  <si>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</si>
  <si>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</si>
  <si>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</si>
  <si>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</si>
  <si>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</si>
  <si>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</si>
  <si>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</si>
  <si>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</si>
  <si>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</si>
  <si>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</si>
  <si>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</si>
  <si>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</si>
  <si>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</si>
  <si>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</si>
  <si>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</si>
  <si>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</si>
  <si>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</si>
  <si>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</si>
  <si>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</si>
  <si>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</si>
  <si>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</si>
  <si>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</si>
  <si>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</si>
  <si>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</si>
  <si>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</si>
  <si>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</si>
  <si>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</si>
  <si>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</si>
  <si>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</si>
  <si>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</si>
  <si>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</si>
  <si>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</si>
  <si>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</si>
  <si>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</si>
  <si>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</si>
  <si>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</si>
  <si>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</si>
  <si>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</si>
  <si>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</si>
  <si>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</si>
  <si>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</si>
  <si>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</si>
  <si>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</si>
  <si>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</si>
  <si>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</si>
  <si>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</si>
  <si>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</si>
  <si>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</si>
  <si>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</si>
  <si>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</si>
  <si>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</si>
  <si>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</si>
  <si>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</si>
  <si>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</si>
  <si>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</si>
  <si>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</si>
  <si>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</si>
  <si>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</si>
  <si>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</si>
  <si>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</si>
  <si>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</si>
  <si>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</si>
  <si>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</si>
  <si>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</si>
  <si>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</si>
  <si>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</si>
  <si>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</si>
  <si>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</si>
  <si>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</si>
  <si>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</si>
  <si>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</si>
  <si>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</si>
  <si>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</si>
  <si>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</si>
  <si>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</si>
  <si>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</si>
  <si>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</si>
  <si>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</si>
  <si>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</si>
  <si>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</si>
  <si>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</si>
  <si>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</si>
  <si>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</si>
  <si>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</si>
  <si>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</si>
  <si>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</si>
  <si>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</si>
  <si>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</si>
  <si>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</si>
  <si>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</si>
  <si>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</si>
  <si>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</si>
  <si>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</si>
  <si>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</si>
  <si>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</si>
  <si>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</si>
  <si>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</si>
  <si>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</si>
  <si>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</si>
  <si>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</si>
  <si>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</si>
  <si>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</si>
  <si>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</si>
  <si>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</si>
  <si>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</si>
  <si>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</si>
  <si>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</si>
  <si>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</si>
  <si>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</si>
  <si>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</si>
  <si>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</si>
  <si>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</si>
  <si>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</si>
  <si>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</si>
  <si>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</si>
  <si>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</si>
  <si>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</si>
  <si>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</si>
  <si>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</si>
  <si>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</si>
  <si>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</si>
  <si>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</si>
  <si>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</si>
  <si>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</si>
  <si>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</si>
  <si>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</si>
  <si>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</si>
  <si>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</si>
  <si>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</si>
  <si>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</si>
  <si>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</si>
  <si>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</si>
  <si>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</si>
  <si>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</si>
  <si>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</si>
  <si>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</si>
  <si>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</si>
  <si>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</si>
  <si>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</si>
  <si>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</si>
  <si>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</si>
  <si>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</si>
  <si>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</si>
  <si>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</si>
  <si>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</si>
  <si>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</si>
  <si>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</si>
  <si>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</si>
  <si>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</si>
  <si>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</si>
  <si>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</si>
  <si>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</si>
  <si>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</si>
  <si>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</si>
  <si>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</si>
  <si>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</si>
  <si>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</si>
  <si>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</si>
  <si>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</si>
  <si>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</si>
  <si>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</si>
  <si>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</si>
  <si>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</si>
  <si>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</si>
  <si>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</si>
  <si>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</si>
  <si>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</si>
  <si>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</si>
  <si>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</si>
  <si>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</si>
  <si>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</si>
  <si>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</si>
  <si>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</si>
  <si>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</si>
  <si>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</si>
  <si>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</si>
  <si>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</si>
  <si>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</si>
  <si>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</si>
  <si>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</si>
  <si>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</si>
  <si>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</si>
  <si>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</si>
  <si>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</si>
  <si>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</si>
  <si>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</si>
  <si>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</si>
  <si>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</si>
  <si>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</si>
  <si>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</si>
  <si>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</si>
  <si>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</si>
  <si>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</si>
  <si>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</si>
  <si>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</si>
  <si>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</si>
  <si>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</si>
  <si>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</si>
  <si>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</si>
  <si>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</si>
  <si>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</si>
  <si>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</si>
  <si>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</si>
  <si>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</si>
  <si>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</si>
  <si>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</si>
  <si>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</si>
  <si>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</si>
  <si>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</si>
  <si>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</si>
  <si>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</si>
  <si>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</si>
  <si>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</si>
  <si>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</si>
  <si>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</si>
  <si>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</si>
  <si>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</si>
  <si>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</si>
  <si>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</si>
  <si>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</si>
  <si>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</si>
  <si>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</si>
  <si>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</si>
  <si>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</si>
  <si>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</si>
  <si>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</si>
  <si>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</si>
  <si>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</si>
  <si>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</si>
  <si>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</si>
  <si>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</si>
  <si>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</si>
  <si>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</si>
  <si>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</si>
  <si>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</si>
  <si>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</si>
  <si>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</si>
  <si>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</si>
  <si>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</si>
  <si>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</si>
  <si>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</si>
  <si>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</si>
  <si>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</si>
  <si>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</si>
  <si>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</si>
  <si>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</si>
  <si>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</si>
  <si>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</si>
  <si>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</si>
  <si>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</si>
  <si>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</si>
  <si>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</si>
  <si>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</si>
  <si>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</si>
  <si>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</si>
  <si>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</si>
  <si>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</si>
  <si>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</si>
  <si>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</si>
  <si>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</si>
  <si>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</si>
  <si>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</si>
  <si>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</si>
  <si>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</si>
  <si>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</si>
  <si>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</si>
  <si>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</si>
  <si>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</si>
  <si>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</si>
  <si>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</si>
  <si>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</si>
  <si>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</si>
  <si>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</si>
  <si>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</si>
  <si>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</si>
  <si>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</si>
  <si>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</si>
  <si>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</si>
  <si>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</si>
  <si>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</si>
  <si>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</si>
  <si>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</si>
  <si>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</si>
  <si>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</si>
  <si>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</si>
  <si>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</si>
  <si>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</si>
  <si>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</si>
  <si>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</si>
  <si>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</si>
  <si>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</si>
  <si>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</si>
  <si>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</si>
  <si>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</si>
  <si>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</si>
  <si>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</si>
  <si>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</si>
  <si>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</si>
  <si>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</si>
  <si>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</si>
  <si>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</si>
  <si>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</si>
  <si>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</si>
  <si>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</si>
  <si>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</si>
  <si>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</si>
  <si>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</si>
  <si>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</si>
  <si>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</si>
  <si>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</si>
  <si>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</si>
  <si>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</si>
  <si>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</si>
  <si>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</si>
  <si>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</si>
  <si>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</si>
  <si>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</si>
  <si>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</si>
  <si>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</si>
  <si>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</si>
  <si>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</si>
  <si>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</si>
  <si>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</si>
  <si>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</si>
  <si>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</si>
  <si>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</si>
  <si>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</si>
  <si>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</si>
  <si>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</si>
  <si>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</si>
  <si>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</si>
  <si>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</si>
  <si>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</si>
  <si>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</si>
  <si>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</si>
  <si>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</si>
  <si>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</si>
  <si>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</si>
  <si>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</si>
  <si>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</si>
  <si>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</si>
  <si>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</si>
  <si>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</si>
  <si>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</si>
  <si>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</si>
  <si>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</si>
  <si>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</si>
  <si>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</si>
  <si>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</si>
  <si>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</si>
  <si>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</si>
  <si>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</si>
  <si>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</si>
  <si>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</si>
  <si>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</si>
  <si>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</si>
  <si>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</si>
  <si>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</si>
  <si>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</si>
  <si>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</si>
  <si>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</si>
  <si>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</si>
  <si>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</si>
  <si>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</si>
  <si>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</si>
  <si>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</si>
  <si>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</si>
  <si>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</si>
  <si>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</si>
  <si>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</si>
  <si>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</si>
  <si>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</si>
  <si>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</si>
  <si>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</si>
  <si>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</si>
  <si>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</si>
  <si>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</si>
  <si>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</si>
  <si>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</si>
  <si>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</si>
  <si>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</si>
  <si>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</si>
  <si>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</si>
  <si>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</si>
  <si>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</si>
  <si>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</si>
  <si>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</si>
  <si>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</si>
  <si>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</si>
  <si>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</si>
  <si>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</si>
  <si>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</si>
  <si>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</si>
  <si>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</si>
  <si>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</si>
  <si>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</si>
  <si>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</si>
  <si>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</si>
  <si>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</si>
  <si>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</si>
  <si>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</si>
  <si>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</si>
  <si>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</si>
  <si>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</si>
  <si>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</si>
  <si>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</si>
  <si>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</si>
  <si>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</si>
  <si>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</si>
  <si>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</si>
  <si>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</si>
  <si>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</si>
  <si>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</si>
  <si>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</si>
  <si>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</si>
  <si>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</si>
  <si>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</si>
  <si>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</si>
  <si>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</si>
  <si>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</si>
  <si>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</si>
  <si>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</si>
  <si>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</si>
  <si>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</si>
  <si>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</si>
  <si>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</si>
  <si>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</si>
  <si>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</si>
  <si>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</si>
  <si>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</si>
  <si>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</si>
  <si>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</si>
  <si>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</si>
  <si>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</si>
  <si>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</si>
  <si>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</si>
  <si>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</si>
  <si>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</si>
  <si>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</si>
  <si>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</si>
  <si>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</si>
  <si>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</si>
  <si>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</si>
  <si>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</si>
  <si>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</si>
  <si>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</si>
  <si>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</si>
  <si>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</si>
  <si>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</si>
  <si>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</si>
  <si>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</si>
  <si>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</si>
  <si>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</si>
  <si>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</si>
  <si>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</si>
  <si>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</si>
  <si>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</si>
  <si>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</si>
  <si>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</si>
  <si>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</si>
  <si>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</si>
  <si>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</si>
  <si>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</si>
  <si>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</si>
  <si>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</si>
  <si>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</si>
  <si>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</si>
  <si>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</si>
  <si>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</si>
  <si>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</si>
  <si>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</si>
  <si>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</si>
  <si>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</si>
  <si>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</si>
  <si>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</si>
  <si>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</si>
  <si>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</si>
  <si>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</si>
  <si>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</si>
  <si>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</si>
  <si>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</si>
  <si>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</si>
  <si>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</si>
  <si>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</si>
  <si>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</si>
  <si>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</si>
  <si>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</si>
  <si>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</si>
  <si>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</si>
  <si>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</si>
  <si>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</si>
  <si>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</si>
  <si>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</si>
  <si>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</si>
  <si>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</si>
  <si>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</si>
  <si>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</si>
  <si>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</si>
  <si>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</si>
  <si>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</si>
  <si>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</si>
  <si>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</si>
  <si>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</si>
  <si>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</si>
  <si>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</si>
  <si>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</si>
  <si>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</si>
  <si>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</si>
  <si>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</si>
  <si>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</si>
  <si>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</si>
  <si>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</si>
  <si>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</si>
  <si>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</si>
  <si>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</si>
  <si>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</si>
  <si>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</si>
  <si>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</si>
  <si>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</si>
  <si>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</si>
  <si>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</si>
  <si>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</si>
  <si>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</si>
  <si>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</si>
  <si>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</si>
  <si>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</si>
  <si>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</si>
  <si>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</si>
  <si>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</si>
  <si>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</si>
  <si>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</si>
  <si>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</si>
  <si>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</si>
  <si>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</si>
  <si>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</si>
  <si>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</si>
  <si>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</si>
  <si>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</si>
  <si>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</si>
  <si>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</si>
  <si>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</si>
  <si>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</si>
  <si>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</si>
  <si>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</si>
  <si>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</si>
  <si>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</si>
  <si>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</si>
  <si>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</si>
  <si>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</si>
  <si>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</si>
  <si>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</si>
  <si>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</si>
  <si>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</si>
  <si>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</si>
  <si>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</si>
  <si>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</si>
  <si>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</si>
  <si>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</si>
  <si>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</si>
  <si>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</si>
  <si>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</si>
  <si>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</si>
  <si>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</si>
  <si>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</si>
  <si>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</si>
  <si>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</si>
  <si>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</si>
  <si>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</si>
  <si>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</si>
  <si>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</si>
  <si>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</si>
  <si>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</si>
  <si>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</si>
  <si>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</si>
  <si>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</si>
  <si>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</si>
  <si>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</si>
  <si>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</si>
  <si>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</si>
  <si>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</si>
  <si>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</si>
  <si>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</si>
  <si>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</si>
  <si>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</si>
  <si>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</si>
  <si>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</si>
  <si>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</si>
  <si>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</si>
  <si>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</si>
  <si>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</si>
  <si>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</si>
  <si>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</si>
  <si>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</si>
  <si>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</si>
  <si>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</si>
  <si>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</si>
  <si>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</si>
  <si>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</si>
  <si>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</si>
  <si>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</si>
  <si>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</si>
  <si>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</si>
  <si>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</si>
  <si>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</si>
  <si>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</si>
  <si>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</si>
  <si>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</si>
  <si>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</si>
  <si>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</si>
  <si>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</si>
  <si>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</si>
  <si>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</si>
  <si>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</si>
  <si>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</si>
  <si>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</si>
  <si>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</si>
  <si>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</si>
  <si>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</si>
  <si>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</si>
  <si>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</si>
  <si>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</si>
  <si>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</si>
  <si>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</si>
  <si>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</si>
  <si>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</si>
  <si>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</si>
  <si>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</si>
  <si>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</si>
  <si>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</si>
  <si>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</si>
  <si>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</si>
  <si>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</si>
  <si>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</si>
  <si>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</si>
  <si>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</si>
  <si>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</si>
  <si>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</si>
  <si>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</si>
  <si>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</si>
  <si>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</si>
  <si>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</si>
  <si>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</si>
  <si>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</si>
  <si>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</si>
  <si>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</si>
  <si>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</si>
  <si>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</si>
  <si>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</si>
  <si>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</si>
  <si>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</si>
  <si>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</si>
  <si>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</si>
  <si>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</si>
  <si>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</si>
  <si>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</si>
  <si>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</si>
  <si>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</si>
  <si>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</si>
  <si>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</si>
  <si>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</si>
  <si>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</si>
  <si>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</si>
  <si>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</si>
  <si>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</si>
  <si>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</si>
  <si>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</si>
  <si>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</si>
  <si>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</si>
  <si>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</si>
  <si>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</si>
  <si>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</si>
  <si>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</si>
  <si>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</si>
  <si>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</si>
  <si>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</si>
  <si>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</si>
  <si>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</si>
  <si>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</si>
  <si>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</si>
  <si>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</si>
  <si>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</si>
  <si>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</si>
  <si>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</si>
  <si>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</si>
  <si>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</si>
  <si>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</si>
  <si>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</si>
  <si>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</si>
  <si>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</si>
  <si>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</si>
  <si>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</si>
  <si>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</si>
  <si>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</si>
  <si>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</si>
  <si>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</si>
  <si>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</si>
  <si>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</si>
  <si>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</si>
  <si>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</si>
  <si>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</si>
  <si>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</si>
  <si>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</si>
  <si>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</si>
  <si>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</si>
  <si>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</si>
  <si>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</si>
  <si>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</si>
  <si>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</si>
  <si>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</si>
  <si>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</si>
  <si>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</si>
  <si>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</si>
  <si>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</si>
  <si>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</si>
  <si>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</si>
  <si>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</si>
  <si>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</si>
  <si>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</si>
  <si>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</si>
  <si>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</si>
  <si>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</si>
  <si>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</si>
  <si>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</si>
  <si>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</si>
  <si>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</si>
  <si>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</si>
  <si>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</si>
  <si>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</si>
  <si>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</si>
  <si>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</si>
  <si>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</si>
  <si>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</si>
  <si>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</si>
  <si>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</si>
  <si>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</si>
  <si>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</si>
  <si>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</si>
  <si>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</si>
  <si>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</si>
  <si>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</si>
  <si>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</si>
  <si>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</si>
  <si>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</si>
  <si>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</si>
  <si>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</si>
  <si>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</si>
  <si>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</si>
  <si>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</si>
  <si>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</si>
  <si>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</si>
  <si>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</si>
  <si>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</si>
  <si>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</si>
  <si>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</si>
  <si>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</si>
  <si>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</si>
  <si>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</si>
  <si>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</si>
  <si>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</si>
  <si>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</si>
  <si>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</si>
  <si>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</si>
  <si>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</si>
  <si>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</si>
  <si>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</si>
  <si>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</si>
  <si>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</si>
  <si>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</si>
  <si>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</si>
  <si>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</si>
  <si>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</si>
  <si>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</si>
  <si>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</si>
  <si>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</si>
  <si>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</si>
  <si>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</si>
  <si>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</si>
  <si>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</si>
  <si>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</si>
  <si>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</si>
  <si>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</si>
  <si>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</si>
  <si>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</si>
  <si>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</si>
  <si>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</si>
  <si>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</si>
  <si>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</si>
  <si>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</si>
  <si>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</si>
  <si>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</si>
  <si>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</si>
  <si>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</si>
  <si>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</si>
  <si>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</si>
  <si>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</si>
  <si>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</si>
  <si>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</si>
  <si>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</si>
  <si>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</si>
  <si>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</si>
  <si>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</si>
  <si>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</si>
  <si>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</si>
  <si>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</si>
  <si>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</si>
  <si>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</si>
  <si>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</si>
  <si>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</si>
  <si>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</si>
  <si>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</si>
  <si>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</si>
  <si>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</si>
  <si>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</si>
  <si>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</si>
  <si>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</si>
  <si>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</si>
  <si>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</si>
  <si>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</si>
  <si>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</si>
  <si>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</si>
  <si>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</si>
  <si>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</si>
  <si>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</si>
  <si>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</si>
  <si>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</si>
  <si>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</si>
  <si>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</si>
  <si>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</si>
  <si>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</si>
  <si>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</si>
  <si>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</si>
  <si>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</si>
  <si>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</si>
  <si>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</si>
  <si>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</si>
  <si>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</si>
  <si>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</si>
  <si>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</si>
  <si>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</si>
  <si>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</si>
  <si>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</si>
  <si>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</si>
  <si>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</si>
  <si>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</si>
  <si>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</si>
  <si>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</si>
  <si>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</si>
  <si>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</si>
  <si>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</si>
  <si>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</si>
  <si>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</si>
  <si>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</si>
  <si>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</si>
  <si>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</si>
  <si>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</si>
  <si>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</si>
  <si>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</si>
  <si>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</si>
  <si>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</si>
  <si>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</si>
  <si>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</si>
  <si>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</si>
  <si>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</si>
  <si>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</si>
  <si>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</si>
  <si>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</si>
  <si>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</si>
  <si>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</si>
  <si>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</si>
  <si>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</si>
  <si>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</si>
  <si>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</si>
  <si>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</si>
  <si>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</si>
  <si>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</si>
  <si>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</si>
  <si>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</si>
  <si>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</si>
  <si>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</si>
  <si>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</si>
  <si>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</si>
  <si>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</si>
  <si>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</si>
  <si>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</si>
  <si>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</si>
  <si>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</si>
  <si>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</si>
  <si>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</si>
  <si>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</si>
  <si>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</si>
  <si>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</si>
  <si>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</si>
  <si>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</si>
  <si>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</si>
  <si>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</si>
  <si>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</si>
  <si>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</si>
  <si>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</si>
  <si>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</si>
  <si>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</si>
  <si>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</si>
  <si>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</si>
  <si>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</si>
  <si>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</si>
  <si>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</si>
  <si>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</si>
  <si>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</si>
  <si>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</si>
  <si>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</si>
  <si>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</si>
  <si>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</si>
  <si>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</si>
  <si>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</si>
  <si>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</si>
  <si>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</si>
  <si>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</si>
  <si>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</si>
  <si>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</si>
  <si>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</si>
  <si>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</si>
  <si>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</si>
  <si>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</si>
  <si>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</si>
  <si>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</si>
  <si>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</si>
  <si>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</si>
  <si>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</si>
  <si>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</si>
  <si>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</si>
  <si>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</si>
  <si>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</si>
  <si>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</si>
  <si>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</si>
  <si>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</si>
  <si>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</si>
  <si>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</si>
  <si>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</si>
  <si>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</si>
  <si>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</si>
  <si>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</si>
  <si>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</si>
  <si>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</si>
  <si>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</si>
  <si>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</si>
  <si>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</si>
  <si>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</si>
  <si>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</si>
  <si>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</si>
  <si>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</si>
  <si>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</si>
  <si>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</si>
  <si>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</si>
  <si>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</si>
  <si>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</si>
  <si>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</si>
  <si>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</si>
  <si>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</si>
  <si>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</si>
  <si>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</si>
  <si>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</si>
  <si>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</si>
  <si>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</si>
  <si>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</si>
  <si>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</si>
  <si>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</si>
  <si>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</si>
  <si>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</si>
  <si>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</si>
  <si>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</si>
  <si>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</si>
  <si>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</si>
  <si>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</si>
  <si>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</si>
  <si>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</si>
  <si>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</si>
  <si>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</si>
  <si>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</si>
  <si>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</si>
  <si>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</si>
  <si>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</si>
  <si>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</si>
  <si>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</si>
  <si>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</si>
  <si>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</si>
  <si>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</si>
  <si>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</si>
  <si>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</si>
  <si>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</si>
  <si>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</si>
  <si>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</si>
  <si>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</si>
  <si>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</si>
  <si>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</si>
  <si>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</si>
  <si>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</si>
  <si>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</si>
  <si>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</si>
  <si>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</si>
  <si>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</si>
  <si>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</si>
  <si>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</si>
  <si>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</si>
  <si>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</si>
  <si>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</si>
  <si>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</si>
  <si>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</si>
  <si>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</si>
  <si>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</si>
  <si>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</si>
  <si>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</si>
  <si>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</si>
  <si>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</si>
  <si>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</si>
  <si>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</si>
  <si>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</si>
  <si>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</si>
  <si>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</si>
  <si>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</si>
  <si>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</si>
  <si>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</si>
  <si>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</si>
  <si>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</si>
  <si>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</si>
  <si>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</si>
  <si>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</si>
  <si>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</si>
  <si>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</si>
  <si>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</si>
  <si>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</si>
  <si>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</si>
  <si>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</si>
  <si>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</si>
  <si>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</si>
  <si>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</si>
  <si>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</si>
  <si>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</si>
  <si>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</si>
  <si>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</si>
  <si>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</si>
  <si>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</si>
  <si>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</si>
  <si>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</si>
  <si>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</si>
  <si>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</si>
  <si>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</si>
  <si>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</si>
  <si>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</si>
  <si>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</si>
  <si>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</si>
  <si>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</si>
  <si>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</si>
  <si>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</si>
  <si>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</si>
  <si>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</si>
  <si>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</si>
  <si>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</si>
  <si>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</si>
  <si>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</si>
  <si>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</si>
  <si>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</si>
  <si>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</si>
  <si>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</si>
  <si>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</si>
  <si>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</si>
  <si>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</si>
  <si>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</si>
  <si>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</si>
  <si>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</si>
  <si>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</si>
  <si>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</si>
  <si>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</si>
  <si>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</si>
  <si>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</si>
  <si>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</si>
  <si>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</si>
  <si>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</si>
  <si>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</si>
  <si>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</si>
  <si>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</si>
  <si>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</si>
  <si>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</si>
  <si>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</si>
  <si>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</si>
  <si>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</si>
  <si>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</si>
  <si>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</si>
  <si>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</si>
  <si>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</si>
  <si>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</si>
  <si>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</si>
  <si>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</si>
  <si>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</si>
  <si>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</si>
  <si>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</si>
  <si>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</si>
  <si>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</si>
  <si>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</si>
  <si>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</si>
  <si>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</si>
  <si>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</si>
  <si>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</si>
  <si>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</si>
  <si>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</si>
  <si>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</si>
  <si>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</si>
  <si>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</si>
  <si>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</si>
  <si>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</si>
  <si>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</si>
  <si>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</si>
  <si>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</si>
  <si>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</si>
  <si>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</si>
  <si>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</si>
  <si>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</si>
  <si>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</si>
  <si>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</si>
  <si>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</si>
  <si>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</si>
  <si>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</si>
  <si>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</si>
  <si>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</si>
  <si>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</si>
  <si>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</si>
  <si>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</si>
  <si>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</si>
  <si>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</si>
  <si>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</si>
  <si>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</si>
  <si>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</si>
  <si>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</si>
  <si>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</si>
  <si>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</si>
  <si>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</si>
  <si>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</si>
  <si>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</si>
  <si>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</si>
  <si>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</si>
  <si>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</si>
  <si>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</si>
  <si>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</si>
  <si>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</si>
  <si>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</si>
  <si>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</si>
  <si>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</si>
  <si>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</si>
  <si>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</si>
  <si>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</si>
  <si>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</si>
  <si>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</si>
  <si>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</si>
  <si>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</si>
  <si>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</si>
  <si>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</si>
  <si>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</si>
  <si>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</si>
  <si>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</si>
  <si>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</si>
  <si>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</si>
  <si>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</si>
  <si>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</si>
  <si>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</si>
  <si>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</si>
  <si>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</si>
  <si>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</si>
  <si>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</si>
  <si>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</si>
  <si>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</si>
  <si>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</si>
  <si>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</si>
  <si>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</si>
  <si>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</si>
  <si>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</si>
  <si>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</si>
  <si>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</si>
  <si>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</si>
  <si>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</si>
  <si>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</si>
  <si>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</si>
  <si>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</si>
  <si>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</si>
  <si>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</si>
  <si>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</si>
  <si>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</si>
  <si>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</si>
  <si>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</si>
  <si>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</si>
  <si>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</si>
  <si>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</si>
  <si>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</si>
  <si>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</si>
  <si>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</si>
  <si>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</si>
  <si>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</si>
  <si>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</si>
  <si>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</si>
  <si>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</si>
  <si>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</si>
  <si>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</si>
  <si>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</si>
  <si>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</si>
  <si>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</si>
  <si>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</si>
  <si>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</si>
  <si>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</si>
  <si>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</si>
  <si>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</si>
  <si>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</si>
  <si>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</si>
  <si>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</si>
  <si>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</si>
  <si>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</si>
  <si>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</si>
  <si>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</si>
  <si>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</si>
  <si>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</si>
  <si>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</si>
  <si>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</si>
  <si>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</si>
  <si>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</si>
  <si>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</si>
  <si>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</si>
  <si>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</si>
  <si>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</si>
  <si>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</si>
  <si>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</si>
  <si>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</si>
  <si>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</si>
  <si>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</si>
  <si>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</si>
  <si>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</si>
  <si>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</si>
  <si>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</si>
  <si>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</si>
  <si>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</si>
  <si>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</si>
  <si>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</si>
  <si>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</si>
  <si>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</si>
  <si>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</si>
  <si>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</si>
  <si>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</si>
  <si>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</si>
  <si>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</si>
  <si>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</si>
  <si>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</si>
  <si>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</si>
  <si>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</si>
  <si>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</si>
  <si>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</si>
  <si>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</si>
  <si>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</si>
  <si>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</si>
  <si>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</si>
  <si>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</si>
  <si>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</si>
  <si>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</si>
  <si>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</si>
  <si>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</si>
  <si>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</si>
  <si>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</si>
  <si>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</si>
  <si>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</si>
  <si>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</si>
  <si>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</si>
  <si>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</si>
  <si>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</si>
  <si>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</si>
  <si>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</si>
  <si>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</si>
  <si>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</si>
  <si>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</si>
  <si>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</si>
  <si>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</si>
  <si>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</si>
  <si>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</si>
  <si>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</si>
  <si>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</si>
  <si>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</si>
  <si>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</si>
  <si>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</si>
  <si>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</si>
  <si>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</si>
  <si>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</si>
  <si>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</si>
  <si>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</si>
  <si>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</si>
  <si>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</si>
  <si>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</si>
  <si>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</si>
  <si>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</si>
  <si>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</si>
  <si>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</si>
  <si>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</si>
  <si>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</si>
  <si>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</si>
  <si>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</si>
  <si>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</si>
  <si>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</si>
  <si>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</si>
  <si>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</si>
  <si>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</si>
  <si>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</si>
  <si>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</si>
  <si>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</si>
  <si>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</si>
  <si>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</si>
  <si>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</si>
  <si>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</si>
  <si>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</si>
  <si>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</si>
  <si>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</si>
  <si>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</si>
  <si>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</si>
  <si>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</si>
  <si>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</si>
  <si>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</si>
  <si>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</si>
  <si>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</si>
  <si>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</si>
  <si>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</si>
  <si>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</si>
  <si>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</si>
  <si>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</si>
  <si>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</si>
  <si>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</si>
  <si>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</si>
  <si>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</si>
  <si>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</si>
  <si>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</si>
  <si>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</si>
  <si>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</si>
  <si>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</si>
  <si>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</si>
  <si>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</si>
  <si>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</si>
  <si>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</si>
  <si>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</si>
  <si>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</si>
  <si>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</si>
  <si>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</si>
  <si>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</si>
  <si>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</si>
  <si>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</si>
  <si>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</si>
  <si>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</si>
  <si>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</si>
  <si>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</si>
  <si>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</si>
  <si>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</si>
  <si>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</si>
  <si>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</si>
  <si>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</si>
  <si>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</si>
  <si>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</si>
  <si>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</si>
  <si>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</si>
  <si>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</si>
  <si>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</si>
  <si>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</si>
  <si>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</si>
  <si>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</si>
  <si>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</si>
  <si>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</si>
  <si>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</si>
  <si>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</si>
  <si>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</si>
  <si>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</si>
  <si>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</si>
  <si>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</si>
  <si>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</si>
  <si>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</si>
  <si>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</si>
  <si>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</si>
  <si>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</si>
  <si>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</si>
  <si>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</si>
  <si>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</si>
  <si>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</si>
  <si>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</si>
  <si>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</si>
  <si>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</si>
  <si>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</si>
  <si>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</si>
  <si>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</si>
  <si>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</si>
  <si>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</si>
  <si>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</si>
  <si>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</si>
  <si>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</si>
  <si>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</si>
  <si>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</si>
  <si>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</si>
  <si>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</si>
  <si>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</si>
  <si>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</si>
  <si>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</si>
  <si>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</si>
  <si>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</si>
  <si>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</si>
  <si>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</si>
  <si>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</si>
  <si>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</si>
  <si>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</si>
  <si>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</si>
  <si>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</si>
  <si>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</si>
  <si>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</si>
  <si>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</si>
  <si>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</si>
  <si>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</si>
  <si>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</si>
  <si>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</si>
  <si>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</si>
  <si>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</si>
  <si>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</si>
  <si>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</si>
  <si>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</si>
  <si>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</si>
  <si>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</si>
  <si>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</si>
  <si>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</si>
  <si>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</si>
  <si>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</si>
  <si>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</si>
  <si>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</si>
  <si>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</si>
  <si>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</si>
  <si>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</si>
  <si>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</si>
  <si>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</si>
  <si>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</si>
  <si>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</si>
  <si>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</si>
  <si>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</si>
  <si>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</si>
  <si>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</si>
  <si>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</si>
  <si>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</si>
  <si>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</si>
  <si>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</si>
  <si>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</si>
  <si>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</si>
  <si>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</si>
  <si>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</si>
  <si>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</si>
  <si>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</si>
  <si>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</si>
  <si>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</si>
  <si>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</si>
  <si>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</si>
  <si>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</si>
  <si>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</si>
  <si>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</si>
  <si>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</si>
  <si>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</si>
  <si>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</si>
  <si>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</si>
  <si>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</si>
  <si>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</si>
  <si>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</si>
  <si>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</si>
  <si>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</si>
  <si>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</si>
  <si>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</si>
  <si>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</si>
  <si>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</si>
  <si>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</si>
  <si>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</si>
  <si>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</si>
  <si>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</si>
  <si>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</si>
  <si>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</si>
  <si>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</si>
  <si>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</si>
  <si>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</si>
  <si>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</si>
  <si>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</si>
  <si>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</si>
  <si>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</si>
  <si>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</si>
  <si>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</si>
  <si>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</si>
  <si>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</si>
  <si>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</si>
  <si>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</si>
  <si>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</si>
  <si>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</si>
  <si>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</si>
  <si>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</si>
  <si>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</si>
  <si>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</si>
  <si>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</si>
  <si>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</si>
  <si>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</si>
  <si>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</si>
  <si>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</si>
  <si>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</si>
  <si>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</si>
  <si>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</si>
  <si>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</si>
  <si>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</si>
  <si>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</si>
  <si>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</si>
  <si>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</si>
  <si>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</si>
  <si>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</si>
  <si>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</si>
  <si>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</si>
  <si>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</si>
  <si>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</si>
  <si>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</si>
  <si>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</si>
  <si>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</si>
  <si>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</si>
  <si>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</si>
  <si>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</si>
  <si>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</si>
  <si>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</si>
  <si>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</si>
  <si>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</si>
  <si>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</si>
  <si>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</si>
  <si>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</si>
  <si>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</si>
  <si>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</si>
  <si>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</si>
  <si>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</si>
  <si>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</si>
  <si>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</si>
  <si>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</si>
  <si>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</si>
  <si>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</si>
  <si>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</si>
  <si>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</si>
  <si>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</si>
  <si>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</si>
  <si>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</si>
  <si>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</si>
  <si>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</si>
  <si>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</si>
  <si>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</si>
  <si>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</si>
  <si>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</si>
  <si>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</si>
  <si>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</si>
  <si>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</si>
  <si>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</si>
  <si>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</si>
  <si>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</si>
  <si>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</si>
  <si>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</si>
  <si>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</si>
  <si>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</si>
  <si>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</si>
  <si>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</si>
  <si>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</si>
  <si>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</si>
  <si>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</si>
  <si>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</si>
  <si>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</si>
  <si>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</si>
  <si>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</si>
  <si>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</si>
  <si>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</si>
  <si>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</si>
  <si>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</si>
  <si>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</si>
  <si>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</si>
  <si>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</si>
  <si>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</si>
  <si>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</si>
  <si>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</si>
  <si>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</si>
  <si>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</si>
  <si>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</si>
  <si>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</si>
  <si>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</si>
  <si>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</si>
  <si>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</si>
  <si>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</si>
  <si>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</si>
  <si>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</si>
  <si>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</si>
  <si>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</si>
  <si>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</si>
  <si>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</si>
  <si>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</si>
  <si>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</si>
  <si>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</si>
  <si>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</si>
  <si>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</si>
  <si>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</si>
  <si>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</si>
  <si>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</si>
  <si>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</si>
  <si>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</si>
  <si>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</si>
  <si>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</si>
  <si>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</si>
  <si>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</si>
  <si>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</si>
  <si>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</si>
  <si>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</si>
  <si>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</si>
  <si>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</si>
  <si>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</si>
  <si>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</si>
  <si>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</si>
  <si>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</si>
  <si>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</si>
  <si>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</si>
  <si>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</si>
  <si>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</si>
  <si>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</si>
  <si>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</si>
  <si>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</si>
  <si>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</si>
  <si>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</si>
  <si>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</si>
  <si>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</si>
  <si>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</si>
  <si>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</si>
  <si>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</si>
  <si>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</si>
  <si>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</si>
  <si>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</si>
  <si>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</si>
  <si>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</si>
  <si>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</si>
  <si>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</si>
  <si>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</si>
  <si>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</si>
  <si>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</si>
  <si>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</si>
  <si>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</si>
  <si>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</si>
  <si>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</si>
  <si>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</si>
  <si>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</si>
  <si>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</si>
  <si>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</si>
  <si>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</si>
  <si>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</si>
  <si>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</si>
  <si>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</si>
  <si>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</si>
  <si>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</si>
  <si>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</si>
  <si>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</si>
  <si>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</si>
  <si>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</si>
  <si>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</si>
  <si>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</si>
  <si>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</si>
  <si>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</si>
  <si>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</si>
  <si>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</si>
  <si>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</si>
  <si>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</si>
  <si>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</si>
  <si>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</si>
  <si>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</si>
  <si>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</si>
  <si>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</si>
  <si>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</si>
  <si>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</si>
  <si>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</si>
  <si>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</si>
  <si>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</si>
  <si>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</si>
  <si>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</si>
  <si>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</si>
  <si>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</si>
  <si>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</si>
  <si>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</si>
  <si>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</si>
  <si>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</si>
  <si>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</si>
  <si>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</si>
  <si>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</si>
  <si>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</si>
  <si>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</si>
  <si>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</si>
  <si>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</si>
  <si>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</si>
  <si>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</si>
  <si>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</si>
  <si>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</si>
  <si>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</si>
  <si>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</si>
  <si>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</si>
  <si>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</si>
  <si>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</si>
  <si>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</si>
  <si>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</si>
  <si>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</si>
  <si>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</si>
  <si>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</si>
  <si>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</si>
  <si>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</si>
  <si>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</si>
  <si>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</si>
  <si>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</si>
  <si>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</si>
  <si>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</si>
  <si>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</si>
  <si>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</si>
  <si>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</si>
  <si>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</si>
  <si>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</si>
  <si>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</si>
  <si>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</si>
  <si>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</si>
  <si>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</si>
  <si>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</si>
  <si>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</si>
  <si>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</si>
  <si>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</si>
  <si>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</si>
  <si>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</si>
  <si>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</si>
  <si>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</si>
  <si>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</si>
  <si>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</si>
  <si>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</si>
  <si>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</si>
  <si>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</si>
  <si>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</si>
  <si>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</si>
  <si>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</si>
  <si>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</si>
  <si>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</si>
  <si>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</si>
  <si>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</si>
  <si>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</si>
  <si>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</si>
  <si>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</si>
  <si>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</si>
  <si>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</si>
  <si>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</si>
  <si>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</si>
  <si>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</si>
  <si>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</si>
  <si>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</si>
  <si>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</si>
  <si>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</si>
  <si>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</si>
  <si>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</si>
  <si>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</si>
  <si>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</si>
  <si>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</si>
  <si>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</si>
  <si>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</si>
  <si>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</si>
  <si>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</si>
  <si>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</si>
  <si>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</si>
  <si>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</si>
  <si>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</si>
  <si>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</si>
  <si>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</si>
  <si>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</si>
  <si>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</si>
  <si>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</si>
  <si>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</si>
  <si>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</si>
  <si>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</si>
  <si>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</si>
  <si>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</si>
  <si>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</si>
  <si>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</si>
  <si>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</si>
  <si>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</si>
  <si>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</si>
  <si>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</si>
  <si>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</si>
  <si>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</si>
  <si>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</si>
  <si>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</si>
  <si>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</si>
  <si>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</si>
  <si>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</si>
  <si>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</si>
  <si>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</si>
  <si>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</si>
  <si>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</si>
  <si>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</si>
  <si>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</si>
  <si>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</si>
  <si>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</si>
  <si>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</si>
  <si>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</si>
  <si>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</si>
  <si>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</si>
  <si>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</si>
  <si>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</si>
  <si>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</si>
  <si>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</si>
  <si>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</si>
  <si>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</si>
  <si>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</si>
  <si>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</si>
  <si>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</si>
  <si>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</si>
  <si>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</si>
  <si>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</si>
  <si>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</si>
  <si>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</si>
  <si>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</si>
  <si>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</si>
  <si>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</si>
  <si>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</si>
  <si>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</si>
  <si>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</si>
  <si>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</si>
  <si>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</si>
  <si>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</si>
  <si>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</si>
  <si>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</si>
  <si>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</si>
  <si>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</si>
  <si>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</si>
  <si>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</si>
  <si>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</si>
  <si>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</si>
  <si>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</si>
  <si>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</si>
  <si>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</si>
  <si>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</si>
  <si>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</si>
  <si>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</si>
  <si>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</si>
  <si>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</si>
  <si>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</si>
  <si>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</si>
  <si>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</si>
  <si>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</si>
  <si>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</si>
  <si>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</si>
  <si>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</si>
  <si>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</si>
  <si>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</si>
  <si>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</si>
  <si>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</si>
  <si>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</si>
  <si>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</si>
  <si>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</si>
  <si>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</si>
  <si>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</si>
  <si>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</si>
  <si>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</si>
  <si>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</si>
  <si>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</si>
  <si>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</si>
  <si>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</si>
  <si>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</si>
  <si>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</si>
  <si>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</si>
  <si>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</si>
  <si>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</si>
  <si>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</si>
  <si>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</si>
  <si>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</si>
  <si>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</si>
  <si>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</si>
  <si>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</si>
  <si>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</si>
  <si>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</si>
  <si>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</si>
  <si>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</si>
  <si>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</si>
  <si>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</si>
  <si>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</si>
  <si>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</si>
  <si>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</si>
  <si>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</si>
  <si>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</si>
  <si>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</si>
  <si>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</si>
  <si>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</si>
  <si>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</si>
  <si>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</si>
  <si>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</si>
  <si>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</si>
  <si>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</si>
  <si>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</si>
  <si>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</si>
  <si>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</si>
  <si>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</si>
  <si>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</si>
  <si>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</si>
  <si>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</si>
  <si>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</si>
  <si>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</si>
  <si>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</si>
  <si>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</si>
  <si>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</si>
  <si>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</si>
  <si>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</si>
  <si>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</si>
  <si>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</si>
  <si>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</si>
  <si>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</si>
  <si>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</si>
  <si>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</si>
  <si>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</si>
  <si>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</si>
  <si>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</si>
  <si>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</si>
  <si>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</si>
  <si>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</si>
  <si>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</si>
  <si>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</si>
  <si>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</si>
  <si>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</si>
  <si>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</si>
  <si>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</si>
  <si>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</si>
  <si>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</si>
  <si>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</si>
  <si>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</si>
  <si>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</si>
  <si>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</si>
  <si>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</si>
  <si>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</si>
  <si>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</si>
  <si>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</si>
  <si>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</si>
  <si>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</si>
  <si>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</si>
  <si>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</si>
  <si>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</si>
  <si>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</si>
  <si>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</si>
  <si>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</si>
  <si>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</si>
  <si>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</si>
  <si>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</si>
  <si>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</si>
  <si>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</si>
  <si>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</si>
  <si>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</si>
  <si>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</si>
  <si>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</si>
  <si>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</si>
  <si>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</si>
  <si>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</si>
  <si>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</si>
  <si>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</si>
  <si>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</si>
  <si>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</si>
  <si>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</si>
  <si>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</si>
  <si>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</si>
  <si>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</si>
  <si>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</si>
  <si>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</si>
  <si>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</si>
  <si>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</si>
  <si>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</si>
  <si>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</si>
  <si>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</si>
  <si>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</si>
  <si>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</si>
  <si>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</si>
  <si>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</si>
  <si>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</si>
  <si>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</si>
  <si>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</si>
  <si>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</si>
  <si>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</si>
  <si>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</si>
  <si>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</si>
  <si>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</si>
  <si>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</si>
  <si>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</si>
  <si>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</si>
  <si>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</si>
  <si>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</si>
  <si>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</si>
  <si>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</si>
  <si>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</si>
  <si>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</si>
  <si>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</si>
  <si>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</si>
  <si>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</si>
  <si>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</si>
  <si>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</si>
  <si>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</si>
  <si>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</si>
  <si>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</si>
  <si>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</si>
  <si>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</si>
  <si>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</si>
  <si>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</si>
  <si>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</si>
  <si>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</si>
  <si>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</si>
  <si>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</si>
  <si>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</si>
  <si>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</si>
  <si>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</si>
  <si>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</si>
  <si>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</si>
  <si>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</si>
  <si>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</si>
  <si>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</si>
  <si>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</si>
  <si>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</si>
  <si>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</si>
  <si>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</si>
  <si>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</si>
  <si>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</si>
  <si>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</si>
  <si>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</si>
  <si>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</si>
  <si>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</si>
  <si>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</si>
  <si>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</si>
  <si>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</si>
  <si>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</si>
  <si>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</si>
  <si>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</si>
  <si>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</si>
  <si>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</si>
  <si>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</si>
  <si>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</si>
  <si>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</si>
  <si>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</si>
  <si>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</si>
  <si>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</si>
  <si>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</si>
  <si>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</si>
  <si>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</si>
  <si>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</si>
  <si>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</si>
  <si>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</si>
  <si>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</si>
  <si>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</si>
  <si>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</si>
  <si>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</si>
  <si>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</si>
  <si>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</si>
  <si>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</si>
  <si>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</si>
  <si>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</si>
  <si>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</si>
  <si>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</si>
  <si>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</si>
  <si>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</si>
  <si>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</si>
  <si>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</si>
  <si>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</si>
  <si>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</si>
  <si>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</si>
  <si>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</si>
  <si>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</si>
  <si>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</si>
  <si>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</si>
  <si>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</si>
  <si>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</si>
  <si>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</si>
  <si>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</si>
  <si>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</si>
  <si>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</si>
  <si>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</si>
  <si>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</si>
  <si>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</si>
  <si>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</si>
  <si>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</si>
  <si>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</si>
  <si>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</si>
  <si>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</si>
  <si>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</si>
  <si>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</si>
  <si>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</si>
  <si>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</si>
  <si>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</si>
  <si>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</si>
  <si>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</si>
  <si>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</si>
  <si>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</si>
  <si>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</si>
  <si>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</si>
  <si>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</si>
  <si>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</si>
  <si>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</si>
  <si>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</si>
  <si>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</si>
  <si>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</si>
  <si>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</si>
  <si>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</si>
  <si>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</si>
  <si>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</si>
  <si>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</si>
  <si>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</si>
  <si>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</si>
  <si>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</si>
  <si>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</si>
  <si>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</si>
  <si>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</si>
  <si>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</si>
  <si>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</si>
  <si>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</si>
  <si>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</si>
  <si>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</si>
  <si>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</si>
  <si>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</si>
  <si>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</si>
  <si>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</si>
  <si>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</si>
  <si>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</si>
  <si>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</si>
  <si>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</si>
  <si>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</si>
  <si>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</si>
  <si>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</si>
  <si>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</si>
  <si>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</si>
  <si>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</si>
  <si>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</si>
  <si>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</si>
  <si>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</si>
  <si>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</si>
  <si>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</si>
  <si>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</si>
  <si>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</si>
  <si>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</si>
  <si>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</si>
  <si>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</si>
  <si>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</si>
  <si>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</si>
  <si>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</si>
  <si>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</si>
  <si>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</si>
  <si>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</si>
  <si>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</si>
  <si>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</si>
  <si>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</si>
  <si>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</si>
  <si>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</si>
  <si>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</si>
  <si>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</si>
  <si>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</si>
  <si>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</si>
  <si>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</si>
  <si>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</si>
  <si>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</si>
  <si>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</si>
  <si>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</si>
  <si>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</si>
  <si>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</si>
  <si>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</si>
  <si>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</si>
  <si>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</si>
  <si>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</si>
  <si>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</si>
  <si>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</si>
  <si>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</si>
  <si>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</si>
  <si>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</si>
  <si>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</si>
  <si>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</si>
  <si>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</si>
  <si>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</si>
  <si>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</si>
  <si>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</si>
  <si>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</si>
  <si>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</si>
  <si>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</si>
  <si>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</si>
  <si>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</si>
  <si>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</si>
  <si>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</si>
  <si>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</si>
  <si>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</si>
  <si>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</si>
  <si>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</si>
  <si>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</si>
  <si>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</si>
  <si>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</si>
  <si>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</si>
  <si>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</si>
  <si>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</si>
  <si>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</si>
  <si>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</si>
  <si>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</si>
  <si>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</si>
  <si>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</si>
  <si>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</si>
  <si>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</si>
  <si>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</si>
  <si>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</si>
  <si>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</si>
  <si>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</si>
  <si>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</si>
  <si>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</si>
  <si>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</si>
  <si>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</si>
  <si>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</si>
  <si>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</si>
  <si>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</si>
  <si>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</si>
  <si>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</si>
  <si>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</si>
  <si>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</si>
  <si>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</si>
  <si>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</si>
  <si>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</si>
  <si>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</si>
  <si>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</si>
  <si>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</si>
  <si>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</si>
  <si>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</si>
  <si>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</si>
  <si>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</si>
  <si>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</si>
  <si>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</si>
  <si>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</si>
  <si>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</si>
  <si>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</si>
  <si>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</si>
  <si>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</si>
  <si>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</si>
  <si>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</si>
  <si>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</si>
  <si>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</si>
  <si>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</si>
  <si>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</si>
  <si>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</si>
  <si>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</si>
  <si>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</si>
  <si>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</si>
  <si>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</si>
  <si>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</si>
  <si>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</si>
  <si>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</si>
  <si>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</si>
  <si>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</si>
  <si>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</si>
  <si>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</si>
  <si>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</si>
  <si>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</si>
  <si>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</si>
  <si>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</si>
  <si>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</si>
  <si>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</si>
  <si>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</si>
  <si>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</si>
  <si>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</si>
  <si>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</si>
  <si>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</si>
  <si>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</si>
  <si>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</si>
  <si>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</si>
  <si>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</si>
  <si>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</si>
  <si>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</si>
  <si>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</si>
  <si>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</si>
  <si>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</si>
  <si>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</si>
  <si>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</si>
  <si>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</si>
  <si>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</si>
  <si>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</si>
  <si>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</si>
  <si>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</si>
  <si>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</si>
  <si>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</si>
  <si>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</si>
  <si>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</si>
  <si>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</si>
  <si>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</si>
  <si>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</si>
  <si>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</si>
  <si>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</si>
  <si>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</si>
  <si>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</si>
  <si>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</si>
  <si>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</si>
  <si>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</si>
  <si>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</si>
  <si>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</si>
  <si>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</si>
  <si>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</si>
  <si>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</si>
  <si>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</si>
  <si>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</si>
  <si>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</si>
  <si>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</si>
  <si>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</si>
  <si>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</si>
  <si>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</si>
  <si>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</si>
  <si>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</si>
  <si>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</si>
  <si>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</si>
  <si>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</si>
  <si>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</si>
  <si>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</si>
  <si>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</si>
  <si>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</si>
  <si>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</si>
  <si>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</si>
  <si>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</si>
  <si>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</si>
  <si>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</si>
  <si>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</si>
  <si>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</si>
  <si>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</si>
  <si>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</si>
  <si>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</si>
  <si>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</si>
  <si>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</si>
  <si>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</si>
  <si>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</si>
  <si>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</si>
  <si>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</si>
  <si>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</si>
  <si>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</si>
  <si>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</si>
  <si>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</si>
  <si>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</si>
  <si>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</si>
  <si>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</si>
  <si>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</si>
  <si>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</si>
  <si>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</si>
  <si>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</si>
  <si>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</si>
  <si>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</si>
  <si>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</si>
  <si>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</si>
  <si>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</si>
  <si>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</si>
  <si>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</si>
  <si>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</si>
  <si>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</si>
  <si>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</si>
  <si>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</si>
  <si>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</si>
  <si>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</si>
  <si>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</si>
  <si>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</si>
  <si>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</si>
  <si>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</si>
  <si>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</si>
  <si>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</si>
  <si>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</si>
  <si>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</si>
  <si>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</si>
  <si>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</si>
  <si>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</si>
  <si>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</si>
  <si>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</si>
  <si>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</si>
  <si>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</si>
  <si>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</si>
  <si>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</si>
  <si>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</si>
  <si>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</si>
  <si>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</si>
  <si>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</si>
  <si>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</si>
  <si>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</si>
  <si>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</si>
  <si>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</si>
  <si>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</si>
  <si>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</si>
  <si>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</si>
  <si>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</si>
  <si>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</si>
  <si>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</si>
  <si>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</si>
  <si>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</si>
  <si>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</si>
  <si>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</si>
  <si>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</si>
  <si>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</si>
  <si>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</si>
  <si>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</si>
  <si>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</si>
  <si>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</si>
  <si>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</si>
  <si>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</si>
  <si>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</si>
  <si>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</si>
  <si>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</si>
  <si>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</si>
  <si>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</si>
  <si>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</si>
  <si>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</si>
  <si>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</si>
  <si>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</si>
  <si>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</si>
  <si>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</si>
  <si>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</si>
  <si>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</si>
  <si>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</si>
  <si>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</si>
  <si>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</si>
  <si>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</si>
  <si>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</si>
  <si>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</si>
  <si>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</si>
  <si>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</si>
  <si>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</si>
  <si>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</si>
  <si>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</si>
  <si>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</si>
  <si>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</si>
  <si>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</si>
  <si>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</si>
  <si>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</si>
  <si>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</si>
  <si>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</si>
  <si>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</si>
  <si>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</si>
  <si>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</si>
  <si>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</si>
  <si>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</si>
  <si>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</si>
  <si>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</si>
  <si>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</si>
  <si>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</si>
  <si>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</si>
  <si>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</si>
  <si>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</si>
  <si>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</si>
  <si>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</si>
  <si>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</si>
  <si>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</si>
  <si>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</si>
  <si>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</si>
  <si>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</si>
  <si>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</si>
  <si>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</si>
  <si>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</si>
  <si>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</si>
  <si>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</si>
  <si>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</si>
  <si>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</si>
  <si>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</si>
  <si>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</si>
  <si>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</si>
  <si>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</si>
  <si>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</si>
  <si>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</si>
  <si>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</si>
  <si>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</si>
  <si>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</si>
  <si>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</si>
  <si>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</si>
  <si>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</si>
  <si>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</si>
  <si>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</si>
  <si>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</si>
  <si>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</si>
  <si>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</si>
  <si>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</si>
  <si>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</si>
  <si>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</si>
  <si>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</si>
  <si>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</si>
  <si>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</si>
  <si>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</si>
  <si>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</si>
  <si>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</si>
  <si>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</si>
  <si>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</si>
  <si>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</si>
  <si>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</si>
  <si>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</si>
  <si>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</si>
  <si>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</si>
  <si>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</si>
  <si>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</si>
  <si>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</si>
  <si>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</si>
  <si>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</si>
  <si>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</si>
  <si>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</si>
  <si>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</si>
  <si>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</si>
  <si>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</si>
  <si>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</si>
  <si>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</si>
  <si>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</si>
  <si>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</si>
  <si>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</si>
  <si>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</si>
  <si>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</si>
  <si>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</si>
  <si>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</si>
  <si>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</si>
  <si>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</si>
  <si>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</si>
  <si>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</si>
  <si>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</si>
  <si>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</si>
  <si>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</si>
  <si>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</si>
  <si>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</si>
  <si>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</si>
  <si>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</si>
  <si>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</si>
  <si>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</si>
  <si>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</si>
  <si>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</si>
  <si>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</si>
  <si>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</si>
  <si>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</si>
  <si>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</si>
  <si>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</si>
  <si>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</si>
  <si>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</si>
  <si>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</si>
  <si>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</si>
  <si>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</si>
  <si>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</si>
  <si>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</si>
  <si>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</si>
  <si>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</si>
  <si>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</si>
  <si>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</si>
  <si>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</si>
  <si>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</si>
  <si>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</si>
  <si>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</si>
  <si>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</si>
  <si>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</si>
  <si>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</si>
  <si>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</si>
  <si>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</si>
  <si>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</si>
  <si>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</si>
  <si>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</si>
  <si>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</si>
  <si>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</si>
  <si>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</si>
  <si>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</si>
  <si>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</si>
  <si>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</si>
  <si>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</si>
  <si>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</si>
  <si>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</si>
  <si>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</si>
  <si>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</si>
  <si>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</si>
  <si>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</si>
  <si>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</si>
  <si>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</si>
  <si>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</si>
  <si>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</si>
  <si>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</si>
  <si>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</si>
  <si>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</si>
  <si>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</si>
  <si>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</si>
  <si>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</si>
  <si>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</si>
  <si>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</si>
  <si>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</si>
  <si>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</si>
  <si>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</si>
  <si>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</si>
  <si>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</si>
  <si>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</si>
  <si>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</si>
  <si>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</si>
  <si>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</si>
  <si>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</si>
  <si>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</si>
  <si>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</si>
  <si>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</si>
  <si>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</si>
  <si>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</si>
  <si>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</si>
  <si>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</si>
  <si>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</si>
  <si>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</si>
  <si>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</si>
  <si>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</si>
  <si>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</si>
  <si>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</si>
  <si>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</si>
  <si>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</si>
  <si>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</si>
  <si>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</si>
  <si>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</si>
  <si>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</si>
  <si>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</si>
  <si>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</si>
  <si>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</si>
  <si>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</si>
  <si>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</si>
  <si>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</si>
  <si>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</si>
  <si>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</si>
  <si>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</si>
  <si>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</si>
  <si>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</si>
  <si>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</si>
  <si>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</si>
  <si>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</si>
  <si>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</si>
  <si>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</si>
  <si>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</si>
  <si>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</si>
  <si>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</si>
  <si>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</si>
  <si>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</si>
  <si>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</si>
  <si>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</si>
  <si>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</si>
  <si>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</si>
  <si>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</si>
  <si>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</si>
  <si>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</si>
  <si>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</si>
  <si>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</si>
  <si>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</si>
  <si>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</si>
  <si>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</si>
  <si>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</si>
  <si>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</si>
  <si>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</si>
  <si>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</si>
  <si>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</si>
  <si>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</si>
  <si>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</si>
  <si>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</si>
  <si>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</si>
  <si>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</si>
  <si>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</si>
  <si>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</si>
  <si>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</si>
  <si>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</si>
  <si>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</si>
  <si>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</si>
  <si>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</si>
  <si>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</si>
  <si>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</si>
  <si>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</si>
  <si>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</si>
  <si>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</si>
  <si>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</si>
  <si>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</si>
  <si>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</si>
  <si>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</si>
  <si>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</si>
  <si>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</si>
  <si>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</si>
  <si>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</si>
  <si>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</si>
  <si>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</si>
  <si>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</si>
  <si>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</si>
  <si>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</si>
  <si>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</si>
  <si>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</si>
  <si>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</si>
  <si>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</si>
  <si>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</si>
  <si>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</si>
  <si>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</si>
  <si>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</si>
  <si>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</si>
  <si>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</si>
  <si>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</si>
  <si>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</si>
  <si>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</si>
  <si>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</si>
  <si>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</si>
  <si>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</si>
  <si>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</si>
  <si>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</si>
  <si>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</si>
  <si>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</si>
  <si>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</si>
  <si>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</si>
  <si>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</si>
  <si>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</si>
  <si>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</si>
  <si>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</si>
  <si>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</si>
  <si>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</si>
  <si>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</si>
  <si>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</si>
  <si>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</si>
  <si>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</si>
  <si>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</si>
  <si>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</si>
  <si>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</si>
  <si>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</si>
  <si>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</si>
  <si>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</si>
  <si>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</si>
  <si>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</si>
  <si>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</si>
  <si>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</si>
  <si>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</si>
  <si>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</si>
  <si>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</si>
  <si>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</si>
  <si>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</si>
  <si>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</si>
  <si>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</si>
  <si>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</si>
  <si>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</si>
  <si>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</si>
  <si>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</si>
  <si>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</si>
  <si>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</si>
  <si>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</si>
  <si>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</si>
  <si>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</si>
  <si>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</si>
  <si>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</si>
  <si>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</si>
  <si>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</si>
  <si>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</si>
  <si>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</si>
  <si>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</si>
  <si>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</si>
  <si>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</si>
  <si>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</si>
  <si>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</si>
  <si>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</si>
  <si>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</si>
  <si>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</si>
  <si>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</si>
  <si>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</si>
  <si>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</si>
  <si>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</si>
  <si>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</si>
  <si>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</si>
  <si>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</si>
  <si>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</si>
  <si>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</si>
  <si>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</si>
  <si>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</si>
  <si>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</si>
  <si>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</si>
  <si>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</si>
  <si>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</si>
  <si>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</si>
  <si>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</si>
  <si>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</si>
  <si>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</si>
  <si>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</si>
  <si>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</si>
  <si>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</si>
  <si>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</si>
  <si>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</si>
  <si>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</si>
  <si>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</si>
  <si>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</si>
  <si>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</si>
  <si>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</si>
  <si>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</si>
  <si>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</si>
  <si>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</si>
  <si>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</si>
  <si>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</si>
  <si>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</si>
  <si>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</si>
  <si>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</si>
  <si>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</si>
  <si>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</si>
  <si>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</si>
  <si>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</si>
  <si>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</si>
  <si>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</si>
  <si>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</si>
  <si>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</si>
  <si>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</si>
  <si>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</si>
  <si>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</si>
  <si>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</si>
  <si>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</si>
  <si>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</si>
  <si>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</si>
  <si>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</si>
  <si>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</si>
  <si>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</si>
  <si>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</si>
  <si>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</si>
  <si>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</si>
  <si>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</si>
  <si>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</si>
  <si>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</si>
  <si>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</si>
  <si>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</si>
  <si>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</si>
  <si>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</si>
  <si>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</si>
  <si>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</si>
  <si>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</si>
  <si>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</si>
  <si>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</si>
  <si>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</si>
  <si>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</si>
  <si>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</si>
  <si>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成新度</t>
  </si>
  <si>
    <t>无</t>
  </si>
  <si>
    <t>否</t>
  </si>
  <si>
    <t>现房</t>
  </si>
  <si>
    <t>地上</t>
  </si>
  <si>
    <t>是</t>
  </si>
  <si>
    <t>1-3层商业</t>
  </si>
  <si>
    <t>直线</t>
    <phoneticPr fontId="3" type="noConversion"/>
  </si>
  <si>
    <t>观察</t>
    <phoneticPr fontId="3" type="noConversion"/>
  </si>
  <si>
    <t>综合</t>
    <phoneticPr fontId="3" type="noConversion"/>
  </si>
  <si>
    <t>非生产用房</t>
  </si>
  <si>
    <t>押一</t>
  </si>
  <si>
    <t>不临65条商业街</t>
  </si>
  <si>
    <t>通路</t>
  </si>
  <si>
    <t>通电</t>
  </si>
  <si>
    <t>通讯</t>
  </si>
  <si>
    <t>通上水</t>
  </si>
  <si>
    <t>通下水</t>
  </si>
  <si>
    <t>平整</t>
  </si>
  <si>
    <t>中心城区以外</t>
  </si>
  <si>
    <t>楼层修正</t>
  </si>
  <si>
    <t>较好</t>
  </si>
  <si>
    <t>一般</t>
  </si>
  <si>
    <t>未包含在土地购买价格中</t>
  </si>
  <si>
    <t>已包含在土地取得成本中</t>
  </si>
  <si>
    <t>成本比率</t>
  </si>
  <si>
    <t>楼面单价</t>
  </si>
  <si>
    <t>单套模式</t>
  </si>
  <si>
    <t>售价</t>
  </si>
  <si>
    <t>正常</t>
  </si>
  <si>
    <t>报价</t>
  </si>
  <si>
    <t>报价</t>
    <phoneticPr fontId="30" type="noConversion"/>
  </si>
  <si>
    <t>商业</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</si>
  <si>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</si>
  <si>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</si>
  <si>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</si>
  <si>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</si>
  <si>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七通</t>
  </si>
  <si>
    <t>板块</t>
    <phoneticPr fontId="30" type="noConversion"/>
  </si>
  <si>
    <t>长阳</t>
    <phoneticPr fontId="30" type="noConversion"/>
  </si>
  <si>
    <t>房山城关</t>
    <phoneticPr fontId="30" type="noConversion"/>
  </si>
  <si>
    <t>单面临街</t>
  </si>
  <si>
    <t>单面临街</t>
    <phoneticPr fontId="30" type="noConversion"/>
  </si>
  <si>
    <t>不临街</t>
  </si>
  <si>
    <t>不临街</t>
    <phoneticPr fontId="30" type="noConversion"/>
  </si>
  <si>
    <t>长阳半岛2号院</t>
    <phoneticPr fontId="3" type="noConversion"/>
  </si>
  <si>
    <t>较差</t>
  </si>
  <si>
    <t>较差</t>
    <phoneticPr fontId="30" type="noConversion"/>
  </si>
  <si>
    <t>好</t>
  </si>
  <si>
    <t>差</t>
  </si>
  <si>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</si>
  <si>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</si>
  <si>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</si>
  <si>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</si>
  <si>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</si>
  <si>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</si>
  <si>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</si>
  <si>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</si>
  <si>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</si>
  <si>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较好</t>
    <phoneticPr fontId="30" type="noConversion"/>
  </si>
  <si>
    <t>1层</t>
  </si>
  <si>
    <t>可餐饮</t>
    <phoneticPr fontId="30" type="noConversion"/>
  </si>
  <si>
    <t>不可餐饮</t>
  </si>
  <si>
    <t>不可餐饮</t>
    <phoneticPr fontId="30" type="noConversion"/>
  </si>
  <si>
    <t>标准层高</t>
  </si>
  <si>
    <t>标准层高</t>
    <phoneticPr fontId="30" type="noConversion"/>
  </si>
  <si>
    <t>钢混</t>
  </si>
  <si>
    <t>钢混</t>
    <phoneticPr fontId="30" type="noConversion"/>
  </si>
  <si>
    <t>混合</t>
  </si>
  <si>
    <t>混合</t>
    <phoneticPr fontId="30" type="noConversion"/>
  </si>
  <si>
    <t>五河万科长阳天地9号院</t>
    <phoneticPr fontId="3" type="noConversion"/>
  </si>
  <si>
    <t>合景领峰8号院</t>
    <phoneticPr fontId="3" type="noConversion"/>
  </si>
  <si>
    <t>2011-2013</t>
    <phoneticPr fontId="30" type="noConversion"/>
  </si>
  <si>
    <t>建成年代</t>
    <phoneticPr fontId="30" type="noConversion"/>
  </si>
  <si>
    <t>2015-2017</t>
    <phoneticPr fontId="30" type="noConversion"/>
  </si>
  <si>
    <t>2015-2018</t>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</si>
  <si>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</si>
  <si>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</si>
  <si>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</si>
  <si>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2层</t>
  </si>
  <si>
    <t>3层</t>
  </si>
  <si>
    <t>企业</t>
  </si>
  <si>
    <t>综合项目（商业、办公）</t>
  </si>
  <si>
    <t>1层办公</t>
  </si>
  <si>
    <r>
      <t>50</t>
    </r>
    <r>
      <rPr>
        <sz val="11"/>
        <rFont val="宋体"/>
        <family val="3"/>
        <charset val="134"/>
      </rPr>
      <t>（含）</t>
    </r>
    <r>
      <rPr>
        <sz val="11"/>
        <rFont val="Arial"/>
        <family val="2"/>
      </rPr>
      <t>-40</t>
    </r>
    <phoneticPr fontId="30" type="noConversion"/>
  </si>
  <si>
    <t>报价</t>
    <phoneticPr fontId="31" type="noConversion"/>
  </si>
  <si>
    <t>办公</t>
    <phoneticPr fontId="31" type="noConversion"/>
  </si>
  <si>
    <t>高楼层</t>
  </si>
  <si>
    <t>高楼层</t>
    <phoneticPr fontId="31" type="noConversion"/>
  </si>
  <si>
    <t>中楼层</t>
    <phoneticPr fontId="31" type="noConversion"/>
  </si>
  <si>
    <t>低楼层</t>
  </si>
  <si>
    <t>低楼层</t>
    <phoneticPr fontId="31" type="noConversion"/>
  </si>
  <si>
    <t>办公楼</t>
  </si>
  <si>
    <t>办公楼</t>
    <phoneticPr fontId="31" type="noConversion"/>
  </si>
  <si>
    <t>钢混</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</si>
  <si>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</si>
  <si>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</si>
  <si>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</si>
  <si>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</si>
  <si>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</si>
  <si>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标准层高</t>
    <phoneticPr fontId="31" type="noConversion"/>
  </si>
  <si>
    <t>七通</t>
    <phoneticPr fontId="31" type="noConversion"/>
  </si>
  <si>
    <t>六通</t>
    <phoneticPr fontId="31" type="noConversion"/>
  </si>
  <si>
    <t>五通</t>
  </si>
  <si>
    <t>五通</t>
    <phoneticPr fontId="31" type="noConversion"/>
  </si>
  <si>
    <t>专业</t>
    <phoneticPr fontId="31" type="noConversion"/>
  </si>
  <si>
    <t>租金</t>
  </si>
  <si>
    <t>奥园二环广场</t>
    <phoneticPr fontId="3" type="noConversion"/>
  </si>
  <si>
    <t>万博商厦</t>
    <phoneticPr fontId="3" type="noConversion"/>
  </si>
  <si>
    <t>瀚海花园大厦</t>
    <phoneticPr fontId="3" type="noConversion"/>
  </si>
  <si>
    <t>搜宝商务中心</t>
    <phoneticPr fontId="3" type="noConversion"/>
  </si>
  <si>
    <t>环线位置</t>
    <phoneticPr fontId="31" type="noConversion"/>
  </si>
  <si>
    <r>
      <rPr>
        <sz val="11"/>
        <rFont val="宋体"/>
        <family val="3"/>
        <charset val="134"/>
      </rPr>
      <t>二环</t>
    </r>
    <r>
      <rPr>
        <sz val="11"/>
        <rFont val="Arial"/>
        <family val="2"/>
      </rPr>
      <t>~</t>
    </r>
    <r>
      <rPr>
        <sz val="11"/>
        <rFont val="宋体"/>
        <family val="3"/>
        <charset val="134"/>
      </rPr>
      <t>三环</t>
    </r>
    <phoneticPr fontId="31" type="noConversion"/>
  </si>
  <si>
    <t>富力摩根中心</t>
    <phoneticPr fontId="3" type="noConversion"/>
  </si>
  <si>
    <t>二环内</t>
    <phoneticPr fontId="31" type="noConversion"/>
  </si>
  <si>
    <t>财富西环大厦</t>
    <phoneticPr fontId="3" type="noConversion"/>
  </si>
  <si>
    <r>
      <rPr>
        <sz val="11"/>
        <color indexed="8"/>
        <rFont val="宋体"/>
        <family val="3"/>
        <charset val="134"/>
      </rPr>
      <t>二环</t>
    </r>
    <r>
      <rPr>
        <sz val="11"/>
        <color indexed="8"/>
        <rFont val="Arial"/>
        <family val="2"/>
      </rPr>
      <t>~</t>
    </r>
    <r>
      <rPr>
        <sz val="11"/>
        <color indexed="8"/>
        <rFont val="宋体"/>
        <family val="3"/>
        <charset val="134"/>
      </rPr>
      <t>三环</t>
    </r>
    <phoneticPr fontId="31" type="noConversion"/>
  </si>
  <si>
    <t>商住楼</t>
  </si>
  <si>
    <t>商住楼</t>
    <phoneticPr fontId="31" type="noConversion"/>
  </si>
  <si>
    <t>融达国际</t>
    <phoneticPr fontId="3" type="noConversion"/>
  </si>
  <si>
    <r>
      <rPr>
        <sz val="11"/>
        <color indexed="8"/>
        <rFont val="宋体"/>
        <family val="3"/>
        <charset val="134"/>
      </rPr>
      <t>三环</t>
    </r>
    <r>
      <rPr>
        <sz val="11"/>
        <color indexed="8"/>
        <rFont val="Arial"/>
        <family val="2"/>
      </rPr>
      <t>~</t>
    </r>
    <r>
      <rPr>
        <sz val="11"/>
        <color indexed="8"/>
        <rFont val="宋体"/>
        <family val="3"/>
        <charset val="134"/>
      </rPr>
      <t>四环</t>
    </r>
    <phoneticPr fontId="31" type="noConversion"/>
  </si>
  <si>
    <t>2010-2014</t>
    <phoneticPr fontId="31" type="noConversion"/>
  </si>
  <si>
    <t>Ⅷ-延1</t>
  </si>
  <si>
    <t>地下</t>
  </si>
  <si>
    <t>负1层-4层商业</t>
  </si>
  <si>
    <t>负1层-4层商业</t>
    <phoneticPr fontId="7" type="noConversion"/>
  </si>
  <si>
    <t>人民商场商户合同明细表（2023-2025年）</t>
  </si>
  <si>
    <t>序号</t>
  </si>
  <si>
    <t>出租方</t>
  </si>
  <si>
    <t>合同编号</t>
  </si>
  <si>
    <t>品类</t>
  </si>
  <si>
    <t>品牌</t>
  </si>
  <si>
    <t>承租方</t>
  </si>
  <si>
    <t>承租方
签约人</t>
  </si>
  <si>
    <t>合同类型</t>
  </si>
  <si>
    <t>区域 楼层</t>
  </si>
  <si>
    <t>建筑 面积（㎡）</t>
  </si>
  <si>
    <r>
      <t>租赁 面积</t>
    </r>
    <r>
      <rPr>
        <b/>
        <sz val="10"/>
        <rFont val="华文仿宋"/>
        <family val="3"/>
        <charset val="134"/>
      </rPr>
      <t>（㎡）</t>
    </r>
  </si>
  <si>
    <r>
      <t>租期</t>
    </r>
    <r>
      <rPr>
        <b/>
        <sz val="10"/>
        <rFont val="华文仿宋"/>
        <family val="3"/>
        <charset val="134"/>
      </rPr>
      <t>（年）</t>
    </r>
  </si>
  <si>
    <t>租赁保证金（元）</t>
  </si>
  <si>
    <t>租金
（元/日/㎡）</t>
  </si>
  <si>
    <r>
      <t xml:space="preserve">管理费                  </t>
    </r>
    <r>
      <rPr>
        <b/>
        <sz val="9"/>
        <color indexed="8"/>
        <rFont val="华文仿宋"/>
        <family val="3"/>
        <charset val="134"/>
      </rPr>
      <t>（元/日/㎡）</t>
    </r>
  </si>
  <si>
    <t>月租金&lt;含管理费&gt;
（元/月）</t>
  </si>
  <si>
    <t>年租金&lt;含管理费&gt;                                 （元/年)</t>
  </si>
  <si>
    <t>递增</t>
  </si>
  <si>
    <t>租金支付方式</t>
  </si>
  <si>
    <t>储值卡承担比例</t>
  </si>
  <si>
    <t>合同条款约定日期</t>
  </si>
  <si>
    <t>备注</t>
  </si>
  <si>
    <t>合同期限</t>
  </si>
  <si>
    <t>装修期</t>
  </si>
  <si>
    <t>免租期</t>
  </si>
  <si>
    <t>租金起算日</t>
  </si>
  <si>
    <t>起始日期</t>
  </si>
  <si>
    <t>延隆奥莱</t>
  </si>
  <si>
    <t>RMSC-2024.9.1-ZLB-1-1续</t>
  </si>
  <si>
    <t>家电</t>
  </si>
  <si>
    <t>美的、九阳、利仁小家电、海信专卖店</t>
  </si>
  <si>
    <t>北京市超博达商贸中心</t>
  </si>
  <si>
    <t>徐超</t>
  </si>
  <si>
    <t>租赁</t>
  </si>
  <si>
    <t>北楼B1</t>
  </si>
  <si>
    <t>同比去年增长29%</t>
  </si>
  <si>
    <t>季付</t>
  </si>
  <si>
    <t>2024.9.1</t>
  </si>
  <si>
    <t>2025.8.31</t>
  </si>
  <si>
    <t>2024-2025供暖费七折；增加管理费，减免款台费用，自2024.12.21起生效</t>
  </si>
  <si>
    <t>RMSC-2024.9.1-ZLB-1-2续</t>
  </si>
  <si>
    <t>电子设备</t>
  </si>
  <si>
    <t>音响、监控、先伏发电、电工电料</t>
  </si>
  <si>
    <t>北京蓝京光电科技有限公司</t>
  </si>
  <si>
    <t>李秀江</t>
  </si>
  <si>
    <t>同比去年增长2.3%</t>
  </si>
  <si>
    <r>
      <t>2024-2025供暖费七折（包括5F办公室）；收银台移至商铺内，减少3</t>
    </r>
    <r>
      <rPr>
        <sz val="6"/>
        <rFont val="SimSun"/>
        <charset val="134"/>
      </rPr>
      <t>㎡</t>
    </r>
    <r>
      <rPr>
        <sz val="6"/>
        <rFont val="华文仿宋"/>
        <family val="3"/>
        <charset val="134"/>
      </rPr>
      <t>，租金相应减少，2024年12月21日起生效</t>
    </r>
  </si>
  <si>
    <t>RMSC-2024.9.1-ZLB-1-3续</t>
  </si>
  <si>
    <t>京东系列家电</t>
  </si>
  <si>
    <t>北京妫川澜滔科技有限公司</t>
  </si>
  <si>
    <t>佟涛</t>
  </si>
  <si>
    <t>同比去年增长5%</t>
  </si>
  <si>
    <t>2024-2025供暖费七折</t>
  </si>
  <si>
    <t>RMSC-2024.9.1-ZLB1-1续</t>
  </si>
  <si>
    <t>茶叶销售</t>
  </si>
  <si>
    <t>茶叶、农副产品</t>
  </si>
  <si>
    <t xml:space="preserve">北京茗草香缘茶叶经销部 </t>
  </si>
  <si>
    <t>王春杰</t>
  </si>
  <si>
    <t>北楼1F</t>
  </si>
  <si>
    <t>RMSC-2024.6.21-ZLB1-2 续</t>
  </si>
  <si>
    <t>化妆品</t>
  </si>
  <si>
    <t xml:space="preserve"> 欧莱雅 欧诗漫 靓妃 欧泊莱 倩雪 百雀羚 郁美净</t>
  </si>
  <si>
    <t>北京鼎隆鑫化妆品商店</t>
  </si>
  <si>
    <t>2024.6.21</t>
  </si>
  <si>
    <t>2025.6.20</t>
  </si>
  <si>
    <t>RMSC-2024.6.21-ZLB1-3续</t>
  </si>
  <si>
    <t>珠宝饰品</t>
  </si>
  <si>
    <t>周大生、梦金园、锦黛珠宝、老凤祥</t>
  </si>
  <si>
    <t>北京荣易德珠宝店</t>
  </si>
  <si>
    <t>任甘年</t>
  </si>
  <si>
    <t>同比去年增长4%</t>
  </si>
  <si>
    <t>RMSC-2024.6.21-ZLB1-4续</t>
  </si>
  <si>
    <t>钟表销售      维修</t>
  </si>
  <si>
    <t>罗西尼、依波、罗马等</t>
  </si>
  <si>
    <t>北京明辉匠心钟表维修店</t>
  </si>
  <si>
    <t>翁明辉</t>
  </si>
  <si>
    <t>RMSC-2024.9.1-ZLB1-5续</t>
  </si>
  <si>
    <t>首饰加工</t>
  </si>
  <si>
    <t>许万顺（北京信德缘首饰店）</t>
  </si>
  <si>
    <t>许万顺</t>
  </si>
  <si>
    <t>RMSC-2023.8.1-ZLB1-6</t>
  </si>
  <si>
    <t>超市</t>
  </si>
  <si>
    <t>副食、日用百货</t>
  </si>
  <si>
    <t>北京祥和美好超市</t>
  </si>
  <si>
    <t>许永祥</t>
  </si>
  <si>
    <t>280（有证180、自建100）</t>
  </si>
  <si>
    <t xml:space="preserve">第1、2年：1.64元/天/㎡                                                                                                                        第3、4年：1.73元/天/㎡ </t>
  </si>
  <si>
    <t>第1、2年：13992元/月（有证部分180平，10950元/月；自建部分100平，3042元/月）                                                                                                                        第3、4年：14691.25元/月</t>
  </si>
  <si>
    <t>第1、2年：167900元/年（有证部分180平，131400元/年；自建部分100平，36500元/年）                                                                                第3、4年：176295元/年</t>
  </si>
  <si>
    <t>每两年递增5%</t>
  </si>
  <si>
    <t>2023.8.1</t>
  </si>
  <si>
    <t>2027.7.31</t>
  </si>
  <si>
    <t>按使用面积核算供暖费</t>
  </si>
  <si>
    <t>RMSC-2024.4.1-ZLBY-1续</t>
  </si>
  <si>
    <t>美发</t>
  </si>
  <si>
    <t>北京幻彩魔方美发中心</t>
  </si>
  <si>
    <t>佟利杨</t>
  </si>
  <si>
    <t>北楼1F 街铺</t>
  </si>
  <si>
    <t>同比去年增长10%</t>
  </si>
  <si>
    <t>2024.4.1</t>
  </si>
  <si>
    <t>2025.3.31</t>
  </si>
  <si>
    <t>2024.11.26签署补充协议面积减少6平，租金相应减少</t>
  </si>
  <si>
    <t>人民商场</t>
  </si>
  <si>
    <t>RMSC-2023.8.21-ZLB2-1</t>
  </si>
  <si>
    <t>数码3C</t>
  </si>
  <si>
    <t>联想、戴尔、宏基、电脑耗材、监控设备</t>
  </si>
  <si>
    <t>北京土豆安网络技术有限公司</t>
  </si>
  <si>
    <t>安秀涛</t>
  </si>
  <si>
    <t>北楼2F</t>
  </si>
  <si>
    <t>2023.8.21</t>
  </si>
  <si>
    <t>2024.8.20</t>
  </si>
  <si>
    <t>2024年4月初已撤柜</t>
  </si>
  <si>
    <t>RMSC-2023.10.21-ZLB2-2</t>
  </si>
  <si>
    <t>箱包、鞋、服装、配饰</t>
  </si>
  <si>
    <t>箱包（雅格莱诗）、鞋（今美）、服装（耀阁）、配饰（鳄鱼皮带</t>
  </si>
  <si>
    <t>北京娅尼蒂凘服装店</t>
  </si>
  <si>
    <t>李壮</t>
  </si>
  <si>
    <t>2023.10.21</t>
  </si>
  <si>
    <t>2024.10.20</t>
  </si>
  <si>
    <t>2024年3月中旬已撤柜</t>
  </si>
  <si>
    <t>RMSC-2023.1.1-ZLB2-3</t>
  </si>
  <si>
    <t>通讯类</t>
  </si>
  <si>
    <t>中复电讯</t>
  </si>
  <si>
    <t>北京中复电讯设备有限责任公司延庆一店</t>
  </si>
  <si>
    <t>刘永全</t>
  </si>
  <si>
    <t>年付</t>
  </si>
  <si>
    <t>2023.1.1</t>
  </si>
  <si>
    <t>2023.12.31</t>
  </si>
  <si>
    <t>合同到期后已撤柜</t>
  </si>
  <si>
    <t>RMSC-2024.12.15-ZLB2-1</t>
  </si>
  <si>
    <t>针织</t>
  </si>
  <si>
    <t>棉之依、蒙丹娇绒、青岛博戈尔</t>
  </si>
  <si>
    <t>北京郑嘉瑶服装店</t>
  </si>
  <si>
    <t>张治敏</t>
  </si>
  <si>
    <t>北楼2F-1</t>
  </si>
  <si>
    <t>1+0.5个月</t>
  </si>
  <si>
    <t>2024.12.15</t>
  </si>
  <si>
    <t>2025.12.31</t>
  </si>
  <si>
    <t>2024.12.31</t>
  </si>
  <si>
    <t>2025.1.1</t>
  </si>
  <si>
    <t>RMSC-2024.11.21-ZLB2-3续</t>
  </si>
  <si>
    <t>鞋类</t>
  </si>
  <si>
    <r>
      <t>香港哈森、唐人胡同布鞋、美妮施、莎菈</t>
    </r>
    <r>
      <rPr>
        <sz val="11"/>
        <color theme="1"/>
        <rFont val="宋体"/>
        <family val="3"/>
        <charset val="134"/>
        <scheme val="minor"/>
      </rPr>
      <t>䕕</t>
    </r>
    <r>
      <rPr>
        <sz val="12"/>
        <rFont val="华文仿宋"/>
        <family val="3"/>
        <charset val="134"/>
      </rPr>
      <t>、千百度、炫丽雪、皮尔查理</t>
    </r>
  </si>
  <si>
    <t>北京芙蓉广缘商店</t>
  </si>
  <si>
    <t>邵春梅</t>
  </si>
  <si>
    <t>北楼2F-3</t>
  </si>
  <si>
    <t>租金同比去年增长11.5%</t>
  </si>
  <si>
    <t>2024.11.21</t>
  </si>
  <si>
    <t>2025.11.20</t>
  </si>
  <si>
    <t>2025年1月增加皮尔查理品牌</t>
  </si>
  <si>
    <t>RMSC-2024.11.21-ZLB2-5续</t>
  </si>
  <si>
    <t>卡帝乐鄂鱼、广州骆驼、台湾骆驼、银驼、百思图佰玟、丹俊、锦花瓷、阿凡仔、鸿驼王子</t>
  </si>
  <si>
    <t>北京树生鞋店</t>
  </si>
  <si>
    <t>周树生</t>
  </si>
  <si>
    <t>北楼2F-5</t>
  </si>
  <si>
    <t>RMSC-2024.11.21-ZLB2-7续</t>
  </si>
  <si>
    <t>服装、鞋</t>
  </si>
  <si>
    <t>超斯特、双星、保罗盖帝、迷兰达、白领妮蒙、京鸿运</t>
  </si>
  <si>
    <t>北京鑫荷商贸中心</t>
  </si>
  <si>
    <t>刘建荷</t>
  </si>
  <si>
    <t>北楼2F-7</t>
  </si>
  <si>
    <t>租金同比去年增长13.12%</t>
  </si>
  <si>
    <r>
      <t>库房暖气一组不热，辐射面积6.65</t>
    </r>
    <r>
      <rPr>
        <sz val="8"/>
        <rFont val="SimSun"/>
        <charset val="134"/>
      </rPr>
      <t>㎡</t>
    </r>
    <r>
      <rPr>
        <sz val="8"/>
        <rFont val="华文仿宋"/>
        <family val="3"/>
        <charset val="134"/>
      </rPr>
      <t>，减少供暖费286</t>
    </r>
  </si>
  <si>
    <t>RMSC-2024.4.1-ZLB2-9续</t>
  </si>
  <si>
    <t>服装</t>
  </si>
  <si>
    <t>裤子：蜘蛛王、梦妮菲、溪香尔、男装：胜宇、女装：米岚歌</t>
  </si>
  <si>
    <t>北京平涓利源商店</t>
  </si>
  <si>
    <t>李永平</t>
  </si>
  <si>
    <t>北楼2F-9</t>
  </si>
  <si>
    <t>2024年5月21日起面积变更为28平，已签署补充协议</t>
  </si>
  <si>
    <t>RMSC-2024.4.15-ZLB2-10续</t>
  </si>
  <si>
    <t>喜爱生活、AB、宇宙鹰、公佳、羊加、七只羊</t>
  </si>
  <si>
    <t>北京兴鑫向荣商贸中心</t>
  </si>
  <si>
    <t>陈际光</t>
  </si>
  <si>
    <t>北楼2F-10</t>
  </si>
  <si>
    <t>2024.4.15</t>
  </si>
  <si>
    <t>2024.4.30</t>
  </si>
  <si>
    <t>2024.5.1</t>
  </si>
  <si>
    <t>RMSC-2024.11.10-ZLB2-11</t>
  </si>
  <si>
    <t>风雪狼、人人裤、雅鹿、恒源祥、雅喜达</t>
  </si>
  <si>
    <t>北楼2F-11</t>
  </si>
  <si>
    <t>2024.11.10</t>
  </si>
  <si>
    <t>2025.11.09</t>
  </si>
  <si>
    <t>2024.10.10</t>
  </si>
  <si>
    <t>2024.11.09</t>
  </si>
  <si>
    <t>RMSC-2024.4.1-ZLB2-12</t>
  </si>
  <si>
    <t>床品</t>
  </si>
  <si>
    <t>南方生活、雅鹿、恒源祥</t>
  </si>
  <si>
    <t>北京盛广发商贸中心</t>
  </si>
  <si>
    <t>戴广超</t>
  </si>
  <si>
    <t>北楼2F-12</t>
  </si>
  <si>
    <t>120 平：店铺80平、库房40平</t>
  </si>
  <si>
    <t>店铺：2.6元/日/㎡                                                                                                      库房：1.6元/日/㎡</t>
  </si>
  <si>
    <t>2025.4.30优惠延期一个月且免租</t>
  </si>
  <si>
    <r>
      <t xml:space="preserve">2024.4.1
</t>
    </r>
    <r>
      <rPr>
        <sz val="10"/>
        <color indexed="10"/>
        <rFont val="华文仿宋"/>
        <family val="3"/>
        <charset val="134"/>
      </rPr>
      <t>2025.4.1</t>
    </r>
  </si>
  <si>
    <r>
      <t xml:space="preserve">2024.4.30
</t>
    </r>
    <r>
      <rPr>
        <sz val="10"/>
        <color indexed="10"/>
        <rFont val="华文仿宋"/>
        <family val="3"/>
        <charset val="134"/>
      </rPr>
      <t>2025.4.30</t>
    </r>
  </si>
  <si>
    <t>RMSC-2024.5.1-ZLB4-1续</t>
  </si>
  <si>
    <t>羽绒服</t>
  </si>
  <si>
    <t>杰奥</t>
  </si>
  <si>
    <t>天津杰奥世嘉服装有限公司</t>
  </si>
  <si>
    <t>杨永刚</t>
  </si>
  <si>
    <t>北楼4F</t>
  </si>
  <si>
    <t>2025.4.30</t>
  </si>
  <si>
    <t>RMSC-2022.10.1.ZLN4-1</t>
  </si>
  <si>
    <t>家具</t>
  </si>
  <si>
    <t>强力家居、皇朝定制</t>
  </si>
  <si>
    <t>北京妫川旺盛源商贸中心</t>
  </si>
  <si>
    <t>吴秀丽</t>
  </si>
  <si>
    <t>南楼4F</t>
  </si>
  <si>
    <t>2022.10.16</t>
  </si>
  <si>
    <t>2023年.疫情期间选择延期方式抵消租金减免优惠，年底到期</t>
  </si>
  <si>
    <t>RMSC-2024.1.1.ZLN4-1续</t>
  </si>
  <si>
    <t>2024.1.1</t>
  </si>
  <si>
    <t xml:space="preserve">已于2024年5月31日提前终止合同 </t>
  </si>
  <si>
    <t>RMSC-2024.2.1-ZLH-2续</t>
  </si>
  <si>
    <t>餐饮</t>
  </si>
  <si>
    <t>小吃、小食品</t>
  </si>
  <si>
    <t>北京福谷阁餐馆</t>
  </si>
  <si>
    <t>张玉枝</t>
  </si>
  <si>
    <t>商场  后院</t>
  </si>
  <si>
    <t>2024.2.1</t>
  </si>
  <si>
    <t>2025.1.31</t>
  </si>
  <si>
    <t>RMSC-2023.6.1-ZLH-4</t>
  </si>
  <si>
    <t>库房</t>
  </si>
  <si>
    <t>爱玛电动车</t>
  </si>
  <si>
    <t>北京瑞昌顺达商行</t>
  </si>
  <si>
    <t>杨瑞娟</t>
  </si>
  <si>
    <t>2023.6.1</t>
  </si>
  <si>
    <t>2024.5.31</t>
  </si>
  <si>
    <t>合同到期后不续租</t>
  </si>
  <si>
    <t>RMSC-2025.1.1-ZLH-3</t>
  </si>
  <si>
    <t>海尔家电、智能家居等</t>
  </si>
  <si>
    <t>北京金日科技有限公司</t>
  </si>
  <si>
    <t>考常波</t>
  </si>
  <si>
    <t>2025.1.15</t>
  </si>
  <si>
    <t>2025.1.16</t>
  </si>
  <si>
    <t>RMSC-2024.6.1-ZLH-5</t>
  </si>
  <si>
    <t>2024.6.1</t>
  </si>
  <si>
    <t>2025.5.31</t>
  </si>
  <si>
    <t>2024.6.2</t>
  </si>
  <si>
    <t>2024.6.11</t>
  </si>
  <si>
    <t>2024.6.12</t>
  </si>
  <si>
    <t>宗地容积率</t>
  </si>
  <si>
    <t>通热</t>
  </si>
  <si>
    <t>燃气</t>
  </si>
  <si>
    <t>与级别开发程度不一致</t>
  </si>
  <si>
    <t>全部缴纳</t>
  </si>
  <si>
    <t>混合</t>
    <phoneticPr fontId="3" type="noConversion"/>
  </si>
  <si>
    <t>砖混</t>
  </si>
  <si>
    <t>楼层</t>
    <phoneticPr fontId="3" type="noConversion"/>
  </si>
  <si>
    <t>租金</t>
    <phoneticPr fontId="3" type="noConversion"/>
  </si>
  <si>
    <t>系数</t>
    <phoneticPr fontId="3" type="noConversion"/>
  </si>
  <si>
    <t>建筑面积</t>
    <phoneticPr fontId="3" type="noConversion"/>
  </si>
  <si>
    <t>收益法</t>
  </si>
  <si>
    <t>成本法</t>
  </si>
  <si>
    <t>负1层</t>
    <phoneticPr fontId="134" type="noConversion"/>
  </si>
  <si>
    <t>1层</t>
    <phoneticPr fontId="134" type="noConversion"/>
  </si>
  <si>
    <t>2层</t>
    <phoneticPr fontId="134" type="noConversion"/>
  </si>
  <si>
    <t>4层</t>
    <phoneticPr fontId="134" type="noConversion"/>
  </si>
  <si>
    <t>后院</t>
    <phoneticPr fontId="134" type="noConversion"/>
  </si>
  <si>
    <t>中行</t>
    <phoneticPr fontId="6" type="noConversion"/>
  </si>
  <si>
    <t>北京市延庆区延庆镇东街2号（北侧）-1层地下室等[2]套商业用房房地产抵押价值评估</t>
    <phoneticPr fontId="134" type="noConversion"/>
  </si>
  <si>
    <t>正评</t>
    <phoneticPr fontId="134" type="noConversion"/>
  </si>
  <si>
    <t>正评</t>
    <phoneticPr fontId="8" type="noConversion"/>
  </si>
  <si>
    <t>比例</t>
    <phoneticPr fontId="8" type="noConversion"/>
  </si>
  <si>
    <t>日租金</t>
    <phoneticPr fontId="134" type="noConversion"/>
  </si>
  <si>
    <t>楼层</t>
    <phoneticPr fontId="134" type="noConversion"/>
  </si>
  <si>
    <t>已出租</t>
    <phoneticPr fontId="134" type="noConversion"/>
  </si>
  <si>
    <t>产权</t>
    <phoneticPr fontId="134" type="noConversion"/>
  </si>
  <si>
    <t>延庆区延庆镇东街2号（北侧）-1层地下室等[2]套商业用房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</si>
</sst>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0_ "/>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22"/>
      <name val="宋体"/>
      <family val="3"/>
      <charset val="134"/>
    </font>
    <font>
      <b/>
      <sz val="14"/>
      <name val="华文仿宋"/>
      <family val="3"/>
      <charset val="134"/>
    </font>
    <font>
      <b/>
      <sz val="12"/>
      <name val="华文仿宋"/>
      <family val="3"/>
      <charset val="134"/>
    </font>
    <font>
      <b/>
      <sz val="10"/>
      <name val="华文仿宋"/>
      <family val="3"/>
      <charset val="134"/>
    </font>
    <font>
      <b/>
      <sz val="12"/>
      <color rgb="FF000000"/>
      <name val="华文仿宋"/>
      <family val="3"/>
      <charset val="134"/>
    </font>
    <font>
      <b/>
      <sz val="9"/>
      <color indexed="8"/>
      <name val="华文仿宋"/>
      <family val="3"/>
      <charset val="134"/>
    </font>
    <font>
      <b/>
      <sz val="10"/>
      <color rgb="FF000000"/>
      <name val="华文仿宋"/>
      <family val="3"/>
      <charset val="134"/>
    </font>
    <font>
      <sz val="12"/>
      <name val="华文仿宋"/>
      <family val="3"/>
      <charset val="134"/>
    </font>
    <font>
      <sz val="12"/>
      <color rgb="FFFF0000"/>
      <name val="华文仿宋"/>
      <family val="3"/>
      <charset val="134"/>
    </font>
    <font>
      <sz val="10"/>
      <color rgb="FFFF0000"/>
      <name val="华文仿宋"/>
      <family val="3"/>
      <charset val="134"/>
    </font>
    <font>
      <sz val="7"/>
      <name val="华文仿宋"/>
      <family val="3"/>
      <charset val="134"/>
    </font>
    <font>
      <sz val="10"/>
      <name val="华文仿宋"/>
      <family val="3"/>
      <charset val="134"/>
    </font>
    <font>
      <sz val="6"/>
      <name val="华文仿宋"/>
      <family val="3"/>
      <charset val="134"/>
    </font>
    <font>
      <sz val="6"/>
      <name val="SimSun"/>
      <charset val="134"/>
    </font>
    <font>
      <sz val="12"/>
      <color rgb="FF833C0C"/>
      <name val="华文仿宋"/>
      <family val="3"/>
      <charset val="134"/>
    </font>
    <font>
      <sz val="10"/>
      <color rgb="FF000000"/>
      <name val="华文仿宋"/>
      <family val="3"/>
      <charset val="134"/>
    </font>
    <font>
      <sz val="11"/>
      <name val="华文仿宋"/>
      <family val="3"/>
      <charset val="134"/>
    </font>
    <font>
      <sz val="12"/>
      <color rgb="FF000000"/>
      <name val="华文仿宋"/>
      <family val="3"/>
      <charset val="134"/>
    </font>
    <font>
      <sz val="12"/>
      <color theme="1"/>
      <name val="华文仿宋"/>
      <family val="3"/>
      <charset val="134"/>
    </font>
    <font>
      <sz val="12"/>
      <color theme="5" tint="-0.499984740745262"/>
      <name val="华文仿宋"/>
      <family val="3"/>
      <charset val="134"/>
    </font>
    <font>
      <sz val="10"/>
      <color theme="5" tint="-0.499984740745262"/>
      <name val="华文仿宋"/>
      <family val="3"/>
      <charset val="134"/>
    </font>
    <font>
      <sz val="8"/>
      <name val="华文仿宋"/>
      <family val="3"/>
      <charset val="134"/>
    </font>
    <font>
      <sz val="8"/>
      <name val="SimSun"/>
      <charset val="134"/>
    </font>
    <font>
      <sz val="9"/>
      <name val="华文仿宋"/>
      <family val="3"/>
      <charset val="134"/>
    </font>
    <font>
      <sz val="10"/>
      <color rgb="FF70AD47"/>
      <name val="华文仿宋"/>
      <family val="3"/>
      <charset val="134"/>
    </font>
    <font>
      <sz val="10"/>
      <color indexed="10"/>
      <name val="华文仿宋"/>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9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77" fillId="12" borderId="0" xfId="0" applyFont="1" applyFill="1" applyAlignment="1" applyProtection="1">
      <alignment vertical="center"/>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0" fontId="128" fillId="12" borderId="0" xfId="0" applyFont="1" applyFill="1" applyAlignment="1" applyProtection="1">
      <alignment vertical="center"/>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191" fontId="47" fillId="0" borderId="1" xfId="0" applyNumberFormat="1" applyFont="1" applyFill="1" applyBorder="1" applyAlignment="1" applyProtection="1">
      <alignment horizontal="center" vertical="center" shrinkToFit="1"/>
      <protection locked="0"/>
    </xf>
    <xf numFmtId="49" fontId="222" fillId="12" borderId="4" xfId="0" applyNumberFormat="1" applyFont="1" applyFill="1" applyBorder="1" applyAlignment="1" applyProtection="1">
      <alignment horizontal="lef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0" fontId="77" fillId="7" borderId="150" xfId="0" applyFont="1" applyFill="1" applyBorder="1" applyAlignment="1" applyProtection="1">
      <alignment vertical="center" wrapText="1"/>
      <protection locked="0"/>
    </xf>
    <xf numFmtId="0" fontId="36" fillId="0" borderId="0" xfId="19" applyAlignment="1">
      <alignment horizontal="center" vertical="center"/>
    </xf>
    <xf numFmtId="0" fontId="272" fillId="0" borderId="0" xfId="19" applyFont="1" applyAlignment="1">
      <alignment horizontal="center" vertical="center"/>
    </xf>
    <xf numFmtId="0" fontId="272" fillId="0" borderId="0" xfId="19" applyFont="1" applyAlignment="1">
      <alignment horizontal="center" vertical="center" wrapText="1"/>
    </xf>
    <xf numFmtId="177" fontId="272" fillId="0" borderId="0" xfId="19" applyNumberFormat="1" applyFont="1" applyAlignment="1">
      <alignment horizontal="center" vertical="center"/>
    </xf>
    <xf numFmtId="179" fontId="272" fillId="0" borderId="0" xfId="19" applyNumberFormat="1" applyFont="1" applyAlignment="1">
      <alignment horizontal="center" vertical="center"/>
    </xf>
    <xf numFmtId="9" fontId="272" fillId="0" borderId="0" xfId="19" applyNumberFormat="1" applyFont="1" applyAlignment="1">
      <alignment horizontal="center" vertical="center"/>
    </xf>
    <xf numFmtId="0" fontId="273" fillId="0" borderId="1" xfId="19" applyFont="1" applyBorder="1" applyAlignment="1">
      <alignment horizontal="center" vertical="center" shrinkToFit="1"/>
    </xf>
    <xf numFmtId="0" fontId="273" fillId="0" borderId="1" xfId="19" applyFont="1" applyBorder="1" applyAlignment="1">
      <alignment horizontal="center" vertical="center" wrapText="1"/>
    </xf>
    <xf numFmtId="177" fontId="273" fillId="0" borderId="1" xfId="19" applyNumberFormat="1" applyFont="1" applyBorder="1" applyAlignment="1">
      <alignment horizontal="center" vertical="center" wrapText="1"/>
    </xf>
    <xf numFmtId="9" fontId="276" fillId="0" borderId="1" xfId="19" applyNumberFormat="1" applyFont="1" applyBorder="1" applyAlignment="1">
      <alignment horizontal="center" vertical="center" wrapText="1"/>
    </xf>
    <xf numFmtId="196" fontId="276" fillId="0" borderId="1" xfId="19" applyNumberFormat="1" applyFont="1" applyBorder="1" applyAlignment="1">
      <alignment horizontal="center" vertical="center" wrapText="1"/>
    </xf>
    <xf numFmtId="0" fontId="36" fillId="0" borderId="1" xfId="19" applyBorder="1" applyAlignment="1">
      <alignment horizontal="center" vertical="center"/>
    </xf>
    <xf numFmtId="0" fontId="279" fillId="0" borderId="1" xfId="19" applyFont="1" applyBorder="1" applyAlignment="1">
      <alignment horizontal="center" vertical="center" wrapText="1"/>
    </xf>
    <xf numFmtId="0" fontId="279" fillId="0" borderId="1" xfId="19" applyFont="1" applyBorder="1" applyAlignment="1">
      <alignment horizontal="center" vertical="center" wrapText="1" shrinkToFit="1"/>
    </xf>
    <xf numFmtId="3" fontId="279" fillId="0" borderId="1" xfId="19" applyNumberFormat="1" applyFont="1" applyBorder="1" applyAlignment="1">
      <alignment horizontal="center" vertical="center" wrapText="1"/>
    </xf>
    <xf numFmtId="177" fontId="279" fillId="0" borderId="1" xfId="19" applyNumberFormat="1" applyFont="1" applyBorder="1" applyAlignment="1">
      <alignment horizontal="center" vertical="center" wrapText="1"/>
    </xf>
    <xf numFmtId="197" fontId="279" fillId="0" borderId="1" xfId="19" applyNumberFormat="1" applyFont="1" applyBorder="1" applyAlignment="1">
      <alignment horizontal="center" vertical="center" wrapText="1"/>
    </xf>
    <xf numFmtId="179" fontId="279" fillId="0" borderId="1" xfId="19" applyNumberFormat="1" applyFont="1" applyBorder="1" applyAlignment="1">
      <alignment horizontal="center" vertical="center" wrapText="1"/>
    </xf>
    <xf numFmtId="0" fontId="280" fillId="0" borderId="1" xfId="19" applyFont="1" applyBorder="1" applyAlignment="1">
      <alignment horizontal="center" vertical="center" wrapText="1"/>
    </xf>
    <xf numFmtId="196" fontId="280" fillId="0" borderId="1" xfId="19" applyNumberFormat="1" applyFont="1" applyBorder="1" applyAlignment="1">
      <alignment horizontal="center" vertical="center" wrapText="1"/>
    </xf>
    <xf numFmtId="179" fontId="280" fillId="0" borderId="1" xfId="19" applyNumberFormat="1" applyFont="1" applyBorder="1" applyAlignment="1">
      <alignment horizontal="center" vertical="center" wrapText="1"/>
    </xf>
    <xf numFmtId="9" fontId="281" fillId="0" borderId="1" xfId="19" applyNumberFormat="1" applyFont="1" applyBorder="1" applyAlignment="1">
      <alignment horizontal="center" vertical="center" wrapText="1"/>
    </xf>
    <xf numFmtId="196" fontId="279" fillId="0" borderId="1" xfId="19" applyNumberFormat="1" applyFont="1" applyBorder="1" applyAlignment="1">
      <alignment horizontal="center" vertical="center" wrapText="1"/>
    </xf>
    <xf numFmtId="9" fontId="279" fillId="0" borderId="1" xfId="19" applyNumberFormat="1" applyFont="1" applyBorder="1" applyAlignment="1">
      <alignment horizontal="center" vertical="center" wrapText="1"/>
    </xf>
    <xf numFmtId="0" fontId="282" fillId="0" borderId="1" xfId="19" applyFont="1" applyBorder="1" applyAlignment="1">
      <alignment horizontal="center" vertical="center" wrapText="1"/>
    </xf>
    <xf numFmtId="0" fontId="283" fillId="0" borderId="0" xfId="19" applyFont="1" applyAlignment="1">
      <alignment horizontal="center" vertical="center" wrapText="1"/>
    </xf>
    <xf numFmtId="177" fontId="280" fillId="0" borderId="1" xfId="19" applyNumberFormat="1" applyFont="1" applyBorder="1" applyAlignment="1">
      <alignment horizontal="center" vertical="center" wrapText="1"/>
    </xf>
    <xf numFmtId="0" fontId="284" fillId="0" borderId="1" xfId="19" applyFont="1" applyBorder="1" applyAlignment="1">
      <alignment horizontal="center" vertical="center" wrapText="1"/>
    </xf>
    <xf numFmtId="0" fontId="286" fillId="0" borderId="1" xfId="19" applyFont="1" applyBorder="1" applyAlignment="1">
      <alignment horizontal="center" vertical="center" wrapText="1"/>
    </xf>
    <xf numFmtId="9" fontId="287" fillId="0" borderId="1" xfId="19" applyNumberFormat="1" applyFont="1" applyBorder="1" applyAlignment="1">
      <alignment horizontal="center" vertical="center" wrapText="1"/>
    </xf>
    <xf numFmtId="0" fontId="288" fillId="0" borderId="1" xfId="19" applyFont="1" applyBorder="1" applyAlignment="1">
      <alignment horizontal="center" vertical="center" wrapText="1"/>
    </xf>
    <xf numFmtId="0" fontId="289" fillId="0" borderId="1" xfId="19" applyFont="1" applyFill="1" applyBorder="1" applyAlignment="1">
      <alignment horizontal="center" vertical="center" wrapText="1"/>
    </xf>
    <xf numFmtId="9" fontId="283" fillId="0" borderId="1" xfId="19" applyNumberFormat="1" applyFont="1" applyBorder="1" applyAlignment="1">
      <alignment horizontal="center" vertical="center" wrapText="1"/>
    </xf>
    <xf numFmtId="196" fontId="289" fillId="0" borderId="1" xfId="19" applyNumberFormat="1" applyFont="1" applyBorder="1" applyAlignment="1">
      <alignment horizontal="center" vertical="center" wrapText="1"/>
    </xf>
    <xf numFmtId="9" fontId="289" fillId="0" borderId="1" xfId="19" applyNumberFormat="1" applyFont="1" applyBorder="1" applyAlignment="1">
      <alignment horizontal="center" vertical="center" wrapText="1"/>
    </xf>
    <xf numFmtId="0" fontId="279" fillId="0" borderId="1" xfId="19" applyFont="1" applyFill="1" applyBorder="1" applyAlignment="1">
      <alignment horizontal="center" vertical="center" wrapText="1" shrinkToFit="1"/>
    </xf>
    <xf numFmtId="0" fontId="290" fillId="0" borderId="1" xfId="19" applyFont="1" applyFill="1" applyBorder="1" applyAlignment="1">
      <alignment horizontal="center" vertical="center" wrapText="1" shrinkToFit="1"/>
    </xf>
    <xf numFmtId="0" fontId="289" fillId="0" borderId="1" xfId="19" applyFont="1" applyBorder="1" applyAlignment="1">
      <alignment horizontal="center" vertical="center" wrapText="1"/>
    </xf>
    <xf numFmtId="179" fontId="289" fillId="0" borderId="1" xfId="19" applyNumberFormat="1" applyFont="1" applyBorder="1" applyAlignment="1">
      <alignment horizontal="center" vertical="center" wrapText="1"/>
    </xf>
    <xf numFmtId="197" fontId="279" fillId="0" borderId="1" xfId="19" applyNumberFormat="1" applyFont="1" applyBorder="1" applyAlignment="1">
      <alignment horizontal="center" vertical="center" wrapText="1" shrinkToFit="1"/>
    </xf>
    <xf numFmtId="0" fontId="289" fillId="0" borderId="1" xfId="19" applyFont="1" applyBorder="1" applyAlignment="1">
      <alignment horizontal="center" vertical="center" wrapText="1" shrinkToFit="1"/>
    </xf>
    <xf numFmtId="177" fontId="289" fillId="0" borderId="1" xfId="19" applyNumberFormat="1" applyFont="1" applyBorder="1" applyAlignment="1">
      <alignment horizontal="center" vertical="center" wrapText="1"/>
    </xf>
    <xf numFmtId="197" fontId="289" fillId="0" borderId="1" xfId="19" applyNumberFormat="1" applyFont="1" applyBorder="1" applyAlignment="1">
      <alignment horizontal="center" vertical="center" wrapText="1"/>
    </xf>
    <xf numFmtId="0" fontId="279" fillId="0" borderId="1" xfId="19" applyFont="1" applyBorder="1" applyAlignment="1">
      <alignment horizontal="left" vertical="center" wrapText="1"/>
    </xf>
    <xf numFmtId="179" fontId="279" fillId="0" borderId="1" xfId="19" applyNumberFormat="1" applyFont="1" applyBorder="1" applyAlignment="1">
      <alignment horizontal="left" vertical="center" wrapText="1"/>
    </xf>
    <xf numFmtId="0" fontId="279" fillId="0" borderId="1" xfId="19" applyFont="1" applyFill="1" applyBorder="1" applyAlignment="1">
      <alignment horizontal="center" vertical="center" wrapText="1"/>
    </xf>
    <xf numFmtId="0" fontId="279" fillId="0" borderId="1" xfId="19" applyFont="1" applyBorder="1" applyAlignment="1">
      <alignment horizontal="center" vertical="center" shrinkToFit="1"/>
    </xf>
    <xf numFmtId="0" fontId="291" fillId="0" borderId="1" xfId="19" applyFont="1" applyBorder="1" applyAlignment="1">
      <alignment horizontal="center" vertical="center" wrapText="1"/>
    </xf>
    <xf numFmtId="0" fontId="291" fillId="0" borderId="1" xfId="19" applyFont="1" applyBorder="1" applyAlignment="1">
      <alignment horizontal="center" vertical="center" wrapText="1" shrinkToFit="1"/>
    </xf>
    <xf numFmtId="177" fontId="291" fillId="0" borderId="1" xfId="19" applyNumberFormat="1" applyFont="1" applyBorder="1" applyAlignment="1">
      <alignment horizontal="center" vertical="center" wrapText="1"/>
    </xf>
    <xf numFmtId="197" fontId="291" fillId="0" borderId="1" xfId="19" applyNumberFormat="1" applyFont="1" applyBorder="1" applyAlignment="1">
      <alignment horizontal="center" vertical="center" wrapText="1"/>
    </xf>
    <xf numFmtId="179" fontId="291" fillId="0" borderId="1" xfId="19" applyNumberFormat="1" applyFont="1" applyBorder="1" applyAlignment="1">
      <alignment horizontal="center" vertical="center" wrapText="1"/>
    </xf>
    <xf numFmtId="196" fontId="291" fillId="0" borderId="1" xfId="19" applyNumberFormat="1" applyFont="1" applyBorder="1" applyAlignment="1">
      <alignment horizontal="center" vertical="center" wrapText="1"/>
    </xf>
    <xf numFmtId="9" fontId="291" fillId="0" borderId="1" xfId="19" applyNumberFormat="1" applyFont="1" applyBorder="1" applyAlignment="1">
      <alignment horizontal="center" vertical="center" wrapText="1"/>
    </xf>
    <xf numFmtId="0" fontId="291" fillId="0" borderId="1" xfId="19" applyFont="1" applyBorder="1" applyAlignment="1">
      <alignment horizontal="center" vertical="center" shrinkToFit="1"/>
    </xf>
    <xf numFmtId="0" fontId="292" fillId="0" borderId="0" xfId="19" applyFont="1" applyAlignment="1">
      <alignment horizontal="center" vertical="center" wrapText="1"/>
    </xf>
    <xf numFmtId="3" fontId="291" fillId="0" borderId="1" xfId="19" applyNumberFormat="1" applyFont="1" applyBorder="1" applyAlignment="1">
      <alignment horizontal="center" vertical="center" wrapText="1"/>
    </xf>
    <xf numFmtId="0" fontId="283" fillId="0" borderId="1" xfId="19" applyFont="1" applyBorder="1" applyAlignment="1">
      <alignment horizontal="center" vertical="center" wrapText="1"/>
    </xf>
    <xf numFmtId="3" fontId="279" fillId="0" borderId="1" xfId="19" applyNumberFormat="1" applyFont="1" applyFill="1" applyBorder="1" applyAlignment="1">
      <alignment horizontal="center" vertical="center" wrapText="1"/>
    </xf>
    <xf numFmtId="179" fontId="279" fillId="0" borderId="1" xfId="19" applyNumberFormat="1" applyFont="1" applyFill="1" applyBorder="1" applyAlignment="1">
      <alignment horizontal="center" vertical="center" wrapText="1"/>
    </xf>
    <xf numFmtId="196" fontId="279" fillId="0" borderId="1" xfId="19" applyNumberFormat="1" applyFont="1" applyFill="1" applyBorder="1" applyAlignment="1">
      <alignment horizontal="center" vertical="center" wrapText="1"/>
    </xf>
    <xf numFmtId="180" fontId="279" fillId="0" borderId="1" xfId="19" applyNumberFormat="1" applyFont="1" applyFill="1" applyBorder="1" applyAlignment="1">
      <alignment horizontal="center" vertical="center" wrapText="1"/>
    </xf>
    <xf numFmtId="0" fontId="293" fillId="0" borderId="1" xfId="19" applyFont="1" applyBorder="1" applyAlignment="1">
      <alignment horizontal="center" vertical="center" wrapText="1"/>
    </xf>
    <xf numFmtId="0" fontId="290" fillId="0" borderId="1" xfId="19" applyFont="1" applyFill="1" applyBorder="1" applyAlignment="1">
      <alignment horizontal="center" vertical="center" wrapText="1"/>
    </xf>
    <xf numFmtId="0" fontId="279" fillId="0" borderId="1" xfId="19" applyFont="1" applyFill="1" applyBorder="1" applyAlignment="1">
      <alignment horizontal="center" vertical="center"/>
    </xf>
    <xf numFmtId="197" fontId="279" fillId="0" borderId="1" xfId="19" applyNumberFormat="1" applyFont="1" applyFill="1" applyBorder="1" applyAlignment="1">
      <alignment horizontal="center" vertical="center" wrapText="1"/>
    </xf>
    <xf numFmtId="9" fontId="279" fillId="0" borderId="1" xfId="19" applyNumberFormat="1" applyFont="1" applyFill="1" applyBorder="1" applyAlignment="1">
      <alignment horizontal="center" vertical="center" wrapText="1"/>
    </xf>
    <xf numFmtId="0" fontId="279" fillId="0" borderId="1" xfId="19" applyFont="1" applyFill="1" applyBorder="1" applyAlignment="1">
      <alignment horizontal="center" vertical="center" shrinkToFit="1"/>
    </xf>
    <xf numFmtId="0" fontId="295" fillId="0" borderId="1" xfId="19" applyFont="1" applyFill="1" applyBorder="1" applyAlignment="1">
      <alignment horizontal="center" vertical="center" wrapText="1"/>
    </xf>
    <xf numFmtId="0" fontId="283" fillId="0" borderId="0" xfId="19" applyFont="1" applyFill="1" applyAlignment="1">
      <alignment horizontal="center" vertical="center" wrapText="1"/>
    </xf>
    <xf numFmtId="4" fontId="279" fillId="0" borderId="1" xfId="19" applyNumberFormat="1" applyFont="1" applyBorder="1" applyAlignment="1">
      <alignment horizontal="center" vertical="center" wrapText="1"/>
    </xf>
    <xf numFmtId="0" fontId="296" fillId="12" borderId="0" xfId="19" applyFont="1" applyFill="1" applyAlignment="1">
      <alignment horizontal="center" vertical="center" wrapText="1"/>
    </xf>
    <xf numFmtId="3" fontId="289" fillId="0" borderId="1" xfId="19" applyNumberFormat="1" applyFont="1" applyBorder="1" applyAlignment="1">
      <alignment horizontal="center" vertical="center" wrapText="1"/>
    </xf>
    <xf numFmtId="0" fontId="289" fillId="0" borderId="1" xfId="19" applyFont="1" applyBorder="1" applyAlignment="1">
      <alignment horizontal="center" vertical="center" shrinkToFit="1"/>
    </xf>
    <xf numFmtId="0" fontId="291" fillId="0" borderId="1" xfId="19" applyFont="1" applyFill="1" applyBorder="1" applyAlignment="1">
      <alignment horizontal="center" vertical="center" wrapText="1"/>
    </xf>
    <xf numFmtId="0" fontId="291" fillId="0" borderId="1" xfId="19" applyFont="1" applyFill="1" applyBorder="1" applyAlignment="1">
      <alignment horizontal="center" vertical="center" wrapText="1" shrinkToFit="1"/>
    </xf>
    <xf numFmtId="3" fontId="291" fillId="0" borderId="1" xfId="19" applyNumberFormat="1" applyFont="1" applyFill="1" applyBorder="1" applyAlignment="1">
      <alignment horizontal="center" vertical="center" wrapText="1"/>
    </xf>
    <xf numFmtId="0" fontId="292" fillId="0" borderId="1" xfId="19" applyFont="1" applyFill="1" applyBorder="1" applyAlignment="1">
      <alignment horizontal="center" vertical="center" wrapText="1"/>
    </xf>
    <xf numFmtId="197" fontId="291" fillId="0" borderId="1" xfId="19" applyNumberFormat="1" applyFont="1" applyFill="1" applyBorder="1" applyAlignment="1">
      <alignment horizontal="center" vertical="center" wrapText="1"/>
    </xf>
    <xf numFmtId="179" fontId="291" fillId="0" borderId="1" xfId="19" applyNumberFormat="1" applyFont="1" applyFill="1" applyBorder="1" applyAlignment="1">
      <alignment horizontal="center" vertical="center" wrapText="1"/>
    </xf>
    <xf numFmtId="196" fontId="291" fillId="0" borderId="1" xfId="19" applyNumberFormat="1" applyFont="1" applyFill="1" applyBorder="1" applyAlignment="1">
      <alignment horizontal="center" vertical="center" wrapText="1"/>
    </xf>
    <xf numFmtId="9" fontId="291" fillId="0" borderId="1" xfId="19" applyNumberFormat="1" applyFont="1" applyFill="1" applyBorder="1" applyAlignment="1">
      <alignment horizontal="center" vertical="center" wrapText="1"/>
    </xf>
    <xf numFmtId="0" fontId="291" fillId="0" borderId="1" xfId="19" applyFont="1" applyFill="1" applyBorder="1" applyAlignment="1">
      <alignment horizontal="center" vertical="center" shrinkToFit="1"/>
    </xf>
    <xf numFmtId="177" fontId="286" fillId="0" borderId="1" xfId="19" applyNumberFormat="1" applyFont="1" applyBorder="1" applyAlignment="1">
      <alignment horizontal="center" vertical="center" wrapText="1"/>
    </xf>
    <xf numFmtId="179" fontId="286" fillId="0" borderId="1" xfId="19" applyNumberFormat="1" applyFont="1" applyBorder="1" applyAlignment="1">
      <alignment horizontal="center" vertical="center" wrapText="1"/>
    </xf>
    <xf numFmtId="0" fontId="283" fillId="7" borderId="0" xfId="19" applyFont="1" applyFill="1" applyAlignment="1">
      <alignment horizontal="center" vertical="center" wrapText="1"/>
    </xf>
    <xf numFmtId="0" fontId="36" fillId="0" borderId="0" xfId="19" applyAlignment="1">
      <alignment horizontal="center" vertical="center" wrapText="1"/>
    </xf>
    <xf numFmtId="177" fontId="36" fillId="0" borderId="0" xfId="19" applyNumberFormat="1" applyAlignment="1">
      <alignment horizontal="center" vertical="center"/>
    </xf>
    <xf numFmtId="196" fontId="36" fillId="0" borderId="0" xfId="19" applyNumberFormat="1" applyAlignment="1">
      <alignment horizontal="center" vertical="center"/>
    </xf>
    <xf numFmtId="179" fontId="36" fillId="0" borderId="0" xfId="19" applyNumberFormat="1" applyAlignment="1">
      <alignment horizontal="center" vertical="center"/>
    </xf>
    <xf numFmtId="9" fontId="36" fillId="0" borderId="0" xfId="19" applyNumberFormat="1" applyAlignment="1">
      <alignment horizontal="center" vertical="center"/>
    </xf>
    <xf numFmtId="0" fontId="77" fillId="12" borderId="0" xfId="0" applyFont="1" applyFill="1" applyAlignment="1" applyProtection="1">
      <alignment horizontal="center" vertical="center"/>
      <protection locked="0"/>
    </xf>
    <xf numFmtId="0" fontId="77" fillId="7" borderId="0" xfId="0" applyFont="1" applyFill="1" applyProtection="1">
      <alignment vertical="center"/>
      <protection locked="0"/>
    </xf>
    <xf numFmtId="9" fontId="36" fillId="0" borderId="0" xfId="17" applyFont="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73" fillId="0" borderId="1" xfId="19" applyFont="1" applyBorder="1" applyAlignment="1">
      <alignment horizontal="center" vertical="center" wrapText="1"/>
    </xf>
    <xf numFmtId="0" fontId="273" fillId="0" borderId="1" xfId="19" applyFont="1" applyBorder="1" applyAlignment="1">
      <alignment horizontal="center" vertical="center" shrinkToFit="1"/>
    </xf>
    <xf numFmtId="196" fontId="276" fillId="0" borderId="1" xfId="19" applyNumberFormat="1" applyFont="1" applyBorder="1" applyAlignment="1">
      <alignment horizontal="center" vertical="center" wrapText="1"/>
    </xf>
    <xf numFmtId="179" fontId="276" fillId="0" borderId="1" xfId="19" applyNumberFormat="1" applyFont="1" applyBorder="1" applyAlignment="1">
      <alignment horizontal="center" vertical="center" wrapText="1"/>
    </xf>
    <xf numFmtId="9" fontId="276" fillId="0" borderId="1" xfId="19" applyNumberFormat="1" applyFont="1" applyBorder="1" applyAlignment="1">
      <alignment horizontal="center" vertical="center" wrapText="1"/>
    </xf>
    <xf numFmtId="9" fontId="278" fillId="0" borderId="13" xfId="19" applyNumberFormat="1" applyFont="1" applyBorder="1" applyAlignment="1">
      <alignment horizontal="center" vertical="center" wrapText="1"/>
    </xf>
    <xf numFmtId="9" fontId="278" fillId="0" borderId="2" xfId="19" applyNumberFormat="1" applyFont="1" applyBorder="1" applyAlignment="1">
      <alignment horizontal="center" vertical="center" wrapText="1"/>
    </xf>
    <xf numFmtId="0" fontId="273" fillId="0" borderId="1" xfId="19" applyFont="1" applyBorder="1" applyAlignment="1">
      <alignment horizontal="center" vertical="center" wrapText="1" shrinkToFit="1"/>
    </xf>
    <xf numFmtId="177" fontId="274" fillId="0" borderId="1" xfId="19" applyNumberFormat="1" applyFont="1" applyBorder="1" applyAlignment="1">
      <alignment horizontal="center" vertical="center" wrapText="1"/>
    </xf>
    <xf numFmtId="0" fontId="274" fillId="0" borderId="1" xfId="19" applyFont="1" applyBorder="1" applyAlignment="1">
      <alignment horizontal="center" vertical="center" wrapText="1"/>
    </xf>
    <xf numFmtId="196" fontId="274" fillId="0" borderId="1" xfId="19" applyNumberFormat="1" applyFont="1" applyBorder="1" applyAlignment="1">
      <alignment horizontal="center" vertical="center" wrapText="1"/>
    </xf>
    <xf numFmtId="0" fontId="276" fillId="0" borderId="1" xfId="19" applyFont="1" applyBorder="1" applyAlignment="1">
      <alignment horizontal="center" vertical="center" wrapText="1"/>
    </xf>
    <xf numFmtId="0" fontId="272" fillId="0" borderId="0" xfId="19" applyFont="1" applyAlignment="1">
      <alignment horizontal="center" vertical="center"/>
    </xf>
    <xf numFmtId="0" fontId="272" fillId="0" borderId="0" xfId="19" applyFont="1" applyAlignment="1">
      <alignment horizontal="center" vertical="center" wrapText="1"/>
    </xf>
    <xf numFmtId="177" fontId="272" fillId="0" borderId="0" xfId="19" applyNumberFormat="1" applyFont="1" applyAlignment="1">
      <alignment horizontal="center" vertical="center"/>
    </xf>
    <xf numFmtId="179" fontId="272" fillId="0" borderId="0" xfId="19" applyNumberFormat="1" applyFont="1" applyAlignment="1">
      <alignment horizontal="center" vertical="center"/>
    </xf>
    <xf numFmtId="9" fontId="272" fillId="0" borderId="0" xfId="19" applyNumberFormat="1" applyFont="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360705</xdr:colOff>
      <xdr:row>33</xdr:row>
      <xdr:rowOff>27886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961905" cy="55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142875</xdr:rowOff>
    </xdr:from>
    <xdr:to>
      <xdr:col>16</xdr:col>
      <xdr:colOff>446248</xdr:colOff>
      <xdr:row>32</xdr:row>
      <xdr:rowOff>170825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57225"/>
          <a:ext cx="11419048" cy="5000000"/>
        </a:xfrm>
        <a:prstGeom prst="rect">
          <a:avLst/>
        </a:prstGeom>
      </xdr:spPr>
    </xdr:pic>
    <xdr:clientData/>
  </xdr:twoCellAnchor>
  <xdr:twoCellAnchor editAs="oneCell">
    <xdr:from>
      <xdr:col>0</xdr:col>
      <xdr:colOff>0</xdr:colOff>
      <xdr:row>34</xdr:row>
      <xdr:rowOff>0</xdr:rowOff>
    </xdr:from>
    <xdr:to>
      <xdr:col>9</xdr:col>
      <xdr:colOff>189705</xdr:colOff>
      <xdr:row>60</xdr:row>
      <xdr:rowOff>56586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6361905" cy="4514286"/>
        </a:xfrm>
        <a:prstGeom prst="rect">
          <a:avLst/>
        </a:prstGeom>
      </xdr:spPr>
    </xdr:pic>
    <xdr:clientData/>
  </xdr:twoCellAnchor>
  <xdr:twoCellAnchor editAs="oneCell">
    <xdr:from>
      <xdr:col>0</xdr:col>
      <xdr:colOff>0</xdr:colOff>
      <xdr:row>64</xdr:row>
      <xdr:rowOff>0</xdr:rowOff>
    </xdr:from>
    <xdr:to>
      <xdr:col>15</xdr:col>
      <xdr:colOff>417763</xdr:colOff>
      <xdr:row>92</xdr:row>
      <xdr:rowOff>56543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972800"/>
          <a:ext cx="10704763" cy="4857143"/>
        </a:xfrm>
        <a:prstGeom prst="rect">
          <a:avLst/>
        </a:prstGeom>
      </xdr:spPr>
    </xdr:pic>
    <xdr:clientData/>
  </xdr:twoCellAnchor>
  <xdr:twoCellAnchor editAs="oneCell">
    <xdr:from>
      <xdr:col>0</xdr:col>
      <xdr:colOff>0</xdr:colOff>
      <xdr:row>93</xdr:row>
      <xdr:rowOff>0</xdr:rowOff>
    </xdr:from>
    <xdr:to>
      <xdr:col>9</xdr:col>
      <xdr:colOff>132562</xdr:colOff>
      <xdr:row>107</xdr:row>
      <xdr:rowOff>18748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944850"/>
          <a:ext cx="6304762" cy="2419048"/>
        </a:xfrm>
        <a:prstGeom prst="rect">
          <a:avLst/>
        </a:prstGeom>
      </xdr:spPr>
    </xdr:pic>
    <xdr:clientData/>
  </xdr:twoCellAnchor>
  <xdr:twoCellAnchor editAs="oneCell">
    <xdr:from>
      <xdr:col>0</xdr:col>
      <xdr:colOff>0</xdr:colOff>
      <xdr:row>109</xdr:row>
      <xdr:rowOff>0</xdr:rowOff>
    </xdr:from>
    <xdr:to>
      <xdr:col>15</xdr:col>
      <xdr:colOff>8239</xdr:colOff>
      <xdr:row>137</xdr:row>
      <xdr:rowOff>27972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8688050"/>
          <a:ext cx="10295239" cy="4828572"/>
        </a:xfrm>
        <a:prstGeom prst="rect">
          <a:avLst/>
        </a:prstGeom>
      </xdr:spPr>
    </xdr:pic>
    <xdr:clientData/>
  </xdr:twoCellAnchor>
  <xdr:twoCellAnchor editAs="oneCell">
    <xdr:from>
      <xdr:col>0</xdr:col>
      <xdr:colOff>0</xdr:colOff>
      <xdr:row>138</xdr:row>
      <xdr:rowOff>0</xdr:rowOff>
    </xdr:from>
    <xdr:to>
      <xdr:col>9</xdr:col>
      <xdr:colOff>665896</xdr:colOff>
      <xdr:row>154</xdr:row>
      <xdr:rowOff>75848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3660100"/>
          <a:ext cx="6838096" cy="2819048"/>
        </a:xfrm>
        <a:prstGeom prst="rect">
          <a:avLst/>
        </a:prstGeom>
      </xdr:spPr>
    </xdr:pic>
    <xdr:clientData/>
  </xdr:twoCellAnchor>
  <xdr:twoCellAnchor editAs="oneCell">
    <xdr:from>
      <xdr:col>0</xdr:col>
      <xdr:colOff>0</xdr:colOff>
      <xdr:row>157</xdr:row>
      <xdr:rowOff>0</xdr:rowOff>
    </xdr:from>
    <xdr:to>
      <xdr:col>15</xdr:col>
      <xdr:colOff>313001</xdr:colOff>
      <xdr:row>185</xdr:row>
      <xdr:rowOff>113686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6917650"/>
          <a:ext cx="10600001" cy="4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北京市延庆区延庆镇东街2号（北侧）-1层地下室等[2]套商业用房房地产抵押价值预评估</v>
      </c>
    </row>
    <row r="3" spans="1:2" s="1202" customFormat="1">
      <c r="A3" s="1200" t="s">
        <v>523</v>
      </c>
      <c r="B3" s="1201" t="str">
        <f>'预评函-封皮'!B40</f>
        <v>中行</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受贵公司委托，我公司对北京市延庆区延庆镇东街2号（北侧）-1层地下室等[2]套商业用房房地产抵押价值进行了预评估。</v>
      </c>
    </row>
    <row r="7" spans="1:2" s="1202" customFormat="1">
      <c r="A7" s="1200" t="s">
        <v>566</v>
      </c>
      <c r="B7" s="1201" t="str">
        <f>'预评函-1'!A7</f>
        <v>估价对象为北京市延庆区延庆镇东街2号（北侧）-1层地下室等[2]套商业用房房地产，为所有。根据《国有土地使用证》[]，估价对象（分摊）出让国有建设用地使用权面积为1510.07平方米，建筑面积为4460平方米。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延庆区延庆镇东街2号（北侧）-1层地下室等[2]套商业用房房地产,属开发建设的综合项目（商业、办公），该项目尚在开发建设中。根据《国有土地使用证》[]，估价对象（分摊）出让国有建设用地使用权面积为1510.07平方米，规划建筑面积为4460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为估价委托人在向办理贷款手续过程中，确定房地产抵押贷款额度提供参考依据而评估房地产抵押价值。</v>
      </c>
    </row>
    <row r="12" spans="1:2" s="1202" customFormat="1">
      <c r="A12" s="1200" t="s">
        <v>528</v>
      </c>
      <c r="B12" s="1201" t="str">
        <f>'预评函-1'!A15</f>
        <v>2025年2月18日（评估专业人员实地查勘之日）</v>
      </c>
    </row>
    <row r="13" spans="1:2" s="1202" customFormat="1">
      <c r="A13" s="1200" t="s">
        <v>529</v>
      </c>
      <c r="B13" s="1201" t="str">
        <f>'预评函-1'!A18</f>
        <v>本次估价的“房地产价值”是指在正常市场情况下，在价值时点2025年2月18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3371</v>
      </c>
    </row>
    <row r="21" spans="1:2" s="1202" customFormat="1">
      <c r="A21" s="1200" t="s">
        <v>537</v>
      </c>
      <c r="B21" s="1201">
        <f ca="1">'预评函-2'!D7</f>
        <v>7559</v>
      </c>
    </row>
    <row r="22" spans="1:2" s="1202" customFormat="1">
      <c r="A22" s="1200" t="s">
        <v>538</v>
      </c>
      <c r="B22" s="1201" t="str">
        <f ca="1">'预评函-2'!D6</f>
        <v>叁仟叁佰柒拾壹万元整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3371</v>
      </c>
    </row>
    <row r="31" spans="1:2" s="1202" customFormat="1">
      <c r="A31" s="1200" t="s">
        <v>576</v>
      </c>
      <c r="B31" s="1201">
        <f ca="1">'预评函-2'!D15</f>
        <v>7559</v>
      </c>
    </row>
    <row r="32" spans="1:2" s="1202" customFormat="1">
      <c r="A32" s="1200" t="s">
        <v>543</v>
      </c>
      <c r="B32" s="1201" t="str">
        <f ca="1">'预评函-2'!D14</f>
        <v>叁仟叁佰柒拾壹万元整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北京市延庆区延庆镇东街2号（北侧）-1层地下室等[2]套商业用房房地产</v>
      </c>
    </row>
    <row r="42" spans="1:2" s="1202" customFormat="1">
      <c r="A42" s="1200" t="s">
        <v>590</v>
      </c>
      <c r="B42" s="1201" t="str">
        <f>'预评函-3'!B2</f>
        <v>建筑面积</v>
      </c>
    </row>
    <row r="43" spans="1:2" s="1202" customFormat="1">
      <c r="A43" s="1200" t="s">
        <v>591</v>
      </c>
      <c r="B43" s="1201">
        <f>'预评函-3'!B4</f>
        <v>4460</v>
      </c>
    </row>
    <row r="44" spans="1:2" s="1202" customFormat="1">
      <c r="A44" s="1200" t="s">
        <v>575</v>
      </c>
      <c r="B44" s="1201" t="str">
        <f>'预评函-3'!C2</f>
        <v>(分摊)土地面积</v>
      </c>
    </row>
    <row r="45" spans="1:2" s="1202" customFormat="1">
      <c r="A45" s="1200" t="s">
        <v>547</v>
      </c>
      <c r="B45" s="1201">
        <f>'预评函-3'!C4</f>
        <v>1510.07</v>
      </c>
    </row>
    <row r="46" spans="1:2" s="1202" customFormat="1">
      <c r="A46" s="1200" t="s">
        <v>573</v>
      </c>
      <c r="B46" s="1201" t="str">
        <f>'预评函-3'!D2</f>
        <v>出让国有建设用地使用权价值</v>
      </c>
    </row>
    <row r="47" spans="1:2" s="1202" customFormat="1">
      <c r="A47" s="1200" t="s">
        <v>548</v>
      </c>
      <c r="B47" s="1201">
        <f ca="1">'预评函-3'!D4</f>
        <v>2147</v>
      </c>
    </row>
    <row r="48" spans="1:2" s="1202" customFormat="1">
      <c r="A48" s="1200" t="s">
        <v>549</v>
      </c>
      <c r="B48" s="1201">
        <f ca="1">'预评函-3'!E4</f>
        <v>4815</v>
      </c>
    </row>
    <row r="49" spans="1:2" s="1202" customFormat="1">
      <c r="A49" s="1200" t="s">
        <v>550</v>
      </c>
      <c r="B49" s="1201" t="str">
        <f ca="1">'预评函-3'!D5</f>
        <v>贰仟壹佰肆拾柒万元整</v>
      </c>
    </row>
    <row r="50" spans="1:2" s="1202" customFormat="1">
      <c r="A50" s="1200" t="s">
        <v>574</v>
      </c>
      <c r="B50" s="1201" t="str">
        <f>'预评函-3'!F2</f>
        <v>在建建筑物价值</v>
      </c>
    </row>
    <row r="51" spans="1:2" s="1202" customFormat="1">
      <c r="A51" s="1200" t="s">
        <v>551</v>
      </c>
      <c r="B51" s="1201">
        <f ca="1">'预评函-3'!F4</f>
        <v>1224</v>
      </c>
    </row>
    <row r="52" spans="1:2" s="1202" customFormat="1">
      <c r="A52" s="1200" t="s">
        <v>552</v>
      </c>
      <c r="B52" s="1201">
        <f ca="1">'预评函-3'!G4</f>
        <v>2744</v>
      </c>
    </row>
    <row r="53" spans="1:2" s="1202" customFormat="1">
      <c r="A53" s="1200" t="s">
        <v>580</v>
      </c>
      <c r="B53" s="1201" t="str">
        <f ca="1">'预评函-3'!F5</f>
        <v>壹仟贰佰贰拾肆万元整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3339</v>
      </c>
    </row>
    <row r="8" spans="1:23">
      <c r="A8" s="1545" t="s">
        <v>1026</v>
      </c>
      <c r="B8" s="1545" t="s">
        <v>1027</v>
      </c>
      <c r="C8" s="1546" t="s">
        <v>319</v>
      </c>
      <c r="F8" s="1547" t="s">
        <v>1028</v>
      </c>
      <c r="H8" s="1547" t="s">
        <v>2576</v>
      </c>
      <c r="I8" s="1547" t="s">
        <v>3340</v>
      </c>
    </row>
    <row r="9" spans="1:23">
      <c r="A9" s="1545" t="s">
        <v>1029</v>
      </c>
      <c r="B9" s="1545" t="s">
        <v>1030</v>
      </c>
      <c r="C9" s="1546" t="s">
        <v>320</v>
      </c>
      <c r="F9" s="1547" t="s">
        <v>1031</v>
      </c>
      <c r="H9" s="1547"/>
      <c r="I9" s="1550" t="s">
        <v>3341</v>
      </c>
    </row>
    <row r="10" spans="1:23">
      <c r="A10" s="1545" t="s">
        <v>1032</v>
      </c>
      <c r="B10" s="1545" t="s">
        <v>1033</v>
      </c>
      <c r="C10" s="1546" t="s">
        <v>321</v>
      </c>
      <c r="F10" s="1547" t="s">
        <v>2577</v>
      </c>
      <c r="I10" s="1550" t="s">
        <v>3342</v>
      </c>
    </row>
    <row r="11" spans="1:23">
      <c r="A11" s="1545" t="s">
        <v>1034</v>
      </c>
      <c r="B11" s="1545" t="s">
        <v>1035</v>
      </c>
      <c r="C11" s="1546" t="s">
        <v>322</v>
      </c>
      <c r="F11" s="1547" t="s">
        <v>13</v>
      </c>
      <c r="I11" s="1550" t="s">
        <v>3343</v>
      </c>
    </row>
    <row r="12" spans="1:23">
      <c r="A12" s="1545" t="s">
        <v>1036</v>
      </c>
      <c r="B12" s="1545" t="s">
        <v>1037</v>
      </c>
      <c r="C12" s="1546" t="s">
        <v>323</v>
      </c>
      <c r="I12" s="1550" t="s">
        <v>3344</v>
      </c>
    </row>
    <row r="13" spans="1:23">
      <c r="A13" s="1545" t="s">
        <v>1038</v>
      </c>
      <c r="B13" s="1545" t="s">
        <v>1039</v>
      </c>
      <c r="C13" s="1546" t="s">
        <v>324</v>
      </c>
      <c r="I13" s="1550" t="s">
        <v>3345</v>
      </c>
    </row>
    <row r="14" spans="1:23">
      <c r="A14" s="1545" t="s">
        <v>1040</v>
      </c>
      <c r="B14" s="1545" t="s">
        <v>1041</v>
      </c>
      <c r="C14" s="1547" t="s">
        <v>13</v>
      </c>
      <c r="I14" s="1550" t="s">
        <v>3346</v>
      </c>
    </row>
    <row r="15" spans="1:23">
      <c r="A15" s="1545" t="s">
        <v>1042</v>
      </c>
      <c r="B15" s="1545" t="s">
        <v>1043</v>
      </c>
      <c r="C15" s="1546"/>
      <c r="I15" s="1550" t="s">
        <v>3347</v>
      </c>
    </row>
    <row r="16" spans="1:23">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延庆镇东街2号（北侧）-1层地下室等[2]套商业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61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6"/>
      <c r="B54" s="1553" t="s">
        <v>385</v>
      </c>
      <c r="C54" s="1550" t="s">
        <v>583</v>
      </c>
    </row>
    <row r="55" spans="1:4">
      <c r="A55" s="3616"/>
      <c r="B55" s="1553" t="s">
        <v>386</v>
      </c>
      <c r="C55" s="1550" t="s">
        <v>584</v>
      </c>
    </row>
    <row r="56" spans="1:4">
      <c r="A56" s="3616"/>
      <c r="B56" s="1553" t="s">
        <v>387</v>
      </c>
      <c r="C56" s="1550" t="s">
        <v>588</v>
      </c>
    </row>
    <row r="57" spans="1:4">
      <c r="A57" s="361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617" t="s">
        <v>2579</v>
      </c>
      <c r="J2" s="3617"/>
      <c r="K2" s="3617"/>
      <c r="L2" s="3617"/>
      <c r="M2" s="3617"/>
      <c r="N2" s="3617"/>
      <c r="O2" s="3617"/>
      <c r="P2" s="3617"/>
      <c r="Q2" s="3617"/>
      <c r="R2" s="3617"/>
    </row>
    <row r="3" spans="1:18">
      <c r="A3" s="3017" t="s">
        <v>2500</v>
      </c>
      <c r="B3" s="3018">
        <f>项目基本情况!D3</f>
        <v>45706</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1.83</v>
      </c>
      <c r="D5" s="3022">
        <f>IF(ISERROR(ROUND(POWER(1+E5,A5-C5)*(POWER(1+E5,C5)-1)/(POWER(1+E5,A5)-1),3)),0,ROUND(POWER(1+E5,A5-C5)*(POWER(1+E5,C5)-1)/(POWER(1+E5,A5)-1),4))</f>
        <v>8.7499999999999994E-2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11.84</v>
      </c>
      <c r="D6" s="3022">
        <f>IF(ISERROR(ROUND(POWER(1+E6,A6-C6)*(POWER(1+E6,C6)-1)/(POWER(1+E6,A6)-1),3)),0,ROUND(POWER(1+E6,A6-C6)*(POWER(1+E6,C6)-1)/(POWER(1+E6,A6)-1),4))</f>
        <v>0.43230000000000002</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31.85</v>
      </c>
      <c r="D7" s="3022">
        <f>IF(ISERROR(ROUND(POWER(1+E7,A7-C7)*(POWER(1+E7,C7)-1)/(POWER(1+E7,A7)-1),3)),0,ROUND(POWER(1+E7,A7-C7)*(POWER(1+E7,C7)-1)/(POWER(1+E7,A7)-1),4))</f>
        <v>0.76219999999999999</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4">
      <c r="A17" s="3017" t="s">
        <v>2516</v>
      </c>
      <c r="B17" s="3026">
        <v>4810</v>
      </c>
      <c r="C17" s="3019"/>
      <c r="D17" s="3015"/>
      <c r="E17" s="3015"/>
      <c r="F17" s="3016"/>
    </row>
    <row r="18" spans="1:14" ht="14.25" thickBot="1">
      <c r="A18" s="3028" t="s">
        <v>2515</v>
      </c>
      <c r="B18" s="3029">
        <f>ROUND(B17*F11/F12,2)</f>
        <v>5541.87</v>
      </c>
      <c r="C18" s="3029">
        <f>ROUND(F11/F12,4)</f>
        <v>1.1521999999999999</v>
      </c>
      <c r="D18" s="3030"/>
      <c r="E18" s="3030"/>
      <c r="F18" s="3031"/>
    </row>
    <row r="19" spans="1:14" ht="14.25" thickBot="1"/>
    <row r="20" spans="1:14" s="3066" customFormat="1" ht="14.25" thickTop="1">
      <c r="A20" s="3063" t="s">
        <v>2518</v>
      </c>
      <c r="B20" s="3064"/>
      <c r="C20" s="3064"/>
      <c r="D20" s="3064"/>
      <c r="E20" s="3064"/>
      <c r="F20" s="3064"/>
      <c r="G20" s="3065"/>
      <c r="I20" s="3067" t="s">
        <v>2563</v>
      </c>
      <c r="J20" s="3067" t="s">
        <v>2568</v>
      </c>
      <c r="K20" s="3067"/>
      <c r="L20" s="3067"/>
      <c r="M20" s="3067"/>
    </row>
    <row r="21" spans="1:14">
      <c r="A21" s="3032"/>
      <c r="B21" s="3033" t="s">
        <v>2519</v>
      </c>
      <c r="C21" s="3033" t="s">
        <v>2520</v>
      </c>
      <c r="D21" s="3033" t="s">
        <v>2521</v>
      </c>
      <c r="E21" s="3033" t="s">
        <v>2522</v>
      </c>
      <c r="F21" s="3033" t="s">
        <v>2523</v>
      </c>
      <c r="G21" s="3034" t="s">
        <v>2524</v>
      </c>
      <c r="I21" s="3055">
        <v>5</v>
      </c>
      <c r="J21" s="3055">
        <v>54.2</v>
      </c>
    </row>
    <row r="22" spans="1:14">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N23" s="3454" t="s">
        <v>2567</v>
      </c>
    </row>
    <row r="24" spans="1:14">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N24" s="3454">
        <v>10</v>
      </c>
    </row>
    <row r="25" spans="1:14">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N25" s="3454">
        <v>8</v>
      </c>
    </row>
    <row r="26" spans="1:14">
      <c r="A26" s="3037"/>
      <c r="B26" s="3038"/>
      <c r="C26" s="3038"/>
      <c r="D26" s="3038"/>
      <c r="E26" s="3038"/>
      <c r="F26" s="3038"/>
      <c r="G26" s="3039"/>
      <c r="I26" s="3055">
        <v>30</v>
      </c>
      <c r="J26" s="3055">
        <v>90.5</v>
      </c>
      <c r="K26" s="3055">
        <f t="shared" si="2"/>
        <v>4.2000000000000028</v>
      </c>
      <c r="L26" s="3055" t="s">
        <v>2570</v>
      </c>
      <c r="N26" s="3454">
        <v>5</v>
      </c>
    </row>
    <row r="27" spans="1:14">
      <c r="A27" s="3037" t="s">
        <v>2529</v>
      </c>
      <c r="B27" s="3038"/>
      <c r="C27" s="3038"/>
      <c r="D27" s="3038"/>
      <c r="E27" s="3038"/>
      <c r="F27" s="3038"/>
      <c r="G27" s="3039"/>
      <c r="I27" s="3055">
        <v>35</v>
      </c>
      <c r="J27" s="3055">
        <v>93.8</v>
      </c>
      <c r="K27" s="3055">
        <f t="shared" si="2"/>
        <v>3.2999999999999972</v>
      </c>
      <c r="L27" s="3055" t="s">
        <v>2571</v>
      </c>
      <c r="N27" s="3454">
        <v>3</v>
      </c>
    </row>
    <row r="28" spans="1:14">
      <c r="A28" s="3037" t="s">
        <v>2530</v>
      </c>
      <c r="B28" s="3038"/>
      <c r="C28" s="3038"/>
      <c r="D28" s="3038"/>
      <c r="E28" s="3038"/>
      <c r="F28" s="3038"/>
      <c r="G28" s="3039"/>
      <c r="I28" s="3055">
        <v>40</v>
      </c>
      <c r="J28" s="3055">
        <v>96.4</v>
      </c>
      <c r="K28" s="3055">
        <f t="shared" si="2"/>
        <v>2.6000000000000085</v>
      </c>
      <c r="L28" s="3055" t="s">
        <v>2572</v>
      </c>
      <c r="N28" s="3454">
        <v>2</v>
      </c>
    </row>
    <row r="29" spans="1:14">
      <c r="A29" s="3037" t="s">
        <v>2531</v>
      </c>
      <c r="B29" s="3038"/>
      <c r="C29" s="3038"/>
      <c r="D29" s="3038"/>
      <c r="E29" s="3038"/>
      <c r="F29" s="3038"/>
      <c r="G29" s="3039"/>
      <c r="I29" s="3055">
        <v>45</v>
      </c>
      <c r="J29" s="3055">
        <v>98.4</v>
      </c>
      <c r="K29" s="3055">
        <f t="shared" si="2"/>
        <v>2</v>
      </c>
    </row>
    <row r="30" spans="1:14">
      <c r="A30" s="3037" t="s">
        <v>2532</v>
      </c>
      <c r="B30" s="3038"/>
      <c r="C30" s="3038"/>
      <c r="D30" s="3038"/>
      <c r="E30" s="3038"/>
      <c r="F30" s="3038"/>
      <c r="G30" s="3039"/>
      <c r="I30" s="3055">
        <v>50</v>
      </c>
      <c r="J30" s="3055">
        <v>100</v>
      </c>
      <c r="K30" s="3055">
        <f t="shared" si="2"/>
        <v>1.5999999999999943</v>
      </c>
    </row>
    <row r="31" spans="1:14">
      <c r="A31" s="3037" t="s">
        <v>2533</v>
      </c>
      <c r="B31" s="3038"/>
      <c r="C31" s="3038"/>
      <c r="D31" s="3038"/>
      <c r="E31" s="3038"/>
      <c r="F31" s="3038"/>
      <c r="G31" s="3039"/>
      <c r="I31" s="3055" t="s">
        <v>2564</v>
      </c>
    </row>
    <row r="32" spans="1:14">
      <c r="A32" s="3037" t="s">
        <v>2534</v>
      </c>
      <c r="B32" s="3038"/>
      <c r="C32" s="3038"/>
      <c r="D32" s="3038"/>
      <c r="E32" s="3038"/>
      <c r="F32" s="3038"/>
      <c r="G32" s="3039"/>
    </row>
    <row r="33" spans="1:14">
      <c r="A33" s="3037" t="s">
        <v>2535</v>
      </c>
      <c r="B33" s="3038"/>
      <c r="C33" s="3038"/>
      <c r="D33" s="3038"/>
      <c r="E33" s="3038"/>
      <c r="F33" s="3038"/>
      <c r="G33" s="3039"/>
      <c r="I33" s="3055" t="s">
        <v>2563</v>
      </c>
      <c r="J33" s="3055" t="s">
        <v>2573</v>
      </c>
    </row>
    <row r="34" spans="1:14">
      <c r="A34" s="3037" t="s">
        <v>2536</v>
      </c>
      <c r="B34" s="3038"/>
      <c r="C34" s="3038"/>
      <c r="D34" s="3038"/>
      <c r="E34" s="3038"/>
      <c r="F34" s="3038"/>
      <c r="G34" s="3039"/>
      <c r="I34" s="3055">
        <v>5</v>
      </c>
      <c r="J34" s="3055">
        <v>55.1</v>
      </c>
    </row>
    <row r="35" spans="1:14">
      <c r="A35" s="3037" t="s">
        <v>2537</v>
      </c>
      <c r="B35" s="3038"/>
      <c r="C35" s="3038"/>
      <c r="D35" s="3038"/>
      <c r="E35" s="3038"/>
      <c r="F35" s="3038"/>
      <c r="G35" s="3039"/>
      <c r="I35" s="3055">
        <v>10</v>
      </c>
      <c r="J35" s="3055">
        <v>67</v>
      </c>
      <c r="K35" s="3055">
        <f>J35-J34</f>
        <v>11.899999999999999</v>
      </c>
    </row>
    <row r="36" spans="1:14">
      <c r="A36" s="3037" t="s">
        <v>2538</v>
      </c>
      <c r="B36" s="3038"/>
      <c r="C36" s="3038"/>
      <c r="D36" s="3038"/>
      <c r="E36" s="3038"/>
      <c r="F36" s="3038"/>
      <c r="G36" s="3039"/>
      <c r="I36" s="3055">
        <v>15</v>
      </c>
      <c r="J36" s="3055">
        <v>76.3</v>
      </c>
      <c r="K36" s="3055">
        <f t="shared" ref="K36:K41" si="3">J36-J35</f>
        <v>9.2999999999999972</v>
      </c>
      <c r="L36" s="3055" t="s">
        <v>2566</v>
      </c>
      <c r="N36" s="3454" t="s">
        <v>2567</v>
      </c>
    </row>
    <row r="37" spans="1:14">
      <c r="A37" s="3037" t="s">
        <v>2539</v>
      </c>
      <c r="B37" s="3038"/>
      <c r="C37" s="3038"/>
      <c r="D37" s="3038"/>
      <c r="E37" s="3038"/>
      <c r="F37" s="3038"/>
      <c r="G37" s="3039"/>
      <c r="I37" s="3055">
        <v>20</v>
      </c>
      <c r="J37" s="3055">
        <v>83.6</v>
      </c>
      <c r="K37" s="3055">
        <f t="shared" si="3"/>
        <v>7.2999999999999972</v>
      </c>
      <c r="L37" s="3055" t="s">
        <v>2565</v>
      </c>
      <c r="N37" s="3454">
        <v>10</v>
      </c>
    </row>
    <row r="38" spans="1:14">
      <c r="A38" s="3037" t="s">
        <v>2540</v>
      </c>
      <c r="B38" s="3038"/>
      <c r="C38" s="3038"/>
      <c r="D38" s="3038"/>
      <c r="E38" s="3038"/>
      <c r="F38" s="3038"/>
      <c r="G38" s="3039"/>
      <c r="I38" s="3055">
        <v>25</v>
      </c>
      <c r="J38" s="3055">
        <v>89.3</v>
      </c>
      <c r="K38" s="3055">
        <f t="shared" si="3"/>
        <v>5.7000000000000028</v>
      </c>
      <c r="L38" s="3055" t="s">
        <v>2569</v>
      </c>
      <c r="N38" s="3454">
        <v>8</v>
      </c>
    </row>
    <row r="39" spans="1:14">
      <c r="A39" s="3037"/>
      <c r="B39" s="3038"/>
      <c r="C39" s="3038"/>
      <c r="D39" s="3038"/>
      <c r="E39" s="3038"/>
      <c r="F39" s="3038"/>
      <c r="G39" s="3039"/>
      <c r="I39" s="3055">
        <v>30</v>
      </c>
      <c r="J39" s="3055">
        <v>93.8</v>
      </c>
      <c r="K39" s="3055">
        <f t="shared" si="3"/>
        <v>4.5</v>
      </c>
      <c r="L39" s="3055" t="s">
        <v>2570</v>
      </c>
      <c r="N39" s="3454">
        <v>6</v>
      </c>
    </row>
    <row r="40" spans="1:14">
      <c r="A40" s="3040" t="s">
        <v>2541</v>
      </c>
      <c r="B40" s="3041"/>
      <c r="C40" s="3041"/>
      <c r="D40" s="3041"/>
      <c r="E40" s="3041"/>
      <c r="F40" s="3041"/>
      <c r="G40" s="3042"/>
      <c r="I40" s="3055">
        <v>35</v>
      </c>
      <c r="J40" s="3055">
        <v>97.2</v>
      </c>
      <c r="K40" s="3055">
        <f t="shared" si="3"/>
        <v>3.4000000000000057</v>
      </c>
      <c r="L40" s="3055" t="s">
        <v>2571</v>
      </c>
      <c r="N40" s="3454">
        <v>3</v>
      </c>
    </row>
    <row r="41" spans="1:14">
      <c r="A41" s="3043" t="s">
        <v>2542</v>
      </c>
      <c r="B41" s="3044" t="s">
        <v>2543</v>
      </c>
      <c r="C41" s="3045" t="s">
        <v>2544</v>
      </c>
      <c r="D41" s="3045" t="s">
        <v>2545</v>
      </c>
      <c r="E41" s="3046"/>
      <c r="F41" s="3047"/>
      <c r="G41" s="3048"/>
      <c r="I41" s="3055">
        <v>40</v>
      </c>
      <c r="J41" s="3055">
        <v>100</v>
      </c>
      <c r="K41" s="3055">
        <f t="shared" si="3"/>
        <v>2.7999999999999972</v>
      </c>
    </row>
    <row r="42" spans="1:14">
      <c r="A42" s="3043" t="s">
        <v>2546</v>
      </c>
      <c r="B42" s="3044" t="s">
        <v>2547</v>
      </c>
      <c r="C42" s="3045" t="s">
        <v>2548</v>
      </c>
      <c r="D42" s="3049" t="s">
        <v>2549</v>
      </c>
      <c r="E42" s="3041" t="s">
        <v>2550</v>
      </c>
      <c r="F42" s="3041"/>
      <c r="G42" s="3042"/>
    </row>
    <row r="43" spans="1:14">
      <c r="A43" s="3043" t="s">
        <v>2551</v>
      </c>
      <c r="B43" s="3044" t="s">
        <v>2552</v>
      </c>
      <c r="C43" s="3045" t="s">
        <v>2553</v>
      </c>
      <c r="D43" s="3045" t="s">
        <v>2554</v>
      </c>
      <c r="E43" s="3046" t="s">
        <v>2555</v>
      </c>
      <c r="F43" s="3047"/>
      <c r="G43" s="3048"/>
      <c r="I43" s="3055" t="s">
        <v>2563</v>
      </c>
      <c r="J43" s="3055" t="s">
        <v>2574</v>
      </c>
    </row>
    <row r="44" spans="1:14">
      <c r="A44" s="3043" t="s">
        <v>2556</v>
      </c>
      <c r="B44" s="3044" t="s">
        <v>2557</v>
      </c>
      <c r="C44" s="3045" t="s">
        <v>2558</v>
      </c>
      <c r="D44" s="3049">
        <v>0.5</v>
      </c>
      <c r="E44" s="3046" t="s">
        <v>2559</v>
      </c>
      <c r="F44" s="3047"/>
      <c r="G44" s="3048"/>
      <c r="I44" s="3055">
        <v>30</v>
      </c>
      <c r="J44" s="3055">
        <v>81.7</v>
      </c>
    </row>
    <row r="45" spans="1:14" ht="14.25" thickBot="1">
      <c r="A45" s="3050" t="s">
        <v>2560</v>
      </c>
      <c r="B45" s="3051" t="s">
        <v>2547</v>
      </c>
      <c r="C45" s="3052" t="s">
        <v>2547</v>
      </c>
      <c r="D45" s="3052" t="s">
        <v>2561</v>
      </c>
      <c r="E45" s="3053" t="s">
        <v>2562</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4.25" thickBot="1"/>
    <row r="49" spans="1:4">
      <c r="A49" s="3010" t="s">
        <v>3387</v>
      </c>
    </row>
    <row r="50" spans="1:4">
      <c r="A50" s="3446" t="s">
        <v>3388</v>
      </c>
      <c r="B50" s="3446" t="s">
        <v>3389</v>
      </c>
      <c r="C50" s="3446" t="s">
        <v>3390</v>
      </c>
      <c r="D50" s="3446" t="s">
        <v>3391</v>
      </c>
    </row>
    <row r="51" spans="1:4">
      <c r="A51" s="3446" t="s">
        <v>3392</v>
      </c>
      <c r="B51" s="3019">
        <f>B52+B53</f>
        <v>15000</v>
      </c>
      <c r="C51" s="3447">
        <f>D51/B51</f>
        <v>2666.6666666666665</v>
      </c>
      <c r="D51" s="3019">
        <f>D52+D53</f>
        <v>40000000</v>
      </c>
    </row>
    <row r="52" spans="1:4">
      <c r="A52" s="3448" t="s">
        <v>3393</v>
      </c>
      <c r="B52" s="3449">
        <v>10000</v>
      </c>
      <c r="C52" s="3449">
        <v>1500</v>
      </c>
      <c r="D52" s="3450">
        <f>C52*B52</f>
        <v>15000000</v>
      </c>
    </row>
    <row r="53" spans="1:4">
      <c r="A53" s="3448" t="s">
        <v>3394</v>
      </c>
      <c r="B53" s="3449">
        <v>5000</v>
      </c>
      <c r="C53" s="3449">
        <v>5000</v>
      </c>
      <c r="D53" s="3450">
        <f>C53*B53</f>
        <v>25000000</v>
      </c>
    </row>
    <row r="54" spans="1:4">
      <c r="A54" s="3446" t="s">
        <v>3395</v>
      </c>
      <c r="B54" s="3019">
        <f>B51</f>
        <v>15000</v>
      </c>
      <c r="C54" s="3026">
        <v>700</v>
      </c>
      <c r="D54" s="3019">
        <f t="shared" ref="D54:D55" si="5">C54*B54</f>
        <v>10500000</v>
      </c>
    </row>
    <row r="55" spans="1:4">
      <c r="A55" s="3446" t="s">
        <v>3396</v>
      </c>
      <c r="B55" s="3019">
        <f>B51</f>
        <v>15000</v>
      </c>
      <c r="C55" s="3026">
        <v>1500</v>
      </c>
      <c r="D55" s="3019">
        <f t="shared" si="5"/>
        <v>22500000</v>
      </c>
    </row>
    <row r="56" spans="1:4">
      <c r="A56" s="3446" t="s">
        <v>3397</v>
      </c>
      <c r="B56" s="3019">
        <f>B51</f>
        <v>15000</v>
      </c>
      <c r="C56" s="3451">
        <f>C51+C54+C55</f>
        <v>4866.6666666666661</v>
      </c>
      <c r="D56" s="3019">
        <f>D51+D54+D55</f>
        <v>73000000</v>
      </c>
    </row>
    <row r="58" spans="1:4">
      <c r="A58" s="3446" t="s">
        <v>3398</v>
      </c>
      <c r="B58" s="3452">
        <v>0.05</v>
      </c>
      <c r="C58" s="3019">
        <f>C56*(1+B58)</f>
        <v>5110</v>
      </c>
      <c r="D58" s="3019">
        <f>D56*B58</f>
        <v>3650000</v>
      </c>
    </row>
    <row r="60" spans="1:4">
      <c r="A60" s="3446" t="s">
        <v>3399</v>
      </c>
      <c r="B60" s="3026">
        <v>3500</v>
      </c>
      <c r="C60" s="3026">
        <f>C53</f>
        <v>5000</v>
      </c>
      <c r="D60" s="3019">
        <f>C60*B60</f>
        <v>17500000</v>
      </c>
    </row>
    <row r="62" spans="1:4">
      <c r="A62" s="3446" t="s">
        <v>3400</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744" customWidth="1"/>
    <col min="2" max="2" width="10" style="1744" customWidth="1"/>
    <col min="3" max="3" width="11.5" style="1744" customWidth="1"/>
    <col min="4" max="4" width="11.75"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618" t="str">
        <f>IF(B10="北京市","北京市",C10)&amp;F10&amp;IF(结果表!G1="在建","出让国有建设用地使用权及在建建筑物",IF(结果表!G1="土地","出让国有建设用地使用权",))&amp;B9&amp;"预评估"</f>
        <v>北京市延庆区延庆镇东街2号（北侧）-1层地下室等[2]套商业用房房地产抵押价值预评估</v>
      </c>
      <c r="C1" s="3619"/>
      <c r="D1" s="3619"/>
      <c r="E1" s="3619"/>
      <c r="F1" s="3619"/>
      <c r="G1" s="3619"/>
      <c r="H1" s="3619"/>
      <c r="I1" s="3620"/>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北京市延庆区延庆镇东街2号（北侧）-1层地下室等[2]套商业用房房地产抵押价值</v>
      </c>
      <c r="T1" s="1744"/>
      <c r="U1" s="1744"/>
      <c r="V1" s="1744"/>
      <c r="W1" s="1744"/>
      <c r="X1" s="1744"/>
      <c r="Y1" s="1744"/>
      <c r="Z1" s="1744"/>
      <c r="AA1" s="1744"/>
      <c r="AB1" s="1744"/>
    </row>
    <row r="2" spans="1:30">
      <c r="A2" s="2366" t="s">
        <v>2168</v>
      </c>
      <c r="B2" s="2370"/>
      <c r="C2" s="2371"/>
      <c r="D2" s="2667"/>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北京市延庆区延庆镇东街2号（北侧）-1层地下室等[2]套商业用房房地产</v>
      </c>
      <c r="T2" s="1744"/>
      <c r="U2" s="1744"/>
      <c r="V2" s="1744"/>
      <c r="W2" s="1744"/>
      <c r="X2" s="1744"/>
      <c r="Y2" s="1744"/>
      <c r="Z2" s="1744"/>
      <c r="AA2" s="1744"/>
      <c r="AB2" s="1744"/>
    </row>
    <row r="3" spans="1:30">
      <c r="A3" s="302" t="s">
        <v>2169</v>
      </c>
      <c r="B3" s="2372">
        <v>45706</v>
      </c>
      <c r="C3" s="2373" t="s">
        <v>2170</v>
      </c>
      <c r="D3" s="2372">
        <f>B3</f>
        <v>45706</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3481" t="s">
        <v>3792</v>
      </c>
      <c r="C5" s="2379"/>
      <c r="D5" s="2380"/>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3402</v>
      </c>
      <c r="C8" s="2388"/>
      <c r="D8" s="3621" t="s">
        <v>2176</v>
      </c>
      <c r="E8" s="2389" t="s">
        <v>3403</v>
      </c>
      <c r="F8" s="2390"/>
      <c r="G8" s="2661"/>
      <c r="H8" s="2661"/>
      <c r="I8" s="2661"/>
      <c r="J8" s="2437"/>
      <c r="K8" s="2612"/>
      <c r="L8" s="2611"/>
      <c r="M8" s="2611"/>
      <c r="N8" s="2437"/>
      <c r="O8" s="2448"/>
      <c r="P8" s="2437"/>
      <c r="Q8" s="2437"/>
      <c r="R8" s="2437"/>
    </row>
    <row r="9" spans="1:30" ht="13.5" thickBot="1">
      <c r="A9" s="2391" t="s">
        <v>2177</v>
      </c>
      <c r="B9" s="2392" t="s">
        <v>3403</v>
      </c>
      <c r="C9" s="2393"/>
      <c r="D9" s="3622"/>
      <c r="E9" s="2392"/>
      <c r="F9" s="2394"/>
      <c r="G9" s="2663"/>
      <c r="H9" s="2663"/>
      <c r="I9" s="2663"/>
      <c r="J9" s="2437"/>
      <c r="K9" s="2614"/>
      <c r="L9" s="2611"/>
      <c r="M9" s="2611"/>
      <c r="N9" s="2437"/>
      <c r="O9" s="2448"/>
      <c r="P9" s="2437"/>
      <c r="Q9" s="2437"/>
      <c r="R9" s="2437"/>
    </row>
    <row r="10" spans="1:30" ht="13.5" thickTop="1">
      <c r="A10" s="2395" t="s">
        <v>2178</v>
      </c>
      <c r="B10" s="2396" t="s">
        <v>3404</v>
      </c>
      <c r="C10" s="2397"/>
      <c r="D10" s="2380"/>
      <c r="E10" s="2398" t="s">
        <v>2179</v>
      </c>
      <c r="F10" s="3475" t="s">
        <v>3801</v>
      </c>
      <c r="G10" s="2664"/>
      <c r="H10" s="2665"/>
      <c r="I10" s="2666"/>
      <c r="J10" s="2437"/>
      <c r="K10" s="2614"/>
      <c r="L10" s="2611"/>
      <c r="M10" s="2611"/>
      <c r="N10" s="2437"/>
      <c r="O10" s="2448"/>
      <c r="P10" s="2437"/>
      <c r="Q10" s="2437"/>
      <c r="R10" s="2437"/>
    </row>
    <row r="11" spans="1:30">
      <c r="A11" s="2399" t="s">
        <v>2180</v>
      </c>
      <c r="B11" s="2400" t="s">
        <v>3486</v>
      </c>
      <c r="C11" s="2401"/>
      <c r="D11" s="2402"/>
      <c r="E11" s="2369"/>
      <c r="F11" s="2369"/>
      <c r="G11" s="2369"/>
      <c r="H11" s="2369"/>
      <c r="I11" s="2369"/>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2575</v>
      </c>
      <c r="J12" s="3059"/>
      <c r="K12" s="2611"/>
      <c r="L12" s="2611"/>
      <c r="M12" s="2437"/>
      <c r="N12" s="2448"/>
      <c r="O12" s="2437"/>
      <c r="P12" s="2437"/>
      <c r="Q12" s="2437"/>
      <c r="AD12" s="1744"/>
    </row>
    <row r="13" spans="1:30">
      <c r="A13" s="3420" t="s">
        <v>3330</v>
      </c>
      <c r="B13" s="2405" t="s">
        <v>2189</v>
      </c>
      <c r="C13" s="855"/>
      <c r="D13" s="3474">
        <v>50935</v>
      </c>
      <c r="E13" s="3474"/>
      <c r="F13" s="855"/>
      <c r="G13" s="855"/>
      <c r="H13" s="855"/>
      <c r="I13" s="855"/>
      <c r="J13" s="3059"/>
      <c r="K13" s="2611"/>
      <c r="L13" s="2611"/>
      <c r="M13" s="2437"/>
      <c r="N13" s="2448"/>
      <c r="O13" s="2437"/>
      <c r="P13" s="2437"/>
      <c r="Q13" s="2437"/>
      <c r="AD13" s="1744"/>
    </row>
    <row r="14" spans="1:30">
      <c r="A14" s="1080"/>
      <c r="B14" s="2405" t="s">
        <v>2190</v>
      </c>
      <c r="C14" s="2406"/>
      <c r="D14" s="2406">
        <v>40</v>
      </c>
      <c r="E14" s="2406">
        <v>50</v>
      </c>
      <c r="F14" s="2406"/>
      <c r="G14" s="2406"/>
      <c r="H14" s="2406"/>
      <c r="I14" s="2406"/>
      <c r="J14" s="3060"/>
      <c r="K14" s="2611"/>
      <c r="L14" s="2611"/>
      <c r="M14" s="2437"/>
      <c r="N14" s="2448"/>
      <c r="O14" s="2437"/>
      <c r="P14" s="2437"/>
      <c r="Q14" s="2437"/>
      <c r="AD14" s="1744"/>
    </row>
    <row r="15" spans="1:30">
      <c r="A15" s="320"/>
      <c r="B15" s="2407" t="s">
        <v>2191</v>
      </c>
      <c r="C15" s="2408" t="str">
        <f>IF(A13="出让",IF(C13="","",ROUNDDOWN(MIN((C13-$D$3)/365,C14),2)),C14)</f>
        <v/>
      </c>
      <c r="D15" s="2408">
        <f>IF(A13="出让",IF(D13="","",ROUNDDOWN(MIN((D13-$D$3)/365,D14),2)),D14)</f>
        <v>14.32</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4"/>
    </row>
    <row r="16" spans="1:30">
      <c r="A16" s="2398" t="s">
        <v>2192</v>
      </c>
      <c r="B16" s="3628"/>
      <c r="C16" s="3629"/>
      <c r="D16" s="3630"/>
      <c r="E16" s="2411" t="s">
        <v>2193</v>
      </c>
      <c r="F16" s="3631"/>
      <c r="G16" s="3632"/>
      <c r="H16" s="3632"/>
      <c r="I16" s="3633"/>
      <c r="J16" s="2437"/>
      <c r="K16" s="2615"/>
      <c r="L16" s="2449"/>
      <c r="M16" s="2449"/>
      <c r="N16" s="2507"/>
      <c r="O16" s="2449"/>
      <c r="P16" s="2507"/>
      <c r="Q16" s="2437"/>
      <c r="R16" s="2437"/>
    </row>
    <row r="17" spans="1:28">
      <c r="A17" s="313" t="s">
        <v>2194</v>
      </c>
      <c r="B17" s="302" t="s">
        <v>2195</v>
      </c>
      <c r="C17" s="8">
        <f>'数据-汇总表'!E3</f>
        <v>4460</v>
      </c>
      <c r="D17" s="2321" t="s">
        <v>2196</v>
      </c>
      <c r="E17" s="3634" t="s">
        <v>2197</v>
      </c>
      <c r="F17" s="3635"/>
      <c r="G17" s="3635"/>
      <c r="H17" s="3635"/>
      <c r="I17" s="3636"/>
      <c r="J17" s="2437"/>
      <c r="K17" s="2616"/>
      <c r="L17" s="2449"/>
      <c r="M17" s="2449"/>
      <c r="N17" s="2507"/>
      <c r="O17" s="2449"/>
      <c r="P17" s="2507"/>
      <c r="Q17" s="2437"/>
      <c r="R17" s="2437"/>
      <c r="S17" s="2437"/>
      <c r="T17" s="2437"/>
      <c r="U17" s="2437"/>
      <c r="V17" s="2437"/>
    </row>
    <row r="18" spans="1:28" ht="24.75" thickBot="1">
      <c r="A18" s="2412" t="s">
        <v>2198</v>
      </c>
      <c r="B18" s="1089" t="s">
        <v>2199</v>
      </c>
      <c r="C18" s="2413">
        <f>'数据-汇总表'!D3</f>
        <v>1510.07</v>
      </c>
      <c r="D18" s="1091" t="s">
        <v>2200</v>
      </c>
      <c r="E18" s="3637" t="s">
        <v>2201</v>
      </c>
      <c r="F18" s="3638"/>
      <c r="G18" s="3638"/>
      <c r="H18" s="3638"/>
      <c r="I18" s="3639"/>
      <c r="J18" s="2437"/>
      <c r="K18" s="2616"/>
      <c r="L18" s="2449"/>
      <c r="M18" s="2449"/>
      <c r="N18" s="2507"/>
      <c r="O18" s="2449"/>
      <c r="P18" s="2507"/>
      <c r="Q18" s="2437"/>
      <c r="R18" s="2437"/>
      <c r="S18" s="2437"/>
      <c r="T18" s="2437"/>
      <c r="U18" s="2437"/>
      <c r="V18" s="2437"/>
    </row>
    <row r="19" spans="1:28" ht="25.5" thickTop="1" thickBot="1">
      <c r="A19" s="327" t="s">
        <v>1055</v>
      </c>
      <c r="B19" s="307" t="s">
        <v>2202</v>
      </c>
      <c r="C19" s="1562"/>
      <c r="D19" s="1563" t="s">
        <v>2203</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2204</v>
      </c>
      <c r="B20" s="3624" t="s">
        <v>2205</v>
      </c>
      <c r="C20" s="3625"/>
      <c r="D20" s="3626" t="s">
        <v>2206</v>
      </c>
      <c r="E20" s="3627"/>
      <c r="F20" s="2645" t="s">
        <v>1056</v>
      </c>
      <c r="G20" s="2662"/>
      <c r="H20" s="2662"/>
      <c r="I20" s="2662"/>
      <c r="J20" s="2437"/>
      <c r="K20" s="3623"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2208</v>
      </c>
      <c r="C21" s="2632" t="s">
        <v>1057</v>
      </c>
      <c r="D21" s="1567" t="s">
        <v>2209</v>
      </c>
      <c r="E21" s="2633" t="s">
        <v>1057</v>
      </c>
      <c r="F21" s="2646"/>
      <c r="G21" s="2662"/>
      <c r="H21" s="2662"/>
      <c r="I21" s="2662"/>
      <c r="J21" s="2437"/>
      <c r="K21" s="362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2210</v>
      </c>
      <c r="C22" s="2632" t="s">
        <v>1058</v>
      </c>
      <c r="D22" s="2661"/>
      <c r="E22" s="2661"/>
      <c r="F22" s="2661"/>
      <c r="G22" s="2662"/>
      <c r="H22" s="2662"/>
      <c r="I22" s="2662"/>
      <c r="J22" s="2437"/>
      <c r="K22" s="362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641" t="s">
        <v>2213</v>
      </c>
      <c r="B27" s="320" t="s">
        <v>2214</v>
      </c>
      <c r="C27" s="2414" t="s">
        <v>3487</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641"/>
      <c r="B28" s="302" t="s">
        <v>2215</v>
      </c>
      <c r="C28" s="2416" t="s">
        <v>3406</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641"/>
      <c r="B29" s="302" t="s">
        <v>2216</v>
      </c>
      <c r="C29" s="2418" t="s">
        <v>3407</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642"/>
      <c r="B30" s="302" t="s">
        <v>2217</v>
      </c>
      <c r="C30" s="3643"/>
      <c r="D30" s="3644"/>
      <c r="E30" s="2662"/>
      <c r="F30" s="2662"/>
      <c r="G30" s="2662"/>
      <c r="H30" s="2662"/>
      <c r="I30" s="2662"/>
      <c r="J30" s="2437"/>
      <c r="K30" s="2614"/>
      <c r="L30" s="2611"/>
      <c r="M30" s="2611"/>
      <c r="N30" s="2437"/>
      <c r="O30" s="2448"/>
      <c r="P30" s="2437"/>
      <c r="Q30" s="2437"/>
      <c r="R30" s="2437"/>
      <c r="S30" s="2437"/>
      <c r="T30" s="2437"/>
      <c r="U30" s="2437"/>
      <c r="V30" s="2437"/>
    </row>
    <row r="31" spans="1:28">
      <c r="A31" s="3645" t="s">
        <v>2218</v>
      </c>
      <c r="B31" s="2420" t="s">
        <v>3408</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646"/>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646"/>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5"/>
      <c r="C34" s="2025"/>
      <c r="D34" s="2025"/>
      <c r="E34" s="2025"/>
      <c r="F34" s="2025"/>
      <c r="G34" s="2025"/>
      <c r="H34" s="2025"/>
      <c r="I34" s="2662"/>
      <c r="J34" s="2437"/>
      <c r="K34" s="2425">
        <f>COUNTIF(B34:H34,"——")</f>
        <v>0</v>
      </c>
      <c r="L34" s="323" t="s">
        <v>2220</v>
      </c>
      <c r="M34" s="323" t="s">
        <v>2221</v>
      </c>
      <c r="N34" s="323" t="s">
        <v>2222</v>
      </c>
      <c r="O34" s="323" t="s">
        <v>2223</v>
      </c>
      <c r="P34" s="323" t="s">
        <v>2224</v>
      </c>
      <c r="Q34" s="323" t="s">
        <v>2225</v>
      </c>
      <c r="R34" s="323" t="s">
        <v>2226</v>
      </c>
      <c r="S34" s="3640" t="s">
        <v>2227</v>
      </c>
      <c r="T34" s="2426" t="str">
        <f>NUMBERSTRING(7-K34,1)&amp;"通"</f>
        <v>七通</v>
      </c>
      <c r="U34" s="2437"/>
      <c r="V34" s="2437"/>
    </row>
    <row r="35" spans="1:30">
      <c r="A35" s="2427"/>
      <c r="B35" s="3647" t="s">
        <v>2228</v>
      </c>
      <c r="C35" s="3647"/>
      <c r="D35" s="3647"/>
      <c r="E35" s="3647"/>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40"/>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2" t="s">
        <v>2578</v>
      </c>
      <c r="G36" s="2662"/>
      <c r="H36" s="2662"/>
      <c r="I36" s="2662"/>
      <c r="J36" s="2437"/>
      <c r="K36" s="2614"/>
      <c r="L36" s="2611"/>
      <c r="M36" s="2611"/>
      <c r="N36" s="2437"/>
      <c r="O36" s="2448"/>
      <c r="P36" s="2437"/>
      <c r="Q36" s="2437"/>
      <c r="R36" s="2437"/>
      <c r="S36" s="2437"/>
      <c r="T36" s="2437"/>
      <c r="U36" s="2437"/>
      <c r="V36" s="2437"/>
    </row>
    <row r="37" spans="1:30">
      <c r="A37" s="2628" t="s">
        <v>2229</v>
      </c>
      <c r="B37" s="2429" t="s">
        <v>305</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t="s">
        <v>3527</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2232</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1510.07</v>
      </c>
      <c r="B3" s="11">
        <f>IF(C3="否",G5-AT5,G5)</f>
        <v>4460</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4460</v>
      </c>
      <c r="H5" s="13">
        <f t="shared" ref="H5:AT5" si="0">SUM(H13:H656)</f>
        <v>4460</v>
      </c>
      <c r="I5" s="13">
        <f t="shared" si="0"/>
        <v>3527.3</v>
      </c>
      <c r="J5" s="13">
        <f t="shared" si="0"/>
        <v>0</v>
      </c>
      <c r="K5" s="13">
        <f t="shared" si="0"/>
        <v>932.7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4460</v>
      </c>
      <c r="BA5" s="15">
        <f t="shared" si="1"/>
        <v>4460</v>
      </c>
      <c r="BB5" s="15">
        <f t="shared" si="1"/>
        <v>3527.3</v>
      </c>
      <c r="BC5" s="15">
        <f t="shared" si="1"/>
        <v>932.7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1510.07</v>
      </c>
      <c r="F6" s="13" t="s">
        <v>0</v>
      </c>
      <c r="G6" s="13" t="s">
        <v>1</v>
      </c>
      <c r="H6" s="17">
        <f>SUMIF(I$12:AB$12,"总值",I6:AB6)</f>
        <v>1510.07</v>
      </c>
      <c r="I6" s="13">
        <f t="shared" ref="I6:AB6" si="2">ROUND($A$3*I5/$B$3,2)</f>
        <v>1194.28</v>
      </c>
      <c r="J6" s="13">
        <f t="shared" si="2"/>
        <v>0</v>
      </c>
      <c r="K6" s="13">
        <f t="shared" si="2"/>
        <v>315.79000000000002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1510.07</v>
      </c>
      <c r="AZ6" s="13" t="s">
        <v>2</v>
      </c>
      <c r="BA6" s="13">
        <f>ROUND($AY$6*BA5/$AZ$5,2)</f>
        <v>1510.07</v>
      </c>
      <c r="BB6" s="13">
        <f>ROUND($AY$6*BB5/$AZ$5,2)</f>
        <v>1194.28</v>
      </c>
      <c r="BC6" s="13">
        <f t="shared" ref="BC6:BH6" si="4">ROUND($AY$6*BC5/$AZ$5,2)</f>
        <v>315.79000000000002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3409</v>
      </c>
      <c r="J9" s="808"/>
      <c r="K9" s="1602" t="s">
        <v>3528</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t="s">
        <v>673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3410</v>
      </c>
      <c r="E13" s="13">
        <f>IF($C$3="是",ROUND($A$3*G13/$B$3,2),ROUND($A$3*(G13-AT13)/$B$3,2))</f>
        <v>1510.07</v>
      </c>
      <c r="F13" s="29"/>
      <c r="G13" s="30">
        <f>H13+AC13+AT13</f>
        <v>4460</v>
      </c>
      <c r="H13" s="17">
        <f>SUMIF(I$12:AB$12,"总值",I13:AB13)</f>
        <v>4460</v>
      </c>
      <c r="I13" s="1625">
        <v>3527.3</v>
      </c>
      <c r="J13" s="1625"/>
      <c r="K13" s="1625">
        <v>932.7</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1510.07</v>
      </c>
      <c r="AZ13" s="13">
        <f>BA13+BL13</f>
        <v>4460</v>
      </c>
      <c r="BA13" s="13">
        <f>SUM(BB13:BK13)</f>
        <v>4460</v>
      </c>
      <c r="BB13" s="13">
        <f>IF($D13="是",I13-J13,0)</f>
        <v>3527.3</v>
      </c>
      <c r="BC13" s="13">
        <f>IF($D13="是",K13-L13,0)</f>
        <v>932.7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657" t="s">
        <v>1131</v>
      </c>
      <c r="B2" s="3657"/>
      <c r="C2" s="3657"/>
      <c r="D2" s="795" t="s">
        <v>1107</v>
      </c>
      <c r="E2" s="1638" t="s">
        <v>1108</v>
      </c>
      <c r="F2" s="2657"/>
      <c r="G2" s="2648"/>
      <c r="H2" s="2649"/>
      <c r="I2" s="2324" t="s">
        <v>1132</v>
      </c>
      <c r="J2" s="2657"/>
      <c r="K2" s="2657"/>
      <c r="L2" s="2657"/>
      <c r="M2" s="2657"/>
      <c r="N2" s="2659"/>
      <c r="O2" s="2657"/>
      <c r="P2" s="2657"/>
    </row>
    <row r="3" spans="1:16" ht="15.75" thickBot="1">
      <c r="A3" s="3658" t="s">
        <v>1105</v>
      </c>
      <c r="B3" s="3658"/>
      <c r="C3" s="3658"/>
      <c r="D3" s="43">
        <f>'数据-基础表'!AY6</f>
        <v>1510.07</v>
      </c>
      <c r="E3" s="43">
        <f>'数据-基础表'!AZ5</f>
        <v>4460</v>
      </c>
      <c r="F3" s="2657"/>
      <c r="G3" s="1144"/>
      <c r="H3" s="1025" t="s">
        <v>1106</v>
      </c>
      <c r="I3" s="854">
        <f>ROUND('数据-基础表'!B3/'数据-基础表'!A3,2)</f>
        <v>2.95</v>
      </c>
      <c r="J3" s="2657"/>
      <c r="K3" s="2657"/>
      <c r="L3" s="2657"/>
      <c r="M3" s="2657"/>
      <c r="N3" s="2659"/>
      <c r="O3" s="2657"/>
      <c r="P3" s="2657"/>
    </row>
    <row r="4" spans="1:16" ht="15">
      <c r="A4" s="3659"/>
      <c r="B4" s="3660"/>
      <c r="C4" s="3661"/>
      <c r="D4" s="1640" t="s">
        <v>1107</v>
      </c>
      <c r="E4" s="1641" t="s">
        <v>1108</v>
      </c>
      <c r="F4" s="2657"/>
      <c r="G4" s="2650" t="s">
        <v>1133</v>
      </c>
      <c r="H4" s="1025" t="s">
        <v>1113</v>
      </c>
      <c r="I4" s="854">
        <f>ROUND(SUMIF('数据-基础表'!I9:AS9,"地上",'数据-基础表'!I5:AS5)/'数据-基础表'!A3,2)</f>
        <v>2.34</v>
      </c>
      <c r="J4" s="2657"/>
      <c r="K4" s="2657"/>
      <c r="L4" s="2657"/>
      <c r="M4" s="2657"/>
      <c r="N4" s="2659"/>
      <c r="O4" s="2657"/>
      <c r="P4" s="2657"/>
    </row>
    <row r="5" spans="1:16">
      <c r="A5" s="44" t="s">
        <v>1109</v>
      </c>
      <c r="B5" s="3662" t="s">
        <v>1110</v>
      </c>
      <c r="C5" s="3662"/>
      <c r="D5" s="45">
        <f>ROUND($D$3*E5/$E$3,2)</f>
        <v>0</v>
      </c>
      <c r="E5" s="46">
        <f>SUMIF('数据-基础表'!$11:$11,"住宅",'数据-基础表'!$5:$5)</f>
        <v>0</v>
      </c>
      <c r="F5" s="2657"/>
      <c r="G5" s="1144"/>
      <c r="H5" s="1025" t="s">
        <v>1106</v>
      </c>
      <c r="I5" s="854">
        <f>ROUND(E31/D31,2)</f>
        <v>2.95</v>
      </c>
      <c r="J5" s="2657"/>
      <c r="K5" s="2657"/>
      <c r="L5" s="2657"/>
      <c r="M5" s="2657"/>
      <c r="N5" s="2657"/>
      <c r="O5" s="2657"/>
      <c r="P5" s="2657"/>
    </row>
    <row r="6" spans="1:16" ht="15" thickBot="1">
      <c r="A6" s="1643"/>
      <c r="B6" s="3662" t="s">
        <v>1111</v>
      </c>
      <c r="C6" s="3662"/>
      <c r="D6" s="45">
        <f>ROUND($D$3*E6/$E$3,2)</f>
        <v>1510.07</v>
      </c>
      <c r="E6" s="46">
        <f>E3-E5</f>
        <v>4460</v>
      </c>
      <c r="F6" s="2657"/>
      <c r="G6" s="2651" t="s">
        <v>1112</v>
      </c>
      <c r="H6" s="1145" t="s">
        <v>1113</v>
      </c>
      <c r="I6" s="2652">
        <f>ROUND(F31/D31,2)</f>
        <v>2.34</v>
      </c>
      <c r="J6" s="2657"/>
      <c r="K6" s="2657"/>
      <c r="L6" s="2657"/>
      <c r="M6" s="2657"/>
      <c r="N6" s="2657"/>
      <c r="O6" s="2657"/>
      <c r="P6" s="2657"/>
    </row>
    <row r="7" spans="1:16" ht="15.75" thickBot="1">
      <c r="A7" s="3654"/>
      <c r="B7" s="3655"/>
      <c r="C7" s="3656"/>
      <c r="D7" s="1640" t="s">
        <v>1107</v>
      </c>
      <c r="E7" s="1644" t="s">
        <v>1114</v>
      </c>
      <c r="F7" s="2657"/>
      <c r="G7" s="2653" t="s">
        <v>1115</v>
      </c>
      <c r="H7" s="2654"/>
      <c r="I7" s="2655">
        <v>2</v>
      </c>
      <c r="J7" s="2657"/>
      <c r="K7" s="2657"/>
      <c r="L7" s="2657"/>
      <c r="M7" s="2657"/>
      <c r="N7" s="2657"/>
      <c r="O7" s="2657"/>
      <c r="P7" s="2657"/>
    </row>
    <row r="8" spans="1:16">
      <c r="A8" s="44" t="s">
        <v>1116</v>
      </c>
      <c r="B8" s="47" t="s">
        <v>1117</v>
      </c>
      <c r="C8" s="45" t="s">
        <v>1118</v>
      </c>
      <c r="D8" s="45">
        <f t="shared" ref="D8:D15" si="0">ROUND($D$3*E8/$E$3,2)</f>
        <v>1194.28</v>
      </c>
      <c r="E8" s="48">
        <f>SUMIF('数据-基础表'!BB10:BK10,"地上",'数据-基础表'!BB5:BK5)</f>
        <v>3527.3</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315.79000000000002</v>
      </c>
      <c r="E10" s="48">
        <f>SUMPRODUCT(('数据-基础表'!BB10:BK10="地下")*('数据-基础表'!BB11:BK11="商业")*('数据-基础表'!BB5:BK5))</f>
        <v>932.7</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1510.07</v>
      </c>
      <c r="E16" s="50">
        <f>SUM(E8:E15)</f>
        <v>4460</v>
      </c>
      <c r="F16" s="2657"/>
      <c r="G16" s="2658"/>
      <c r="H16" s="1647" t="s">
        <v>1135</v>
      </c>
      <c r="I16" s="1648"/>
      <c r="J16" s="1138"/>
      <c r="K16" s="3651" t="s">
        <v>1135</v>
      </c>
      <c r="L16" s="3652"/>
      <c r="M16" s="3652"/>
      <c r="N16" s="3652"/>
      <c r="O16" s="3652"/>
      <c r="P16" s="3653"/>
    </row>
    <row r="17" spans="1:19" ht="15">
      <c r="A17" s="1649" t="s">
        <v>1136</v>
      </c>
      <c r="B17" s="1650" t="s">
        <v>1137</v>
      </c>
      <c r="C17" s="1651" t="s">
        <v>1138</v>
      </c>
      <c r="D17" s="1652" t="s">
        <v>1126</v>
      </c>
      <c r="E17" s="1653" t="s">
        <v>1127</v>
      </c>
      <c r="F17" s="1654"/>
      <c r="G17" s="1655"/>
      <c r="H17" s="1656" t="s">
        <v>1139</v>
      </c>
      <c r="I17" s="1657" t="s">
        <v>1124</v>
      </c>
      <c r="J17" s="1138"/>
      <c r="K17" s="3648" t="s">
        <v>1140</v>
      </c>
      <c r="L17" s="3649"/>
      <c r="M17" s="3650"/>
      <c r="N17" s="3648" t="s">
        <v>1141</v>
      </c>
      <c r="O17" s="3649"/>
      <c r="P17" s="3650"/>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4" t="s">
        <v>3530</v>
      </c>
      <c r="D19" s="45">
        <f>ROUND($D$3*E19/$E$3,2)</f>
        <v>1510.07</v>
      </c>
      <c r="E19" s="53">
        <f t="shared" ref="E19:E26" si="1">SUM(F19:G19)</f>
        <v>4460</v>
      </c>
      <c r="F19" s="2792">
        <f>'数据-基础表'!I13</f>
        <v>3527.3</v>
      </c>
      <c r="G19" s="2793">
        <f>'数据-基础表'!K13</f>
        <v>932.7</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1510.07</v>
      </c>
      <c r="S19" s="1026">
        <f t="shared" si="5"/>
        <v>4460</v>
      </c>
    </row>
    <row r="20" spans="1:19">
      <c r="A20" s="1669"/>
      <c r="B20" s="47" t="s">
        <v>1153</v>
      </c>
      <c r="C20" s="3414"/>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4"/>
      <c r="D21" s="45">
        <f t="shared" si="6"/>
        <v>0</v>
      </c>
      <c r="E21" s="53">
        <f t="shared" si="1"/>
        <v>0</v>
      </c>
      <c r="F21" s="2792"/>
      <c r="G21" s="2793"/>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5"/>
      <c r="D22" s="45">
        <f t="shared" si="6"/>
        <v>0</v>
      </c>
      <c r="E22" s="53">
        <f t="shared" si="1"/>
        <v>0</v>
      </c>
      <c r="F22" s="2794"/>
      <c r="G22" s="2795"/>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5"/>
      <c r="D23" s="45">
        <f>ROUND($D$3*E23/$E$3,2)</f>
        <v>0</v>
      </c>
      <c r="E23" s="53">
        <f>SUM(F23:G23)</f>
        <v>0</v>
      </c>
      <c r="F23" s="2794"/>
      <c r="G23" s="2795"/>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5"/>
      <c r="D24" s="45">
        <f>ROUND($D$3*E24/$E$3,2)</f>
        <v>0</v>
      </c>
      <c r="E24" s="53">
        <f>SUM(F24:G24)</f>
        <v>0</v>
      </c>
      <c r="F24" s="2794"/>
      <c r="G24" s="2795"/>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1510.07</v>
      </c>
      <c r="E27" s="1140">
        <f>IF(SUM(E19:E26)='数据-基础表'!BA5,SUM(E19:E26),IF(F27="地上面积有误","面积有误","地下面积有误"))</f>
        <v>4460</v>
      </c>
      <c r="F27" s="1139">
        <f>IF(SUM(F19:F26)=E8,SUM(F19:F26),"地上面积有误")</f>
        <v>3527.3</v>
      </c>
      <c r="G27" s="1141">
        <f>SUM(G19:G26)</f>
        <v>932.7</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1510.07</v>
      </c>
      <c r="S27" s="1025">
        <f>IF(SUM(S19:S26)=$E$3,SUM(S19:S26),SUM(S19:S26)&amp;"误差"&amp;ROUND(SUM(S19:S26)-E3,2))</f>
        <v>4460</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1510.07</v>
      </c>
      <c r="E31" s="675">
        <f>E27+E30</f>
        <v>4460</v>
      </c>
      <c r="F31" s="676">
        <f>F27+F30</f>
        <v>3527.3</v>
      </c>
      <c r="G31" s="677">
        <f>G27+G30</f>
        <v>932.7</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U21" sqref="U2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4">
        <f>项目基本情况!D3</f>
        <v>45706</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负1层-4层商业</v>
      </c>
      <c r="B6" s="1712" t="str">
        <f>IF(A6=0,"","经营性")</f>
        <v>经营性</v>
      </c>
      <c r="C6" s="1713" t="s">
        <v>673</v>
      </c>
      <c r="D6" s="857">
        <f>SUMIF(项目基本情况!C$12:I$12,C6,项目基本情况!C$14:I$14)</f>
        <v>40</v>
      </c>
      <c r="E6" s="856">
        <f>IF(B6="","",SUMIF(项目基本情况!C$12:I$12,C6,项目基本情况!C$13:I$13))</f>
        <v>50935</v>
      </c>
      <c r="F6" s="64">
        <f>SUMIF(项目基本情况!C$12:I$12,C6,项目基本情况!C$15:I$15)</f>
        <v>14.32</v>
      </c>
      <c r="G6" s="65">
        <f>IF(ISERROR(ROUND(POWER(1+H6,D6-F6)*(POWER(1+H6,F6)-1)/(POWER(1+H6,D6)-1),3)),0,ROUND(POWER(1+H6,D6-F6)*(POWER(1+H6,F6)-1)/(POWER(1+H6,D6)-1),3))</f>
        <v>0.58599999999999997</v>
      </c>
      <c r="H6" s="731">
        <v>0.05</v>
      </c>
      <c r="I6" s="731">
        <v>5.5E-2</v>
      </c>
      <c r="J6" s="66">
        <v>7.0000000000000007E-2</v>
      </c>
      <c r="K6" s="1029">
        <f>SUMIF('数据-汇总表'!C$19:C$33,A6,'数据-汇总表'!E$19:E$33)</f>
        <v>4460</v>
      </c>
      <c r="L6" s="732">
        <v>3500</v>
      </c>
      <c r="M6" s="67">
        <f t="shared" ref="M6:M14" si="0">ROUND(K6*L6/10000,0)</f>
        <v>1561</v>
      </c>
      <c r="N6" s="730">
        <f>N21</f>
        <v>0.6</v>
      </c>
      <c r="O6" s="67" t="str">
        <f>IF($N$5="成新度","——",ROUND(M6*N6,0))</f>
        <v>——</v>
      </c>
      <c r="P6" s="68" t="str">
        <f>IF($N$5="成新度","——",M6-O6)</f>
        <v>——</v>
      </c>
      <c r="Q6" s="733">
        <v>0.15</v>
      </c>
      <c r="R6" s="69">
        <f ca="1">SUMIF('数据-汇总表'!C$19:C$33,A6,'数据-汇总表'!R$19:R$27)</f>
        <v>1510.07</v>
      </c>
      <c r="S6" s="51">
        <f>IF('数据-汇总表'!$I$17="按面积比例",SUMIF('数据-汇总表'!C$19:C$33,A6,'数据-汇总表'!K$19:K$33),SUMIF('数据-汇总表'!C$19:C$33,A6,'数据-汇总表'!N$19:N$33))</f>
        <v>0</v>
      </c>
      <c r="T6" s="1171">
        <f>ROUND($L$14*S6/10000,0)</f>
        <v>0</v>
      </c>
      <c r="U6" s="3425">
        <f>U26</f>
        <v>1.9</v>
      </c>
      <c r="V6" s="70">
        <v>0.02</v>
      </c>
      <c r="W6" s="70">
        <v>0.1</v>
      </c>
      <c r="X6" s="1039"/>
      <c r="Y6" s="71">
        <f>N6</f>
        <v>0.6</v>
      </c>
      <c r="Z6" s="72"/>
      <c r="AA6" s="66"/>
      <c r="AB6" s="66"/>
      <c r="AC6" s="1039"/>
      <c r="AD6" s="73"/>
      <c r="AE6" s="1040">
        <f ca="1">IF(AN6="",0,SUMIF(INDIRECT("'"&amp;AN6&amp;"'"&amp;"!E:E"),$AE$5,INDIRECT("'"&amp;AN6&amp;"'"&amp;"!F:F")))</f>
        <v>14.32</v>
      </c>
      <c r="AF6" s="1347"/>
      <c r="AG6" s="138">
        <f>IF(AF6="",0,AE6-AF6)</f>
        <v>0</v>
      </c>
      <c r="AH6" s="74"/>
      <c r="AI6" s="76">
        <v>365</v>
      </c>
      <c r="AJ6" s="77"/>
      <c r="AK6" s="78">
        <v>3.0000000000000001E-3</v>
      </c>
      <c r="AL6" s="79">
        <v>1E-3</v>
      </c>
      <c r="AM6" s="80">
        <v>0.01</v>
      </c>
      <c r="AN6" s="1714" t="s">
        <v>3785</v>
      </c>
      <c r="AO6" s="52">
        <f ca="1">SUMIF(INDIRECT("'"&amp;AN6&amp;"'"&amp;"!A:A"),"总价",INDIRECT("'"&amp;AN6&amp;"'"&amp;"!B:B"))</f>
        <v>2734</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0.58599999999999997</v>
      </c>
      <c r="H16" s="90">
        <f>ROUND(SUMPRODUCT(H6:H13,K6:K13)/SUMPRODUCT((H6:H13&gt;0)*(K6:K13)),3)</f>
        <v>0.05</v>
      </c>
      <c r="I16" s="91"/>
      <c r="J16" s="91"/>
      <c r="K16" s="92">
        <f>SUM(K6:K15)</f>
        <v>4460</v>
      </c>
      <c r="L16" s="93">
        <f>ROUND(M16*10000/SUM(K6:K14),0)</f>
        <v>3500</v>
      </c>
      <c r="M16" s="93">
        <f>SUM(M6:M14)</f>
        <v>1561</v>
      </c>
      <c r="N16" s="94">
        <f>ROUND(SUMPRODUCT(M6:M14,N6:N14)/M16,3)</f>
        <v>0.6</v>
      </c>
      <c r="O16" s="93">
        <f>SUM(O6:O14)</f>
        <v>0</v>
      </c>
      <c r="P16" s="93">
        <f>SUM(P6:P14)</f>
        <v>0</v>
      </c>
      <c r="Q16" s="95">
        <f>ROUND(SUMPRODUCT(Q6:Q13,K6:K13)/SUMPRODUCT((Q6:Q13&gt;0)*(K6:K13)),2)</f>
        <v>0.15</v>
      </c>
      <c r="R16" s="1033">
        <f ca="1">SUM(R6:R13)</f>
        <v>1510.07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3455" t="s">
        <v>3779</v>
      </c>
      <c r="N18" s="2668">
        <v>1992</v>
      </c>
      <c r="O18" s="2668"/>
      <c r="P18" s="2668"/>
      <c r="Q18" s="2668">
        <f>Q16/B20</f>
        <v>0.15</v>
      </c>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2301</v>
      </c>
      <c r="D19" s="2673"/>
      <c r="E19" s="2670"/>
      <c r="F19" s="2670"/>
      <c r="G19" s="2670"/>
      <c r="H19" s="2670"/>
      <c r="I19" s="2670"/>
      <c r="J19" s="2670"/>
      <c r="K19" s="2669"/>
      <c r="L19" s="2669"/>
      <c r="M19" s="3456" t="s">
        <v>3412</v>
      </c>
      <c r="N19" s="3457">
        <f>ROUND(1-(1-2%)*(2025-N18)/50,2)</f>
        <v>0.35</v>
      </c>
      <c r="O19" s="2668"/>
      <c r="P19" s="2668"/>
      <c r="Q19" s="2668"/>
      <c r="R19" s="2668"/>
      <c r="S19" s="2668"/>
      <c r="T19" s="2668"/>
      <c r="U19" s="3455"/>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1</v>
      </c>
      <c r="C20" s="2797" t="s">
        <v>2299</v>
      </c>
      <c r="D20" s="2673"/>
      <c r="E20" s="2670"/>
      <c r="F20" s="2670"/>
      <c r="G20" s="2670"/>
      <c r="H20" s="2670"/>
      <c r="I20" s="2670"/>
      <c r="J20" s="2670"/>
      <c r="K20" s="2669"/>
      <c r="L20" s="2669"/>
      <c r="M20" s="3456" t="s">
        <v>3413</v>
      </c>
      <c r="N20" s="3457">
        <v>0.85</v>
      </c>
      <c r="O20" s="2668"/>
      <c r="P20" s="2668"/>
      <c r="Q20" s="2668"/>
      <c r="R20" s="2668"/>
      <c r="S20" s="2668"/>
      <c r="T20" s="3573" t="s">
        <v>3781</v>
      </c>
      <c r="U20" s="3573" t="s">
        <v>3782</v>
      </c>
      <c r="V20" s="3573" t="s">
        <v>3783</v>
      </c>
      <c r="W20" s="3573" t="s">
        <v>3784</v>
      </c>
      <c r="X20" s="2669"/>
      <c r="Y20" s="3457"/>
      <c r="Z20" s="3456"/>
      <c r="AA20" s="3457"/>
      <c r="AB20" s="3457"/>
      <c r="AC20" s="3457"/>
      <c r="AD20" s="2668"/>
      <c r="AE20" s="2668"/>
      <c r="AF20" s="2668"/>
      <c r="AG20" s="2668"/>
      <c r="AH20" s="2668"/>
      <c r="AI20" s="2668"/>
      <c r="AJ20" s="2668"/>
      <c r="AK20" s="2668"/>
      <c r="AL20" s="2668"/>
      <c r="AM20" s="2668"/>
      <c r="AN20" s="2668"/>
      <c r="AO20" s="2668"/>
      <c r="AP20" s="2668"/>
      <c r="AQ20" s="2668"/>
      <c r="AR20" s="2668"/>
    </row>
    <row r="21" spans="1:67" ht="14.25">
      <c r="A21" s="1723" t="s">
        <v>1213</v>
      </c>
      <c r="B21" s="104">
        <v>1</v>
      </c>
      <c r="C21" s="2670"/>
      <c r="D21" s="2673"/>
      <c r="E21" s="2670"/>
      <c r="F21" s="2670"/>
      <c r="G21" s="2670"/>
      <c r="H21" s="2670"/>
      <c r="I21" s="2670"/>
      <c r="J21" s="2670"/>
      <c r="K21" s="2669"/>
      <c r="L21" s="2669"/>
      <c r="M21" s="3456" t="s">
        <v>3414</v>
      </c>
      <c r="N21" s="3457">
        <f>ROUND((N19+N20)/2,2)</f>
        <v>0.6</v>
      </c>
      <c r="O21" s="2668"/>
      <c r="P21" s="2668"/>
      <c r="Q21" s="2668"/>
      <c r="R21" s="2668"/>
      <c r="S21" s="2668"/>
      <c r="T21" s="2669">
        <v>1</v>
      </c>
      <c r="U21" s="2669">
        <v>2.9</v>
      </c>
      <c r="V21" s="2669">
        <v>1</v>
      </c>
      <c r="W21" s="109">
        <f>基准地价修正!U2</f>
        <v>881.83</v>
      </c>
      <c r="X21" s="2669">
        <f>U21*W21</f>
        <v>2557.3070000000002</v>
      </c>
      <c r="Y21" s="3457"/>
      <c r="Z21" s="3457"/>
      <c r="AA21" s="3457"/>
      <c r="AB21" s="3457"/>
      <c r="AC21" s="3457"/>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1</v>
      </c>
      <c r="C22" s="2670"/>
      <c r="D22" s="2673"/>
      <c r="E22" s="2670"/>
      <c r="F22" s="2670"/>
      <c r="G22" s="2670"/>
      <c r="H22" s="2670"/>
      <c r="I22" s="2670"/>
      <c r="J22" s="2670"/>
      <c r="K22" s="2669"/>
      <c r="L22" s="2669"/>
      <c r="M22" s="2668"/>
      <c r="N22" s="2668"/>
      <c r="O22" s="2668"/>
      <c r="P22" s="2668"/>
      <c r="Q22" s="2668"/>
      <c r="R22" s="2668"/>
      <c r="S22" s="2668"/>
      <c r="T22" s="2669">
        <v>2</v>
      </c>
      <c r="U22" s="2669">
        <f>ROUND($U$21*V22,1)</f>
        <v>2.2000000000000002</v>
      </c>
      <c r="V22" s="2669">
        <v>0.75</v>
      </c>
      <c r="W22" s="109">
        <f>基准地价修正!U3</f>
        <v>881.83</v>
      </c>
      <c r="X22" s="2669">
        <f t="shared" ref="X22:X25" si="12">U22*W22</f>
        <v>1940.0260000000003</v>
      </c>
      <c r="Y22" s="3457"/>
      <c r="Z22" s="3457"/>
      <c r="AA22" s="3457"/>
      <c r="AB22" s="3457"/>
      <c r="AC22" s="3457"/>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1</v>
      </c>
      <c r="C23" s="2670"/>
      <c r="D23" s="2673"/>
      <c r="E23" s="2670"/>
      <c r="F23" s="2670"/>
      <c r="G23" s="2670"/>
      <c r="H23" s="2670"/>
      <c r="I23" s="2670"/>
      <c r="J23" s="2670"/>
      <c r="K23" s="2669"/>
      <c r="L23" s="2669"/>
      <c r="M23" s="2668"/>
      <c r="N23" s="2668"/>
      <c r="O23" s="2668"/>
      <c r="P23" s="2668"/>
      <c r="Q23" s="2668"/>
      <c r="R23" s="2668"/>
      <c r="S23" s="2668"/>
      <c r="T23" s="2669">
        <v>3</v>
      </c>
      <c r="U23" s="2669">
        <f t="shared" ref="U23:U25" si="13">ROUND($U$21*V23,1)</f>
        <v>1.9</v>
      </c>
      <c r="V23" s="2669">
        <v>0.65</v>
      </c>
      <c r="W23" s="109">
        <f>基准地价修正!U4</f>
        <v>881.83</v>
      </c>
      <c r="X23" s="2669">
        <f t="shared" si="12"/>
        <v>1675.4770000000001</v>
      </c>
      <c r="Y23" s="3457"/>
      <c r="Z23" s="3457"/>
      <c r="AA23" s="3457"/>
      <c r="AB23" s="3457"/>
      <c r="AC23" s="3457"/>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2669">
        <v>4</v>
      </c>
      <c r="U24" s="2669">
        <f t="shared" si="13"/>
        <v>1.6</v>
      </c>
      <c r="V24" s="109">
        <v>0.55000000000000004</v>
      </c>
      <c r="W24" s="109">
        <f>基准地价修正!U5</f>
        <v>881.81000000000029</v>
      </c>
      <c r="X24" s="2669">
        <f t="shared" si="12"/>
        <v>1410.8960000000006</v>
      </c>
      <c r="Y24" s="3457"/>
      <c r="Z24" s="3457"/>
      <c r="AA24" s="3457"/>
      <c r="AB24" s="3457"/>
      <c r="AC24" s="3457"/>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3573">
        <v>-1</v>
      </c>
      <c r="U25" s="2669">
        <f t="shared" si="13"/>
        <v>0.9</v>
      </c>
      <c r="V25" s="2669">
        <v>0.3</v>
      </c>
      <c r="W25" s="2669">
        <f>基准地价修正!D37</f>
        <v>932.7</v>
      </c>
      <c r="X25" s="2669">
        <f t="shared" si="12"/>
        <v>839.43000000000006</v>
      </c>
      <c r="Y25" s="3457"/>
      <c r="Z25" s="3457"/>
      <c r="AA25" s="3457"/>
      <c r="AB25" s="3457"/>
      <c r="AC25" s="3457"/>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9"/>
      <c r="U26" s="2669">
        <f>ROUND(X26/W26,1)</f>
        <v>1.9</v>
      </c>
      <c r="V26" s="2669"/>
      <c r="W26" s="2669">
        <f>SUM(W21:W25)</f>
        <v>4460.0000000000009</v>
      </c>
      <c r="X26" s="2669">
        <f>SUM(X21:X25)</f>
        <v>8423.1360000000004</v>
      </c>
      <c r="Y26" s="2668">
        <f>U26/U21</f>
        <v>0.65517241379310343</v>
      </c>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100</v>
      </c>
      <c r="C27" s="2798" t="s">
        <v>2303</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150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成本法!C10</f>
        <v>67</v>
      </c>
      <c r="C29" s="2799" t="s">
        <v>2293</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0" t="s">
        <v>3383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0" t="s">
        <v>2294</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0" t="s">
        <v>2295</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2.5000000000000001E-2</v>
      </c>
      <c r="C36" s="2800" t="s">
        <v>3401</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0.03</v>
      </c>
      <c r="C37" s="2800" t="s">
        <v>3384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3385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2309</v>
      </c>
      <c r="B40" s="1077">
        <f ca="1">IF(A40="利息：取LPR",存贷款利率!G1,存贷款利率!G1+C40)</f>
        <v>3.1E-2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7.0000000000000007E-2</v>
      </c>
      <c r="C44" s="2800" t="s">
        <v>3386</v>
      </c>
      <c r="D44" s="2673"/>
      <c r="E44" s="2670"/>
      <c r="F44" s="2670"/>
      <c r="G44" s="3458"/>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1.5</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29</v>
      </c>
      <c r="C53" s="2659"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663" t="s">
        <v>2285</v>
      </c>
      <c r="B1" s="3664"/>
      <c r="C1" s="3664"/>
      <c r="D1" s="3664"/>
      <c r="E1" s="3664"/>
      <c r="F1" s="3664"/>
      <c r="G1" s="366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2"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40"/>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37"/>
  <sheetViews>
    <sheetView view="pageBreakPreview" topLeftCell="Q1" zoomScale="85" zoomScaleNormal="130" zoomScaleSheetLayoutView="85" workbookViewId="0">
      <pane ySplit="5" topLeftCell="A15" activePane="bottomLeft" state="frozen"/>
      <selection pane="bottomLeft" activeCell="AC9" sqref="AC9:AC11"/>
    </sheetView>
  </sheetViews>
  <sheetFormatPr defaultRowHeight="14.25"/>
  <cols>
    <col min="1" max="1" width="4" style="3482" customWidth="1"/>
    <col min="2" max="2" width="5.625" style="3482" customWidth="1"/>
    <col min="3" max="3" width="17" style="3482" customWidth="1"/>
    <col min="4" max="4" width="11.5" style="3482" customWidth="1"/>
    <col min="5" max="5" width="18.75" style="3482" customWidth="1"/>
    <col min="6" max="6" width="13.875" style="3482" customWidth="1"/>
    <col min="7" max="7" width="9" style="3482" customWidth="1"/>
    <col min="8" max="8" width="6.5" style="3482" customWidth="1"/>
    <col min="9" max="9" width="7.125" style="3568" customWidth="1"/>
    <col min="10" max="10" width="7" style="3569" customWidth="1"/>
    <col min="11" max="12" width="6.5" style="3482" customWidth="1"/>
    <col min="13" max="13" width="8.875" style="3570" customWidth="1"/>
    <col min="14" max="14" width="17.625" style="3571" customWidth="1"/>
    <col min="15" max="15" width="10.125" style="3482" customWidth="1"/>
    <col min="16" max="16" width="23" style="3570" customWidth="1"/>
    <col min="17" max="17" width="21.5" style="3571" customWidth="1"/>
    <col min="18" max="18" width="8.25" style="3572" customWidth="1"/>
    <col min="19" max="19" width="7.25" style="3570" customWidth="1"/>
    <col min="20" max="20" width="4.75" style="3572" customWidth="1"/>
    <col min="21" max="21" width="10" style="3482" customWidth="1"/>
    <col min="22" max="22" width="9.375" style="3482" customWidth="1"/>
    <col min="23" max="26" width="7.875" style="3482" customWidth="1"/>
    <col min="27" max="27" width="12.125" style="3482" customWidth="1"/>
    <col min="28" max="28" width="10.5" style="3482" customWidth="1"/>
    <col min="29" max="29" width="9.375" style="3482" bestFit="1" customWidth="1"/>
    <col min="30" max="256" width="9" style="3482"/>
    <col min="257" max="257" width="4" style="3482" customWidth="1"/>
    <col min="258" max="258" width="5.625" style="3482" customWidth="1"/>
    <col min="259" max="259" width="17" style="3482" customWidth="1"/>
    <col min="260" max="260" width="11.5" style="3482" customWidth="1"/>
    <col min="261" max="261" width="18.75" style="3482" customWidth="1"/>
    <col min="262" max="262" width="13.875" style="3482" customWidth="1"/>
    <col min="263" max="263" width="9" style="3482" customWidth="1"/>
    <col min="264" max="264" width="6.5" style="3482" customWidth="1"/>
    <col min="265" max="265" width="7.125" style="3482" customWidth="1"/>
    <col min="266" max="266" width="7" style="3482" customWidth="1"/>
    <col min="267" max="268" width="6.5" style="3482" customWidth="1"/>
    <col min="269" max="269" width="8.875" style="3482" customWidth="1"/>
    <col min="270" max="270" width="17.625" style="3482" customWidth="1"/>
    <col min="271" max="271" width="10.125" style="3482" customWidth="1"/>
    <col min="272" max="272" width="23" style="3482" customWidth="1"/>
    <col min="273" max="273" width="21.5" style="3482" customWidth="1"/>
    <col min="274" max="274" width="8.25" style="3482" customWidth="1"/>
    <col min="275" max="275" width="7.25" style="3482" customWidth="1"/>
    <col min="276" max="276" width="4.75" style="3482" customWidth="1"/>
    <col min="277" max="277" width="10" style="3482" customWidth="1"/>
    <col min="278" max="278" width="9.375" style="3482" customWidth="1"/>
    <col min="279" max="282" width="7.875" style="3482" customWidth="1"/>
    <col min="283" max="283" width="12.125" style="3482" customWidth="1"/>
    <col min="284" max="284" width="10.5" style="3482" customWidth="1"/>
    <col min="285" max="512" width="9" style="3482"/>
    <col min="513" max="513" width="4" style="3482" customWidth="1"/>
    <col min="514" max="514" width="5.625" style="3482" customWidth="1"/>
    <col min="515" max="515" width="17" style="3482" customWidth="1"/>
    <col min="516" max="516" width="11.5" style="3482" customWidth="1"/>
    <col min="517" max="517" width="18.75" style="3482" customWidth="1"/>
    <col min="518" max="518" width="13.875" style="3482" customWidth="1"/>
    <col min="519" max="519" width="9" style="3482" customWidth="1"/>
    <col min="520" max="520" width="6.5" style="3482" customWidth="1"/>
    <col min="521" max="521" width="7.125" style="3482" customWidth="1"/>
    <col min="522" max="522" width="7" style="3482" customWidth="1"/>
    <col min="523" max="524" width="6.5" style="3482" customWidth="1"/>
    <col min="525" max="525" width="8.875" style="3482" customWidth="1"/>
    <col min="526" max="526" width="17.625" style="3482" customWidth="1"/>
    <col min="527" max="527" width="10.125" style="3482" customWidth="1"/>
    <col min="528" max="528" width="23" style="3482" customWidth="1"/>
    <col min="529" max="529" width="21.5" style="3482" customWidth="1"/>
    <col min="530" max="530" width="8.25" style="3482" customWidth="1"/>
    <col min="531" max="531" width="7.25" style="3482" customWidth="1"/>
    <col min="532" max="532" width="4.75" style="3482" customWidth="1"/>
    <col min="533" max="533" width="10" style="3482" customWidth="1"/>
    <col min="534" max="534" width="9.375" style="3482" customWidth="1"/>
    <col min="535" max="538" width="7.875" style="3482" customWidth="1"/>
    <col min="539" max="539" width="12.125" style="3482" customWidth="1"/>
    <col min="540" max="540" width="10.5" style="3482" customWidth="1"/>
    <col min="541" max="768" width="9" style="3482"/>
    <col min="769" max="769" width="4" style="3482" customWidth="1"/>
    <col min="770" max="770" width="5.625" style="3482" customWidth="1"/>
    <col min="771" max="771" width="17" style="3482" customWidth="1"/>
    <col min="772" max="772" width="11.5" style="3482" customWidth="1"/>
    <col min="773" max="773" width="18.75" style="3482" customWidth="1"/>
    <col min="774" max="774" width="13.875" style="3482" customWidth="1"/>
    <col min="775" max="775" width="9" style="3482" customWidth="1"/>
    <col min="776" max="776" width="6.5" style="3482" customWidth="1"/>
    <col min="777" max="777" width="7.125" style="3482" customWidth="1"/>
    <col min="778" max="778" width="7" style="3482" customWidth="1"/>
    <col min="779" max="780" width="6.5" style="3482" customWidth="1"/>
    <col min="781" max="781" width="8.875" style="3482" customWidth="1"/>
    <col min="782" max="782" width="17.625" style="3482" customWidth="1"/>
    <col min="783" max="783" width="10.125" style="3482" customWidth="1"/>
    <col min="784" max="784" width="23" style="3482" customWidth="1"/>
    <col min="785" max="785" width="21.5" style="3482" customWidth="1"/>
    <col min="786" max="786" width="8.25" style="3482" customWidth="1"/>
    <col min="787" max="787" width="7.25" style="3482" customWidth="1"/>
    <col min="788" max="788" width="4.75" style="3482" customWidth="1"/>
    <col min="789" max="789" width="10" style="3482" customWidth="1"/>
    <col min="790" max="790" width="9.375" style="3482" customWidth="1"/>
    <col min="791" max="794" width="7.875" style="3482" customWidth="1"/>
    <col min="795" max="795" width="12.125" style="3482" customWidth="1"/>
    <col min="796" max="796" width="10.5" style="3482" customWidth="1"/>
    <col min="797" max="1024" width="9" style="3482"/>
    <col min="1025" max="1025" width="4" style="3482" customWidth="1"/>
    <col min="1026" max="1026" width="5.625" style="3482" customWidth="1"/>
    <col min="1027" max="1027" width="17" style="3482" customWidth="1"/>
    <col min="1028" max="1028" width="11.5" style="3482" customWidth="1"/>
    <col min="1029" max="1029" width="18.75" style="3482" customWidth="1"/>
    <col min="1030" max="1030" width="13.875" style="3482" customWidth="1"/>
    <col min="1031" max="1031" width="9" style="3482" customWidth="1"/>
    <col min="1032" max="1032" width="6.5" style="3482" customWidth="1"/>
    <col min="1033" max="1033" width="7.125" style="3482" customWidth="1"/>
    <col min="1034" max="1034" width="7" style="3482" customWidth="1"/>
    <col min="1035" max="1036" width="6.5" style="3482" customWidth="1"/>
    <col min="1037" max="1037" width="8.875" style="3482" customWidth="1"/>
    <col min="1038" max="1038" width="17.625" style="3482" customWidth="1"/>
    <col min="1039" max="1039" width="10.125" style="3482" customWidth="1"/>
    <col min="1040" max="1040" width="23" style="3482" customWidth="1"/>
    <col min="1041" max="1041" width="21.5" style="3482" customWidth="1"/>
    <col min="1042" max="1042" width="8.25" style="3482" customWidth="1"/>
    <col min="1043" max="1043" width="7.25" style="3482" customWidth="1"/>
    <col min="1044" max="1044" width="4.75" style="3482" customWidth="1"/>
    <col min="1045" max="1045" width="10" style="3482" customWidth="1"/>
    <col min="1046" max="1046" width="9.375" style="3482" customWidth="1"/>
    <col min="1047" max="1050" width="7.875" style="3482" customWidth="1"/>
    <col min="1051" max="1051" width="12.125" style="3482" customWidth="1"/>
    <col min="1052" max="1052" width="10.5" style="3482" customWidth="1"/>
    <col min="1053" max="1280" width="9" style="3482"/>
    <col min="1281" max="1281" width="4" style="3482" customWidth="1"/>
    <col min="1282" max="1282" width="5.625" style="3482" customWidth="1"/>
    <col min="1283" max="1283" width="17" style="3482" customWidth="1"/>
    <col min="1284" max="1284" width="11.5" style="3482" customWidth="1"/>
    <col min="1285" max="1285" width="18.75" style="3482" customWidth="1"/>
    <col min="1286" max="1286" width="13.875" style="3482" customWidth="1"/>
    <col min="1287" max="1287" width="9" style="3482" customWidth="1"/>
    <col min="1288" max="1288" width="6.5" style="3482" customWidth="1"/>
    <col min="1289" max="1289" width="7.125" style="3482" customWidth="1"/>
    <col min="1290" max="1290" width="7" style="3482" customWidth="1"/>
    <col min="1291" max="1292" width="6.5" style="3482" customWidth="1"/>
    <col min="1293" max="1293" width="8.875" style="3482" customWidth="1"/>
    <col min="1294" max="1294" width="17.625" style="3482" customWidth="1"/>
    <col min="1295" max="1295" width="10.125" style="3482" customWidth="1"/>
    <col min="1296" max="1296" width="23" style="3482" customWidth="1"/>
    <col min="1297" max="1297" width="21.5" style="3482" customWidth="1"/>
    <col min="1298" max="1298" width="8.25" style="3482" customWidth="1"/>
    <col min="1299" max="1299" width="7.25" style="3482" customWidth="1"/>
    <col min="1300" max="1300" width="4.75" style="3482" customWidth="1"/>
    <col min="1301" max="1301" width="10" style="3482" customWidth="1"/>
    <col min="1302" max="1302" width="9.375" style="3482" customWidth="1"/>
    <col min="1303" max="1306" width="7.875" style="3482" customWidth="1"/>
    <col min="1307" max="1307" width="12.125" style="3482" customWidth="1"/>
    <col min="1308" max="1308" width="10.5" style="3482" customWidth="1"/>
    <col min="1309" max="1536" width="9" style="3482"/>
    <col min="1537" max="1537" width="4" style="3482" customWidth="1"/>
    <col min="1538" max="1538" width="5.625" style="3482" customWidth="1"/>
    <col min="1539" max="1539" width="17" style="3482" customWidth="1"/>
    <col min="1540" max="1540" width="11.5" style="3482" customWidth="1"/>
    <col min="1541" max="1541" width="18.75" style="3482" customWidth="1"/>
    <col min="1542" max="1542" width="13.875" style="3482" customWidth="1"/>
    <col min="1543" max="1543" width="9" style="3482" customWidth="1"/>
    <col min="1544" max="1544" width="6.5" style="3482" customWidth="1"/>
    <col min="1545" max="1545" width="7.125" style="3482" customWidth="1"/>
    <col min="1546" max="1546" width="7" style="3482" customWidth="1"/>
    <col min="1547" max="1548" width="6.5" style="3482" customWidth="1"/>
    <col min="1549" max="1549" width="8.875" style="3482" customWidth="1"/>
    <col min="1550" max="1550" width="17.625" style="3482" customWidth="1"/>
    <col min="1551" max="1551" width="10.125" style="3482" customWidth="1"/>
    <col min="1552" max="1552" width="23" style="3482" customWidth="1"/>
    <col min="1553" max="1553" width="21.5" style="3482" customWidth="1"/>
    <col min="1554" max="1554" width="8.25" style="3482" customWidth="1"/>
    <col min="1555" max="1555" width="7.25" style="3482" customWidth="1"/>
    <col min="1556" max="1556" width="4.75" style="3482" customWidth="1"/>
    <col min="1557" max="1557" width="10" style="3482" customWidth="1"/>
    <col min="1558" max="1558" width="9.375" style="3482" customWidth="1"/>
    <col min="1559" max="1562" width="7.875" style="3482" customWidth="1"/>
    <col min="1563" max="1563" width="12.125" style="3482" customWidth="1"/>
    <col min="1564" max="1564" width="10.5" style="3482" customWidth="1"/>
    <col min="1565" max="1792" width="9" style="3482"/>
    <col min="1793" max="1793" width="4" style="3482" customWidth="1"/>
    <col min="1794" max="1794" width="5.625" style="3482" customWidth="1"/>
    <col min="1795" max="1795" width="17" style="3482" customWidth="1"/>
    <col min="1796" max="1796" width="11.5" style="3482" customWidth="1"/>
    <col min="1797" max="1797" width="18.75" style="3482" customWidth="1"/>
    <col min="1798" max="1798" width="13.875" style="3482" customWidth="1"/>
    <col min="1799" max="1799" width="9" style="3482" customWidth="1"/>
    <col min="1800" max="1800" width="6.5" style="3482" customWidth="1"/>
    <col min="1801" max="1801" width="7.125" style="3482" customWidth="1"/>
    <col min="1802" max="1802" width="7" style="3482" customWidth="1"/>
    <col min="1803" max="1804" width="6.5" style="3482" customWidth="1"/>
    <col min="1805" max="1805" width="8.875" style="3482" customWidth="1"/>
    <col min="1806" max="1806" width="17.625" style="3482" customWidth="1"/>
    <col min="1807" max="1807" width="10.125" style="3482" customWidth="1"/>
    <col min="1808" max="1808" width="23" style="3482" customWidth="1"/>
    <col min="1809" max="1809" width="21.5" style="3482" customWidth="1"/>
    <col min="1810" max="1810" width="8.25" style="3482" customWidth="1"/>
    <col min="1811" max="1811" width="7.25" style="3482" customWidth="1"/>
    <col min="1812" max="1812" width="4.75" style="3482" customWidth="1"/>
    <col min="1813" max="1813" width="10" style="3482" customWidth="1"/>
    <col min="1814" max="1814" width="9.375" style="3482" customWidth="1"/>
    <col min="1815" max="1818" width="7.875" style="3482" customWidth="1"/>
    <col min="1819" max="1819" width="12.125" style="3482" customWidth="1"/>
    <col min="1820" max="1820" width="10.5" style="3482" customWidth="1"/>
    <col min="1821" max="2048" width="9" style="3482"/>
    <col min="2049" max="2049" width="4" style="3482" customWidth="1"/>
    <col min="2050" max="2050" width="5.625" style="3482" customWidth="1"/>
    <col min="2051" max="2051" width="17" style="3482" customWidth="1"/>
    <col min="2052" max="2052" width="11.5" style="3482" customWidth="1"/>
    <col min="2053" max="2053" width="18.75" style="3482" customWidth="1"/>
    <col min="2054" max="2054" width="13.875" style="3482" customWidth="1"/>
    <col min="2055" max="2055" width="9" style="3482" customWidth="1"/>
    <col min="2056" max="2056" width="6.5" style="3482" customWidth="1"/>
    <col min="2057" max="2057" width="7.125" style="3482" customWidth="1"/>
    <col min="2058" max="2058" width="7" style="3482" customWidth="1"/>
    <col min="2059" max="2060" width="6.5" style="3482" customWidth="1"/>
    <col min="2061" max="2061" width="8.875" style="3482" customWidth="1"/>
    <col min="2062" max="2062" width="17.625" style="3482" customWidth="1"/>
    <col min="2063" max="2063" width="10.125" style="3482" customWidth="1"/>
    <col min="2064" max="2064" width="23" style="3482" customWidth="1"/>
    <col min="2065" max="2065" width="21.5" style="3482" customWidth="1"/>
    <col min="2066" max="2066" width="8.25" style="3482" customWidth="1"/>
    <col min="2067" max="2067" width="7.25" style="3482" customWidth="1"/>
    <col min="2068" max="2068" width="4.75" style="3482" customWidth="1"/>
    <col min="2069" max="2069" width="10" style="3482" customWidth="1"/>
    <col min="2070" max="2070" width="9.375" style="3482" customWidth="1"/>
    <col min="2071" max="2074" width="7.875" style="3482" customWidth="1"/>
    <col min="2075" max="2075" width="12.125" style="3482" customWidth="1"/>
    <col min="2076" max="2076" width="10.5" style="3482" customWidth="1"/>
    <col min="2077" max="2304" width="9" style="3482"/>
    <col min="2305" max="2305" width="4" style="3482" customWidth="1"/>
    <col min="2306" max="2306" width="5.625" style="3482" customWidth="1"/>
    <col min="2307" max="2307" width="17" style="3482" customWidth="1"/>
    <col min="2308" max="2308" width="11.5" style="3482" customWidth="1"/>
    <col min="2309" max="2309" width="18.75" style="3482" customWidth="1"/>
    <col min="2310" max="2310" width="13.875" style="3482" customWidth="1"/>
    <col min="2311" max="2311" width="9" style="3482" customWidth="1"/>
    <col min="2312" max="2312" width="6.5" style="3482" customWidth="1"/>
    <col min="2313" max="2313" width="7.125" style="3482" customWidth="1"/>
    <col min="2314" max="2314" width="7" style="3482" customWidth="1"/>
    <col min="2315" max="2316" width="6.5" style="3482" customWidth="1"/>
    <col min="2317" max="2317" width="8.875" style="3482" customWidth="1"/>
    <col min="2318" max="2318" width="17.625" style="3482" customWidth="1"/>
    <col min="2319" max="2319" width="10.125" style="3482" customWidth="1"/>
    <col min="2320" max="2320" width="23" style="3482" customWidth="1"/>
    <col min="2321" max="2321" width="21.5" style="3482" customWidth="1"/>
    <col min="2322" max="2322" width="8.25" style="3482" customWidth="1"/>
    <col min="2323" max="2323" width="7.25" style="3482" customWidth="1"/>
    <col min="2324" max="2324" width="4.75" style="3482" customWidth="1"/>
    <col min="2325" max="2325" width="10" style="3482" customWidth="1"/>
    <col min="2326" max="2326" width="9.375" style="3482" customWidth="1"/>
    <col min="2327" max="2330" width="7.875" style="3482" customWidth="1"/>
    <col min="2331" max="2331" width="12.125" style="3482" customWidth="1"/>
    <col min="2332" max="2332" width="10.5" style="3482" customWidth="1"/>
    <col min="2333" max="2560" width="9" style="3482"/>
    <col min="2561" max="2561" width="4" style="3482" customWidth="1"/>
    <col min="2562" max="2562" width="5.625" style="3482" customWidth="1"/>
    <col min="2563" max="2563" width="17" style="3482" customWidth="1"/>
    <col min="2564" max="2564" width="11.5" style="3482" customWidth="1"/>
    <col min="2565" max="2565" width="18.75" style="3482" customWidth="1"/>
    <col min="2566" max="2566" width="13.875" style="3482" customWidth="1"/>
    <col min="2567" max="2567" width="9" style="3482" customWidth="1"/>
    <col min="2568" max="2568" width="6.5" style="3482" customWidth="1"/>
    <col min="2569" max="2569" width="7.125" style="3482" customWidth="1"/>
    <col min="2570" max="2570" width="7" style="3482" customWidth="1"/>
    <col min="2571" max="2572" width="6.5" style="3482" customWidth="1"/>
    <col min="2573" max="2573" width="8.875" style="3482" customWidth="1"/>
    <col min="2574" max="2574" width="17.625" style="3482" customWidth="1"/>
    <col min="2575" max="2575" width="10.125" style="3482" customWidth="1"/>
    <col min="2576" max="2576" width="23" style="3482" customWidth="1"/>
    <col min="2577" max="2577" width="21.5" style="3482" customWidth="1"/>
    <col min="2578" max="2578" width="8.25" style="3482" customWidth="1"/>
    <col min="2579" max="2579" width="7.25" style="3482" customWidth="1"/>
    <col min="2580" max="2580" width="4.75" style="3482" customWidth="1"/>
    <col min="2581" max="2581" width="10" style="3482" customWidth="1"/>
    <col min="2582" max="2582" width="9.375" style="3482" customWidth="1"/>
    <col min="2583" max="2586" width="7.875" style="3482" customWidth="1"/>
    <col min="2587" max="2587" width="12.125" style="3482" customWidth="1"/>
    <col min="2588" max="2588" width="10.5" style="3482" customWidth="1"/>
    <col min="2589" max="2816" width="9" style="3482"/>
    <col min="2817" max="2817" width="4" style="3482" customWidth="1"/>
    <col min="2818" max="2818" width="5.625" style="3482" customWidth="1"/>
    <col min="2819" max="2819" width="17" style="3482" customWidth="1"/>
    <col min="2820" max="2820" width="11.5" style="3482" customWidth="1"/>
    <col min="2821" max="2821" width="18.75" style="3482" customWidth="1"/>
    <col min="2822" max="2822" width="13.875" style="3482" customWidth="1"/>
    <col min="2823" max="2823" width="9" style="3482" customWidth="1"/>
    <col min="2824" max="2824" width="6.5" style="3482" customWidth="1"/>
    <col min="2825" max="2825" width="7.125" style="3482" customWidth="1"/>
    <col min="2826" max="2826" width="7" style="3482" customWidth="1"/>
    <col min="2827" max="2828" width="6.5" style="3482" customWidth="1"/>
    <col min="2829" max="2829" width="8.875" style="3482" customWidth="1"/>
    <col min="2830" max="2830" width="17.625" style="3482" customWidth="1"/>
    <col min="2831" max="2831" width="10.125" style="3482" customWidth="1"/>
    <col min="2832" max="2832" width="23" style="3482" customWidth="1"/>
    <col min="2833" max="2833" width="21.5" style="3482" customWidth="1"/>
    <col min="2834" max="2834" width="8.25" style="3482" customWidth="1"/>
    <col min="2835" max="2835" width="7.25" style="3482" customWidth="1"/>
    <col min="2836" max="2836" width="4.75" style="3482" customWidth="1"/>
    <col min="2837" max="2837" width="10" style="3482" customWidth="1"/>
    <col min="2838" max="2838" width="9.375" style="3482" customWidth="1"/>
    <col min="2839" max="2842" width="7.875" style="3482" customWidth="1"/>
    <col min="2843" max="2843" width="12.125" style="3482" customWidth="1"/>
    <col min="2844" max="2844" width="10.5" style="3482" customWidth="1"/>
    <col min="2845" max="3072" width="9" style="3482"/>
    <col min="3073" max="3073" width="4" style="3482" customWidth="1"/>
    <col min="3074" max="3074" width="5.625" style="3482" customWidth="1"/>
    <col min="3075" max="3075" width="17" style="3482" customWidth="1"/>
    <col min="3076" max="3076" width="11.5" style="3482" customWidth="1"/>
    <col min="3077" max="3077" width="18.75" style="3482" customWidth="1"/>
    <col min="3078" max="3078" width="13.875" style="3482" customWidth="1"/>
    <col min="3079" max="3079" width="9" style="3482" customWidth="1"/>
    <col min="3080" max="3080" width="6.5" style="3482" customWidth="1"/>
    <col min="3081" max="3081" width="7.125" style="3482" customWidth="1"/>
    <col min="3082" max="3082" width="7" style="3482" customWidth="1"/>
    <col min="3083" max="3084" width="6.5" style="3482" customWidth="1"/>
    <col min="3085" max="3085" width="8.875" style="3482" customWidth="1"/>
    <col min="3086" max="3086" width="17.625" style="3482" customWidth="1"/>
    <col min="3087" max="3087" width="10.125" style="3482" customWidth="1"/>
    <col min="3088" max="3088" width="23" style="3482" customWidth="1"/>
    <col min="3089" max="3089" width="21.5" style="3482" customWidth="1"/>
    <col min="3090" max="3090" width="8.25" style="3482" customWidth="1"/>
    <col min="3091" max="3091" width="7.25" style="3482" customWidth="1"/>
    <col min="3092" max="3092" width="4.75" style="3482" customWidth="1"/>
    <col min="3093" max="3093" width="10" style="3482" customWidth="1"/>
    <col min="3094" max="3094" width="9.375" style="3482" customWidth="1"/>
    <col min="3095" max="3098" width="7.875" style="3482" customWidth="1"/>
    <col min="3099" max="3099" width="12.125" style="3482" customWidth="1"/>
    <col min="3100" max="3100" width="10.5" style="3482" customWidth="1"/>
    <col min="3101" max="3328" width="9" style="3482"/>
    <col min="3329" max="3329" width="4" style="3482" customWidth="1"/>
    <col min="3330" max="3330" width="5.625" style="3482" customWidth="1"/>
    <col min="3331" max="3331" width="17" style="3482" customWidth="1"/>
    <col min="3332" max="3332" width="11.5" style="3482" customWidth="1"/>
    <col min="3333" max="3333" width="18.75" style="3482" customWidth="1"/>
    <col min="3334" max="3334" width="13.875" style="3482" customWidth="1"/>
    <col min="3335" max="3335" width="9" style="3482" customWidth="1"/>
    <col min="3336" max="3336" width="6.5" style="3482" customWidth="1"/>
    <col min="3337" max="3337" width="7.125" style="3482" customWidth="1"/>
    <col min="3338" max="3338" width="7" style="3482" customWidth="1"/>
    <col min="3339" max="3340" width="6.5" style="3482" customWidth="1"/>
    <col min="3341" max="3341" width="8.875" style="3482" customWidth="1"/>
    <col min="3342" max="3342" width="17.625" style="3482" customWidth="1"/>
    <col min="3343" max="3343" width="10.125" style="3482" customWidth="1"/>
    <col min="3344" max="3344" width="23" style="3482" customWidth="1"/>
    <col min="3345" max="3345" width="21.5" style="3482" customWidth="1"/>
    <col min="3346" max="3346" width="8.25" style="3482" customWidth="1"/>
    <col min="3347" max="3347" width="7.25" style="3482" customWidth="1"/>
    <col min="3348" max="3348" width="4.75" style="3482" customWidth="1"/>
    <col min="3349" max="3349" width="10" style="3482" customWidth="1"/>
    <col min="3350" max="3350" width="9.375" style="3482" customWidth="1"/>
    <col min="3351" max="3354" width="7.875" style="3482" customWidth="1"/>
    <col min="3355" max="3355" width="12.125" style="3482" customWidth="1"/>
    <col min="3356" max="3356" width="10.5" style="3482" customWidth="1"/>
    <col min="3357" max="3584" width="9" style="3482"/>
    <col min="3585" max="3585" width="4" style="3482" customWidth="1"/>
    <col min="3586" max="3586" width="5.625" style="3482" customWidth="1"/>
    <col min="3587" max="3587" width="17" style="3482" customWidth="1"/>
    <col min="3588" max="3588" width="11.5" style="3482" customWidth="1"/>
    <col min="3589" max="3589" width="18.75" style="3482" customWidth="1"/>
    <col min="3590" max="3590" width="13.875" style="3482" customWidth="1"/>
    <col min="3591" max="3591" width="9" style="3482" customWidth="1"/>
    <col min="3592" max="3592" width="6.5" style="3482" customWidth="1"/>
    <col min="3593" max="3593" width="7.125" style="3482" customWidth="1"/>
    <col min="3594" max="3594" width="7" style="3482" customWidth="1"/>
    <col min="3595" max="3596" width="6.5" style="3482" customWidth="1"/>
    <col min="3597" max="3597" width="8.875" style="3482" customWidth="1"/>
    <col min="3598" max="3598" width="17.625" style="3482" customWidth="1"/>
    <col min="3599" max="3599" width="10.125" style="3482" customWidth="1"/>
    <col min="3600" max="3600" width="23" style="3482" customWidth="1"/>
    <col min="3601" max="3601" width="21.5" style="3482" customWidth="1"/>
    <col min="3602" max="3602" width="8.25" style="3482" customWidth="1"/>
    <col min="3603" max="3603" width="7.25" style="3482" customWidth="1"/>
    <col min="3604" max="3604" width="4.75" style="3482" customWidth="1"/>
    <col min="3605" max="3605" width="10" style="3482" customWidth="1"/>
    <col min="3606" max="3606" width="9.375" style="3482" customWidth="1"/>
    <col min="3607" max="3610" width="7.875" style="3482" customWidth="1"/>
    <col min="3611" max="3611" width="12.125" style="3482" customWidth="1"/>
    <col min="3612" max="3612" width="10.5" style="3482" customWidth="1"/>
    <col min="3613" max="3840" width="9" style="3482"/>
    <col min="3841" max="3841" width="4" style="3482" customWidth="1"/>
    <col min="3842" max="3842" width="5.625" style="3482" customWidth="1"/>
    <col min="3843" max="3843" width="17" style="3482" customWidth="1"/>
    <col min="3844" max="3844" width="11.5" style="3482" customWidth="1"/>
    <col min="3845" max="3845" width="18.75" style="3482" customWidth="1"/>
    <col min="3846" max="3846" width="13.875" style="3482" customWidth="1"/>
    <col min="3847" max="3847" width="9" style="3482" customWidth="1"/>
    <col min="3848" max="3848" width="6.5" style="3482" customWidth="1"/>
    <col min="3849" max="3849" width="7.125" style="3482" customWidth="1"/>
    <col min="3850" max="3850" width="7" style="3482" customWidth="1"/>
    <col min="3851" max="3852" width="6.5" style="3482" customWidth="1"/>
    <col min="3853" max="3853" width="8.875" style="3482" customWidth="1"/>
    <col min="3854" max="3854" width="17.625" style="3482" customWidth="1"/>
    <col min="3855" max="3855" width="10.125" style="3482" customWidth="1"/>
    <col min="3856" max="3856" width="23" style="3482" customWidth="1"/>
    <col min="3857" max="3857" width="21.5" style="3482" customWidth="1"/>
    <col min="3858" max="3858" width="8.25" style="3482" customWidth="1"/>
    <col min="3859" max="3859" width="7.25" style="3482" customWidth="1"/>
    <col min="3860" max="3860" width="4.75" style="3482" customWidth="1"/>
    <col min="3861" max="3861" width="10" style="3482" customWidth="1"/>
    <col min="3862" max="3862" width="9.375" style="3482" customWidth="1"/>
    <col min="3863" max="3866" width="7.875" style="3482" customWidth="1"/>
    <col min="3867" max="3867" width="12.125" style="3482" customWidth="1"/>
    <col min="3868" max="3868" width="10.5" style="3482" customWidth="1"/>
    <col min="3869" max="4096" width="9" style="3482"/>
    <col min="4097" max="4097" width="4" style="3482" customWidth="1"/>
    <col min="4098" max="4098" width="5.625" style="3482" customWidth="1"/>
    <col min="4099" max="4099" width="17" style="3482" customWidth="1"/>
    <col min="4100" max="4100" width="11.5" style="3482" customWidth="1"/>
    <col min="4101" max="4101" width="18.75" style="3482" customWidth="1"/>
    <col min="4102" max="4102" width="13.875" style="3482" customWidth="1"/>
    <col min="4103" max="4103" width="9" style="3482" customWidth="1"/>
    <col min="4104" max="4104" width="6.5" style="3482" customWidth="1"/>
    <col min="4105" max="4105" width="7.125" style="3482" customWidth="1"/>
    <col min="4106" max="4106" width="7" style="3482" customWidth="1"/>
    <col min="4107" max="4108" width="6.5" style="3482" customWidth="1"/>
    <col min="4109" max="4109" width="8.875" style="3482" customWidth="1"/>
    <col min="4110" max="4110" width="17.625" style="3482" customWidth="1"/>
    <col min="4111" max="4111" width="10.125" style="3482" customWidth="1"/>
    <col min="4112" max="4112" width="23" style="3482" customWidth="1"/>
    <col min="4113" max="4113" width="21.5" style="3482" customWidth="1"/>
    <col min="4114" max="4114" width="8.25" style="3482" customWidth="1"/>
    <col min="4115" max="4115" width="7.25" style="3482" customWidth="1"/>
    <col min="4116" max="4116" width="4.75" style="3482" customWidth="1"/>
    <col min="4117" max="4117" width="10" style="3482" customWidth="1"/>
    <col min="4118" max="4118" width="9.375" style="3482" customWidth="1"/>
    <col min="4119" max="4122" width="7.875" style="3482" customWidth="1"/>
    <col min="4123" max="4123" width="12.125" style="3482" customWidth="1"/>
    <col min="4124" max="4124" width="10.5" style="3482" customWidth="1"/>
    <col min="4125" max="4352" width="9" style="3482"/>
    <col min="4353" max="4353" width="4" style="3482" customWidth="1"/>
    <col min="4354" max="4354" width="5.625" style="3482" customWidth="1"/>
    <col min="4355" max="4355" width="17" style="3482" customWidth="1"/>
    <col min="4356" max="4356" width="11.5" style="3482" customWidth="1"/>
    <col min="4357" max="4357" width="18.75" style="3482" customWidth="1"/>
    <col min="4358" max="4358" width="13.875" style="3482" customWidth="1"/>
    <col min="4359" max="4359" width="9" style="3482" customWidth="1"/>
    <col min="4360" max="4360" width="6.5" style="3482" customWidth="1"/>
    <col min="4361" max="4361" width="7.125" style="3482" customWidth="1"/>
    <col min="4362" max="4362" width="7" style="3482" customWidth="1"/>
    <col min="4363" max="4364" width="6.5" style="3482" customWidth="1"/>
    <col min="4365" max="4365" width="8.875" style="3482" customWidth="1"/>
    <col min="4366" max="4366" width="17.625" style="3482" customWidth="1"/>
    <col min="4367" max="4367" width="10.125" style="3482" customWidth="1"/>
    <col min="4368" max="4368" width="23" style="3482" customWidth="1"/>
    <col min="4369" max="4369" width="21.5" style="3482" customWidth="1"/>
    <col min="4370" max="4370" width="8.25" style="3482" customWidth="1"/>
    <col min="4371" max="4371" width="7.25" style="3482" customWidth="1"/>
    <col min="4372" max="4372" width="4.75" style="3482" customWidth="1"/>
    <col min="4373" max="4373" width="10" style="3482" customWidth="1"/>
    <col min="4374" max="4374" width="9.375" style="3482" customWidth="1"/>
    <col min="4375" max="4378" width="7.875" style="3482" customWidth="1"/>
    <col min="4379" max="4379" width="12.125" style="3482" customWidth="1"/>
    <col min="4380" max="4380" width="10.5" style="3482" customWidth="1"/>
    <col min="4381" max="4608" width="9" style="3482"/>
    <col min="4609" max="4609" width="4" style="3482" customWidth="1"/>
    <col min="4610" max="4610" width="5.625" style="3482" customWidth="1"/>
    <col min="4611" max="4611" width="17" style="3482" customWidth="1"/>
    <col min="4612" max="4612" width="11.5" style="3482" customWidth="1"/>
    <col min="4613" max="4613" width="18.75" style="3482" customWidth="1"/>
    <col min="4614" max="4614" width="13.875" style="3482" customWidth="1"/>
    <col min="4615" max="4615" width="9" style="3482" customWidth="1"/>
    <col min="4616" max="4616" width="6.5" style="3482" customWidth="1"/>
    <col min="4617" max="4617" width="7.125" style="3482" customWidth="1"/>
    <col min="4618" max="4618" width="7" style="3482" customWidth="1"/>
    <col min="4619" max="4620" width="6.5" style="3482" customWidth="1"/>
    <col min="4621" max="4621" width="8.875" style="3482" customWidth="1"/>
    <col min="4622" max="4622" width="17.625" style="3482" customWidth="1"/>
    <col min="4623" max="4623" width="10.125" style="3482" customWidth="1"/>
    <col min="4624" max="4624" width="23" style="3482" customWidth="1"/>
    <col min="4625" max="4625" width="21.5" style="3482" customWidth="1"/>
    <col min="4626" max="4626" width="8.25" style="3482" customWidth="1"/>
    <col min="4627" max="4627" width="7.25" style="3482" customWidth="1"/>
    <col min="4628" max="4628" width="4.75" style="3482" customWidth="1"/>
    <col min="4629" max="4629" width="10" style="3482" customWidth="1"/>
    <col min="4630" max="4630" width="9.375" style="3482" customWidth="1"/>
    <col min="4631" max="4634" width="7.875" style="3482" customWidth="1"/>
    <col min="4635" max="4635" width="12.125" style="3482" customWidth="1"/>
    <col min="4636" max="4636" width="10.5" style="3482" customWidth="1"/>
    <col min="4637" max="4864" width="9" style="3482"/>
    <col min="4865" max="4865" width="4" style="3482" customWidth="1"/>
    <col min="4866" max="4866" width="5.625" style="3482" customWidth="1"/>
    <col min="4867" max="4867" width="17" style="3482" customWidth="1"/>
    <col min="4868" max="4868" width="11.5" style="3482" customWidth="1"/>
    <col min="4869" max="4869" width="18.75" style="3482" customWidth="1"/>
    <col min="4870" max="4870" width="13.875" style="3482" customWidth="1"/>
    <col min="4871" max="4871" width="9" style="3482" customWidth="1"/>
    <col min="4872" max="4872" width="6.5" style="3482" customWidth="1"/>
    <col min="4873" max="4873" width="7.125" style="3482" customWidth="1"/>
    <col min="4874" max="4874" width="7" style="3482" customWidth="1"/>
    <col min="4875" max="4876" width="6.5" style="3482" customWidth="1"/>
    <col min="4877" max="4877" width="8.875" style="3482" customWidth="1"/>
    <col min="4878" max="4878" width="17.625" style="3482" customWidth="1"/>
    <col min="4879" max="4879" width="10.125" style="3482" customWidth="1"/>
    <col min="4880" max="4880" width="23" style="3482" customWidth="1"/>
    <col min="4881" max="4881" width="21.5" style="3482" customWidth="1"/>
    <col min="4882" max="4882" width="8.25" style="3482" customWidth="1"/>
    <col min="4883" max="4883" width="7.25" style="3482" customWidth="1"/>
    <col min="4884" max="4884" width="4.75" style="3482" customWidth="1"/>
    <col min="4885" max="4885" width="10" style="3482" customWidth="1"/>
    <col min="4886" max="4886" width="9.375" style="3482" customWidth="1"/>
    <col min="4887" max="4890" width="7.875" style="3482" customWidth="1"/>
    <col min="4891" max="4891" width="12.125" style="3482" customWidth="1"/>
    <col min="4892" max="4892" width="10.5" style="3482" customWidth="1"/>
    <col min="4893" max="5120" width="9" style="3482"/>
    <col min="5121" max="5121" width="4" style="3482" customWidth="1"/>
    <col min="5122" max="5122" width="5.625" style="3482" customWidth="1"/>
    <col min="5123" max="5123" width="17" style="3482" customWidth="1"/>
    <col min="5124" max="5124" width="11.5" style="3482" customWidth="1"/>
    <col min="5125" max="5125" width="18.75" style="3482" customWidth="1"/>
    <col min="5126" max="5126" width="13.875" style="3482" customWidth="1"/>
    <col min="5127" max="5127" width="9" style="3482" customWidth="1"/>
    <col min="5128" max="5128" width="6.5" style="3482" customWidth="1"/>
    <col min="5129" max="5129" width="7.125" style="3482" customWidth="1"/>
    <col min="5130" max="5130" width="7" style="3482" customWidth="1"/>
    <col min="5131" max="5132" width="6.5" style="3482" customWidth="1"/>
    <col min="5133" max="5133" width="8.875" style="3482" customWidth="1"/>
    <col min="5134" max="5134" width="17.625" style="3482" customWidth="1"/>
    <col min="5135" max="5135" width="10.125" style="3482" customWidth="1"/>
    <col min="5136" max="5136" width="23" style="3482" customWidth="1"/>
    <col min="5137" max="5137" width="21.5" style="3482" customWidth="1"/>
    <col min="5138" max="5138" width="8.25" style="3482" customWidth="1"/>
    <col min="5139" max="5139" width="7.25" style="3482" customWidth="1"/>
    <col min="5140" max="5140" width="4.75" style="3482" customWidth="1"/>
    <col min="5141" max="5141" width="10" style="3482" customWidth="1"/>
    <col min="5142" max="5142" width="9.375" style="3482" customWidth="1"/>
    <col min="5143" max="5146" width="7.875" style="3482" customWidth="1"/>
    <col min="5147" max="5147" width="12.125" style="3482" customWidth="1"/>
    <col min="5148" max="5148" width="10.5" style="3482" customWidth="1"/>
    <col min="5149" max="5376" width="9" style="3482"/>
    <col min="5377" max="5377" width="4" style="3482" customWidth="1"/>
    <col min="5378" max="5378" width="5.625" style="3482" customWidth="1"/>
    <col min="5379" max="5379" width="17" style="3482" customWidth="1"/>
    <col min="5380" max="5380" width="11.5" style="3482" customWidth="1"/>
    <col min="5381" max="5381" width="18.75" style="3482" customWidth="1"/>
    <col min="5382" max="5382" width="13.875" style="3482" customWidth="1"/>
    <col min="5383" max="5383" width="9" style="3482" customWidth="1"/>
    <col min="5384" max="5384" width="6.5" style="3482" customWidth="1"/>
    <col min="5385" max="5385" width="7.125" style="3482" customWidth="1"/>
    <col min="5386" max="5386" width="7" style="3482" customWidth="1"/>
    <col min="5387" max="5388" width="6.5" style="3482" customWidth="1"/>
    <col min="5389" max="5389" width="8.875" style="3482" customWidth="1"/>
    <col min="5390" max="5390" width="17.625" style="3482" customWidth="1"/>
    <col min="5391" max="5391" width="10.125" style="3482" customWidth="1"/>
    <col min="5392" max="5392" width="23" style="3482" customWidth="1"/>
    <col min="5393" max="5393" width="21.5" style="3482" customWidth="1"/>
    <col min="5394" max="5394" width="8.25" style="3482" customWidth="1"/>
    <col min="5395" max="5395" width="7.25" style="3482" customWidth="1"/>
    <col min="5396" max="5396" width="4.75" style="3482" customWidth="1"/>
    <col min="5397" max="5397" width="10" style="3482" customWidth="1"/>
    <col min="5398" max="5398" width="9.375" style="3482" customWidth="1"/>
    <col min="5399" max="5402" width="7.875" style="3482" customWidth="1"/>
    <col min="5403" max="5403" width="12.125" style="3482" customWidth="1"/>
    <col min="5404" max="5404" width="10.5" style="3482" customWidth="1"/>
    <col min="5405" max="5632" width="9" style="3482"/>
    <col min="5633" max="5633" width="4" style="3482" customWidth="1"/>
    <col min="5634" max="5634" width="5.625" style="3482" customWidth="1"/>
    <col min="5635" max="5635" width="17" style="3482" customWidth="1"/>
    <col min="5636" max="5636" width="11.5" style="3482" customWidth="1"/>
    <col min="5637" max="5637" width="18.75" style="3482" customWidth="1"/>
    <col min="5638" max="5638" width="13.875" style="3482" customWidth="1"/>
    <col min="5639" max="5639" width="9" style="3482" customWidth="1"/>
    <col min="5640" max="5640" width="6.5" style="3482" customWidth="1"/>
    <col min="5641" max="5641" width="7.125" style="3482" customWidth="1"/>
    <col min="5642" max="5642" width="7" style="3482" customWidth="1"/>
    <col min="5643" max="5644" width="6.5" style="3482" customWidth="1"/>
    <col min="5645" max="5645" width="8.875" style="3482" customWidth="1"/>
    <col min="5646" max="5646" width="17.625" style="3482" customWidth="1"/>
    <col min="5647" max="5647" width="10.125" style="3482" customWidth="1"/>
    <col min="5648" max="5648" width="23" style="3482" customWidth="1"/>
    <col min="5649" max="5649" width="21.5" style="3482" customWidth="1"/>
    <col min="5650" max="5650" width="8.25" style="3482" customWidth="1"/>
    <col min="5651" max="5651" width="7.25" style="3482" customWidth="1"/>
    <col min="5652" max="5652" width="4.75" style="3482" customWidth="1"/>
    <col min="5653" max="5653" width="10" style="3482" customWidth="1"/>
    <col min="5654" max="5654" width="9.375" style="3482" customWidth="1"/>
    <col min="5655" max="5658" width="7.875" style="3482" customWidth="1"/>
    <col min="5659" max="5659" width="12.125" style="3482" customWidth="1"/>
    <col min="5660" max="5660" width="10.5" style="3482" customWidth="1"/>
    <col min="5661" max="5888" width="9" style="3482"/>
    <col min="5889" max="5889" width="4" style="3482" customWidth="1"/>
    <col min="5890" max="5890" width="5.625" style="3482" customWidth="1"/>
    <col min="5891" max="5891" width="17" style="3482" customWidth="1"/>
    <col min="5892" max="5892" width="11.5" style="3482" customWidth="1"/>
    <col min="5893" max="5893" width="18.75" style="3482" customWidth="1"/>
    <col min="5894" max="5894" width="13.875" style="3482" customWidth="1"/>
    <col min="5895" max="5895" width="9" style="3482" customWidth="1"/>
    <col min="5896" max="5896" width="6.5" style="3482" customWidth="1"/>
    <col min="5897" max="5897" width="7.125" style="3482" customWidth="1"/>
    <col min="5898" max="5898" width="7" style="3482" customWidth="1"/>
    <col min="5899" max="5900" width="6.5" style="3482" customWidth="1"/>
    <col min="5901" max="5901" width="8.875" style="3482" customWidth="1"/>
    <col min="5902" max="5902" width="17.625" style="3482" customWidth="1"/>
    <col min="5903" max="5903" width="10.125" style="3482" customWidth="1"/>
    <col min="5904" max="5904" width="23" style="3482" customWidth="1"/>
    <col min="5905" max="5905" width="21.5" style="3482" customWidth="1"/>
    <col min="5906" max="5906" width="8.25" style="3482" customWidth="1"/>
    <col min="5907" max="5907" width="7.25" style="3482" customWidth="1"/>
    <col min="5908" max="5908" width="4.75" style="3482" customWidth="1"/>
    <col min="5909" max="5909" width="10" style="3482" customWidth="1"/>
    <col min="5910" max="5910" width="9.375" style="3482" customWidth="1"/>
    <col min="5911" max="5914" width="7.875" style="3482" customWidth="1"/>
    <col min="5915" max="5915" width="12.125" style="3482" customWidth="1"/>
    <col min="5916" max="5916" width="10.5" style="3482" customWidth="1"/>
    <col min="5917" max="6144" width="9" style="3482"/>
    <col min="6145" max="6145" width="4" style="3482" customWidth="1"/>
    <col min="6146" max="6146" width="5.625" style="3482" customWidth="1"/>
    <col min="6147" max="6147" width="17" style="3482" customWidth="1"/>
    <col min="6148" max="6148" width="11.5" style="3482" customWidth="1"/>
    <col min="6149" max="6149" width="18.75" style="3482" customWidth="1"/>
    <col min="6150" max="6150" width="13.875" style="3482" customWidth="1"/>
    <col min="6151" max="6151" width="9" style="3482" customWidth="1"/>
    <col min="6152" max="6152" width="6.5" style="3482" customWidth="1"/>
    <col min="6153" max="6153" width="7.125" style="3482" customWidth="1"/>
    <col min="6154" max="6154" width="7" style="3482" customWidth="1"/>
    <col min="6155" max="6156" width="6.5" style="3482" customWidth="1"/>
    <col min="6157" max="6157" width="8.875" style="3482" customWidth="1"/>
    <col min="6158" max="6158" width="17.625" style="3482" customWidth="1"/>
    <col min="6159" max="6159" width="10.125" style="3482" customWidth="1"/>
    <col min="6160" max="6160" width="23" style="3482" customWidth="1"/>
    <col min="6161" max="6161" width="21.5" style="3482" customWidth="1"/>
    <col min="6162" max="6162" width="8.25" style="3482" customWidth="1"/>
    <col min="6163" max="6163" width="7.25" style="3482" customWidth="1"/>
    <col min="6164" max="6164" width="4.75" style="3482" customWidth="1"/>
    <col min="6165" max="6165" width="10" style="3482" customWidth="1"/>
    <col min="6166" max="6166" width="9.375" style="3482" customWidth="1"/>
    <col min="6167" max="6170" width="7.875" style="3482" customWidth="1"/>
    <col min="6171" max="6171" width="12.125" style="3482" customWidth="1"/>
    <col min="6172" max="6172" width="10.5" style="3482" customWidth="1"/>
    <col min="6173" max="6400" width="9" style="3482"/>
    <col min="6401" max="6401" width="4" style="3482" customWidth="1"/>
    <col min="6402" max="6402" width="5.625" style="3482" customWidth="1"/>
    <col min="6403" max="6403" width="17" style="3482" customWidth="1"/>
    <col min="6404" max="6404" width="11.5" style="3482" customWidth="1"/>
    <col min="6405" max="6405" width="18.75" style="3482" customWidth="1"/>
    <col min="6406" max="6406" width="13.875" style="3482" customWidth="1"/>
    <col min="6407" max="6407" width="9" style="3482" customWidth="1"/>
    <col min="6408" max="6408" width="6.5" style="3482" customWidth="1"/>
    <col min="6409" max="6409" width="7.125" style="3482" customWidth="1"/>
    <col min="6410" max="6410" width="7" style="3482" customWidth="1"/>
    <col min="6411" max="6412" width="6.5" style="3482" customWidth="1"/>
    <col min="6413" max="6413" width="8.875" style="3482" customWidth="1"/>
    <col min="6414" max="6414" width="17.625" style="3482" customWidth="1"/>
    <col min="6415" max="6415" width="10.125" style="3482" customWidth="1"/>
    <col min="6416" max="6416" width="23" style="3482" customWidth="1"/>
    <col min="6417" max="6417" width="21.5" style="3482" customWidth="1"/>
    <col min="6418" max="6418" width="8.25" style="3482" customWidth="1"/>
    <col min="6419" max="6419" width="7.25" style="3482" customWidth="1"/>
    <col min="6420" max="6420" width="4.75" style="3482" customWidth="1"/>
    <col min="6421" max="6421" width="10" style="3482" customWidth="1"/>
    <col min="6422" max="6422" width="9.375" style="3482" customWidth="1"/>
    <col min="6423" max="6426" width="7.875" style="3482" customWidth="1"/>
    <col min="6427" max="6427" width="12.125" style="3482" customWidth="1"/>
    <col min="6428" max="6428" width="10.5" style="3482" customWidth="1"/>
    <col min="6429" max="6656" width="9" style="3482"/>
    <col min="6657" max="6657" width="4" style="3482" customWidth="1"/>
    <col min="6658" max="6658" width="5.625" style="3482" customWidth="1"/>
    <col min="6659" max="6659" width="17" style="3482" customWidth="1"/>
    <col min="6660" max="6660" width="11.5" style="3482" customWidth="1"/>
    <col min="6661" max="6661" width="18.75" style="3482" customWidth="1"/>
    <col min="6662" max="6662" width="13.875" style="3482" customWidth="1"/>
    <col min="6663" max="6663" width="9" style="3482" customWidth="1"/>
    <col min="6664" max="6664" width="6.5" style="3482" customWidth="1"/>
    <col min="6665" max="6665" width="7.125" style="3482" customWidth="1"/>
    <col min="6666" max="6666" width="7" style="3482" customWidth="1"/>
    <col min="6667" max="6668" width="6.5" style="3482" customWidth="1"/>
    <col min="6669" max="6669" width="8.875" style="3482" customWidth="1"/>
    <col min="6670" max="6670" width="17.625" style="3482" customWidth="1"/>
    <col min="6671" max="6671" width="10.125" style="3482" customWidth="1"/>
    <col min="6672" max="6672" width="23" style="3482" customWidth="1"/>
    <col min="6673" max="6673" width="21.5" style="3482" customWidth="1"/>
    <col min="6674" max="6674" width="8.25" style="3482" customWidth="1"/>
    <col min="6675" max="6675" width="7.25" style="3482" customWidth="1"/>
    <col min="6676" max="6676" width="4.75" style="3482" customWidth="1"/>
    <col min="6677" max="6677" width="10" style="3482" customWidth="1"/>
    <col min="6678" max="6678" width="9.375" style="3482" customWidth="1"/>
    <col min="6679" max="6682" width="7.875" style="3482" customWidth="1"/>
    <col min="6683" max="6683" width="12.125" style="3482" customWidth="1"/>
    <col min="6684" max="6684" width="10.5" style="3482" customWidth="1"/>
    <col min="6685" max="6912" width="9" style="3482"/>
    <col min="6913" max="6913" width="4" style="3482" customWidth="1"/>
    <col min="6914" max="6914" width="5.625" style="3482" customWidth="1"/>
    <col min="6915" max="6915" width="17" style="3482" customWidth="1"/>
    <col min="6916" max="6916" width="11.5" style="3482" customWidth="1"/>
    <col min="6917" max="6917" width="18.75" style="3482" customWidth="1"/>
    <col min="6918" max="6918" width="13.875" style="3482" customWidth="1"/>
    <col min="6919" max="6919" width="9" style="3482" customWidth="1"/>
    <col min="6920" max="6920" width="6.5" style="3482" customWidth="1"/>
    <col min="6921" max="6921" width="7.125" style="3482" customWidth="1"/>
    <col min="6922" max="6922" width="7" style="3482" customWidth="1"/>
    <col min="6923" max="6924" width="6.5" style="3482" customWidth="1"/>
    <col min="6925" max="6925" width="8.875" style="3482" customWidth="1"/>
    <col min="6926" max="6926" width="17.625" style="3482" customWidth="1"/>
    <col min="6927" max="6927" width="10.125" style="3482" customWidth="1"/>
    <col min="6928" max="6928" width="23" style="3482" customWidth="1"/>
    <col min="6929" max="6929" width="21.5" style="3482" customWidth="1"/>
    <col min="6930" max="6930" width="8.25" style="3482" customWidth="1"/>
    <col min="6931" max="6931" width="7.25" style="3482" customWidth="1"/>
    <col min="6932" max="6932" width="4.75" style="3482" customWidth="1"/>
    <col min="6933" max="6933" width="10" style="3482" customWidth="1"/>
    <col min="6934" max="6934" width="9.375" style="3482" customWidth="1"/>
    <col min="6935" max="6938" width="7.875" style="3482" customWidth="1"/>
    <col min="6939" max="6939" width="12.125" style="3482" customWidth="1"/>
    <col min="6940" max="6940" width="10.5" style="3482" customWidth="1"/>
    <col min="6941" max="7168" width="9" style="3482"/>
    <col min="7169" max="7169" width="4" style="3482" customWidth="1"/>
    <col min="7170" max="7170" width="5.625" style="3482" customWidth="1"/>
    <col min="7171" max="7171" width="17" style="3482" customWidth="1"/>
    <col min="7172" max="7172" width="11.5" style="3482" customWidth="1"/>
    <col min="7173" max="7173" width="18.75" style="3482" customWidth="1"/>
    <col min="7174" max="7174" width="13.875" style="3482" customWidth="1"/>
    <col min="7175" max="7175" width="9" style="3482" customWidth="1"/>
    <col min="7176" max="7176" width="6.5" style="3482" customWidth="1"/>
    <col min="7177" max="7177" width="7.125" style="3482" customWidth="1"/>
    <col min="7178" max="7178" width="7" style="3482" customWidth="1"/>
    <col min="7179" max="7180" width="6.5" style="3482" customWidth="1"/>
    <col min="7181" max="7181" width="8.875" style="3482" customWidth="1"/>
    <col min="7182" max="7182" width="17.625" style="3482" customWidth="1"/>
    <col min="7183" max="7183" width="10.125" style="3482" customWidth="1"/>
    <col min="7184" max="7184" width="23" style="3482" customWidth="1"/>
    <col min="7185" max="7185" width="21.5" style="3482" customWidth="1"/>
    <col min="7186" max="7186" width="8.25" style="3482" customWidth="1"/>
    <col min="7187" max="7187" width="7.25" style="3482" customWidth="1"/>
    <col min="7188" max="7188" width="4.75" style="3482" customWidth="1"/>
    <col min="7189" max="7189" width="10" style="3482" customWidth="1"/>
    <col min="7190" max="7190" width="9.375" style="3482" customWidth="1"/>
    <col min="7191" max="7194" width="7.875" style="3482" customWidth="1"/>
    <col min="7195" max="7195" width="12.125" style="3482" customWidth="1"/>
    <col min="7196" max="7196" width="10.5" style="3482" customWidth="1"/>
    <col min="7197" max="7424" width="9" style="3482"/>
    <col min="7425" max="7425" width="4" style="3482" customWidth="1"/>
    <col min="7426" max="7426" width="5.625" style="3482" customWidth="1"/>
    <col min="7427" max="7427" width="17" style="3482" customWidth="1"/>
    <col min="7428" max="7428" width="11.5" style="3482" customWidth="1"/>
    <col min="7429" max="7429" width="18.75" style="3482" customWidth="1"/>
    <col min="7430" max="7430" width="13.875" style="3482" customWidth="1"/>
    <col min="7431" max="7431" width="9" style="3482" customWidth="1"/>
    <col min="7432" max="7432" width="6.5" style="3482" customWidth="1"/>
    <col min="7433" max="7433" width="7.125" style="3482" customWidth="1"/>
    <col min="7434" max="7434" width="7" style="3482" customWidth="1"/>
    <col min="7435" max="7436" width="6.5" style="3482" customWidth="1"/>
    <col min="7437" max="7437" width="8.875" style="3482" customWidth="1"/>
    <col min="7438" max="7438" width="17.625" style="3482" customWidth="1"/>
    <col min="7439" max="7439" width="10.125" style="3482" customWidth="1"/>
    <col min="7440" max="7440" width="23" style="3482" customWidth="1"/>
    <col min="7441" max="7441" width="21.5" style="3482" customWidth="1"/>
    <col min="7442" max="7442" width="8.25" style="3482" customWidth="1"/>
    <col min="7443" max="7443" width="7.25" style="3482" customWidth="1"/>
    <col min="7444" max="7444" width="4.75" style="3482" customWidth="1"/>
    <col min="7445" max="7445" width="10" style="3482" customWidth="1"/>
    <col min="7446" max="7446" width="9.375" style="3482" customWidth="1"/>
    <col min="7447" max="7450" width="7.875" style="3482" customWidth="1"/>
    <col min="7451" max="7451" width="12.125" style="3482" customWidth="1"/>
    <col min="7452" max="7452" width="10.5" style="3482" customWidth="1"/>
    <col min="7453" max="7680" width="9" style="3482"/>
    <col min="7681" max="7681" width="4" style="3482" customWidth="1"/>
    <col min="7682" max="7682" width="5.625" style="3482" customWidth="1"/>
    <col min="7683" max="7683" width="17" style="3482" customWidth="1"/>
    <col min="7684" max="7684" width="11.5" style="3482" customWidth="1"/>
    <col min="7685" max="7685" width="18.75" style="3482" customWidth="1"/>
    <col min="7686" max="7686" width="13.875" style="3482" customWidth="1"/>
    <col min="7687" max="7687" width="9" style="3482" customWidth="1"/>
    <col min="7688" max="7688" width="6.5" style="3482" customWidth="1"/>
    <col min="7689" max="7689" width="7.125" style="3482" customWidth="1"/>
    <col min="7690" max="7690" width="7" style="3482" customWidth="1"/>
    <col min="7691" max="7692" width="6.5" style="3482" customWidth="1"/>
    <col min="7693" max="7693" width="8.875" style="3482" customWidth="1"/>
    <col min="7694" max="7694" width="17.625" style="3482" customWidth="1"/>
    <col min="7695" max="7695" width="10.125" style="3482" customWidth="1"/>
    <col min="7696" max="7696" width="23" style="3482" customWidth="1"/>
    <col min="7697" max="7697" width="21.5" style="3482" customWidth="1"/>
    <col min="7698" max="7698" width="8.25" style="3482" customWidth="1"/>
    <col min="7699" max="7699" width="7.25" style="3482" customWidth="1"/>
    <col min="7700" max="7700" width="4.75" style="3482" customWidth="1"/>
    <col min="7701" max="7701" width="10" style="3482" customWidth="1"/>
    <col min="7702" max="7702" width="9.375" style="3482" customWidth="1"/>
    <col min="7703" max="7706" width="7.875" style="3482" customWidth="1"/>
    <col min="7707" max="7707" width="12.125" style="3482" customWidth="1"/>
    <col min="7708" max="7708" width="10.5" style="3482" customWidth="1"/>
    <col min="7709" max="7936" width="9" style="3482"/>
    <col min="7937" max="7937" width="4" style="3482" customWidth="1"/>
    <col min="7938" max="7938" width="5.625" style="3482" customWidth="1"/>
    <col min="7939" max="7939" width="17" style="3482" customWidth="1"/>
    <col min="7940" max="7940" width="11.5" style="3482" customWidth="1"/>
    <col min="7941" max="7941" width="18.75" style="3482" customWidth="1"/>
    <col min="7942" max="7942" width="13.875" style="3482" customWidth="1"/>
    <col min="7943" max="7943" width="9" style="3482" customWidth="1"/>
    <col min="7944" max="7944" width="6.5" style="3482" customWidth="1"/>
    <col min="7945" max="7945" width="7.125" style="3482" customWidth="1"/>
    <col min="7946" max="7946" width="7" style="3482" customWidth="1"/>
    <col min="7947" max="7948" width="6.5" style="3482" customWidth="1"/>
    <col min="7949" max="7949" width="8.875" style="3482" customWidth="1"/>
    <col min="7950" max="7950" width="17.625" style="3482" customWidth="1"/>
    <col min="7951" max="7951" width="10.125" style="3482" customWidth="1"/>
    <col min="7952" max="7952" width="23" style="3482" customWidth="1"/>
    <col min="7953" max="7953" width="21.5" style="3482" customWidth="1"/>
    <col min="7954" max="7954" width="8.25" style="3482" customWidth="1"/>
    <col min="7955" max="7955" width="7.25" style="3482" customWidth="1"/>
    <col min="7956" max="7956" width="4.75" style="3482" customWidth="1"/>
    <col min="7957" max="7957" width="10" style="3482" customWidth="1"/>
    <col min="7958" max="7958" width="9.375" style="3482" customWidth="1"/>
    <col min="7959" max="7962" width="7.875" style="3482" customWidth="1"/>
    <col min="7963" max="7963" width="12.125" style="3482" customWidth="1"/>
    <col min="7964" max="7964" width="10.5" style="3482" customWidth="1"/>
    <col min="7965" max="8192" width="9" style="3482"/>
    <col min="8193" max="8193" width="4" style="3482" customWidth="1"/>
    <col min="8194" max="8194" width="5.625" style="3482" customWidth="1"/>
    <col min="8195" max="8195" width="17" style="3482" customWidth="1"/>
    <col min="8196" max="8196" width="11.5" style="3482" customWidth="1"/>
    <col min="8197" max="8197" width="18.75" style="3482" customWidth="1"/>
    <col min="8198" max="8198" width="13.875" style="3482" customWidth="1"/>
    <col min="8199" max="8199" width="9" style="3482" customWidth="1"/>
    <col min="8200" max="8200" width="6.5" style="3482" customWidth="1"/>
    <col min="8201" max="8201" width="7.125" style="3482" customWidth="1"/>
    <col min="8202" max="8202" width="7" style="3482" customWidth="1"/>
    <col min="8203" max="8204" width="6.5" style="3482" customWidth="1"/>
    <col min="8205" max="8205" width="8.875" style="3482" customWidth="1"/>
    <col min="8206" max="8206" width="17.625" style="3482" customWidth="1"/>
    <col min="8207" max="8207" width="10.125" style="3482" customWidth="1"/>
    <col min="8208" max="8208" width="23" style="3482" customWidth="1"/>
    <col min="8209" max="8209" width="21.5" style="3482" customWidth="1"/>
    <col min="8210" max="8210" width="8.25" style="3482" customWidth="1"/>
    <col min="8211" max="8211" width="7.25" style="3482" customWidth="1"/>
    <col min="8212" max="8212" width="4.75" style="3482" customWidth="1"/>
    <col min="8213" max="8213" width="10" style="3482" customWidth="1"/>
    <col min="8214" max="8214" width="9.375" style="3482" customWidth="1"/>
    <col min="8215" max="8218" width="7.875" style="3482" customWidth="1"/>
    <col min="8219" max="8219" width="12.125" style="3482" customWidth="1"/>
    <col min="8220" max="8220" width="10.5" style="3482" customWidth="1"/>
    <col min="8221" max="8448" width="9" style="3482"/>
    <col min="8449" max="8449" width="4" style="3482" customWidth="1"/>
    <col min="8450" max="8450" width="5.625" style="3482" customWidth="1"/>
    <col min="8451" max="8451" width="17" style="3482" customWidth="1"/>
    <col min="8452" max="8452" width="11.5" style="3482" customWidth="1"/>
    <col min="8453" max="8453" width="18.75" style="3482" customWidth="1"/>
    <col min="8454" max="8454" width="13.875" style="3482" customWidth="1"/>
    <col min="8455" max="8455" width="9" style="3482" customWidth="1"/>
    <col min="8456" max="8456" width="6.5" style="3482" customWidth="1"/>
    <col min="8457" max="8457" width="7.125" style="3482" customWidth="1"/>
    <col min="8458" max="8458" width="7" style="3482" customWidth="1"/>
    <col min="8459" max="8460" width="6.5" style="3482" customWidth="1"/>
    <col min="8461" max="8461" width="8.875" style="3482" customWidth="1"/>
    <col min="8462" max="8462" width="17.625" style="3482" customWidth="1"/>
    <col min="8463" max="8463" width="10.125" style="3482" customWidth="1"/>
    <col min="8464" max="8464" width="23" style="3482" customWidth="1"/>
    <col min="8465" max="8465" width="21.5" style="3482" customWidth="1"/>
    <col min="8466" max="8466" width="8.25" style="3482" customWidth="1"/>
    <col min="8467" max="8467" width="7.25" style="3482" customWidth="1"/>
    <col min="8468" max="8468" width="4.75" style="3482" customWidth="1"/>
    <col min="8469" max="8469" width="10" style="3482" customWidth="1"/>
    <col min="8470" max="8470" width="9.375" style="3482" customWidth="1"/>
    <col min="8471" max="8474" width="7.875" style="3482" customWidth="1"/>
    <col min="8475" max="8475" width="12.125" style="3482" customWidth="1"/>
    <col min="8476" max="8476" width="10.5" style="3482" customWidth="1"/>
    <col min="8477" max="8704" width="9" style="3482"/>
    <col min="8705" max="8705" width="4" style="3482" customWidth="1"/>
    <col min="8706" max="8706" width="5.625" style="3482" customWidth="1"/>
    <col min="8707" max="8707" width="17" style="3482" customWidth="1"/>
    <col min="8708" max="8708" width="11.5" style="3482" customWidth="1"/>
    <col min="8709" max="8709" width="18.75" style="3482" customWidth="1"/>
    <col min="8710" max="8710" width="13.875" style="3482" customWidth="1"/>
    <col min="8711" max="8711" width="9" style="3482" customWidth="1"/>
    <col min="8712" max="8712" width="6.5" style="3482" customWidth="1"/>
    <col min="8713" max="8713" width="7.125" style="3482" customWidth="1"/>
    <col min="8714" max="8714" width="7" style="3482" customWidth="1"/>
    <col min="8715" max="8716" width="6.5" style="3482" customWidth="1"/>
    <col min="8717" max="8717" width="8.875" style="3482" customWidth="1"/>
    <col min="8718" max="8718" width="17.625" style="3482" customWidth="1"/>
    <col min="8719" max="8719" width="10.125" style="3482" customWidth="1"/>
    <col min="8720" max="8720" width="23" style="3482" customWidth="1"/>
    <col min="8721" max="8721" width="21.5" style="3482" customWidth="1"/>
    <col min="8722" max="8722" width="8.25" style="3482" customWidth="1"/>
    <col min="8723" max="8723" width="7.25" style="3482" customWidth="1"/>
    <col min="8724" max="8724" width="4.75" style="3482" customWidth="1"/>
    <col min="8725" max="8725" width="10" style="3482" customWidth="1"/>
    <col min="8726" max="8726" width="9.375" style="3482" customWidth="1"/>
    <col min="8727" max="8730" width="7.875" style="3482" customWidth="1"/>
    <col min="8731" max="8731" width="12.125" style="3482" customWidth="1"/>
    <col min="8732" max="8732" width="10.5" style="3482" customWidth="1"/>
    <col min="8733" max="8960" width="9" style="3482"/>
    <col min="8961" max="8961" width="4" style="3482" customWidth="1"/>
    <col min="8962" max="8962" width="5.625" style="3482" customWidth="1"/>
    <col min="8963" max="8963" width="17" style="3482" customWidth="1"/>
    <col min="8964" max="8964" width="11.5" style="3482" customWidth="1"/>
    <col min="8965" max="8965" width="18.75" style="3482" customWidth="1"/>
    <col min="8966" max="8966" width="13.875" style="3482" customWidth="1"/>
    <col min="8967" max="8967" width="9" style="3482" customWidth="1"/>
    <col min="8968" max="8968" width="6.5" style="3482" customWidth="1"/>
    <col min="8969" max="8969" width="7.125" style="3482" customWidth="1"/>
    <col min="8970" max="8970" width="7" style="3482" customWidth="1"/>
    <col min="8971" max="8972" width="6.5" style="3482" customWidth="1"/>
    <col min="8973" max="8973" width="8.875" style="3482" customWidth="1"/>
    <col min="8974" max="8974" width="17.625" style="3482" customWidth="1"/>
    <col min="8975" max="8975" width="10.125" style="3482" customWidth="1"/>
    <col min="8976" max="8976" width="23" style="3482" customWidth="1"/>
    <col min="8977" max="8977" width="21.5" style="3482" customWidth="1"/>
    <col min="8978" max="8978" width="8.25" style="3482" customWidth="1"/>
    <col min="8979" max="8979" width="7.25" style="3482" customWidth="1"/>
    <col min="8980" max="8980" width="4.75" style="3482" customWidth="1"/>
    <col min="8981" max="8981" width="10" style="3482" customWidth="1"/>
    <col min="8982" max="8982" width="9.375" style="3482" customWidth="1"/>
    <col min="8983" max="8986" width="7.875" style="3482" customWidth="1"/>
    <col min="8987" max="8987" width="12.125" style="3482" customWidth="1"/>
    <col min="8988" max="8988" width="10.5" style="3482" customWidth="1"/>
    <col min="8989" max="9216" width="9" style="3482"/>
    <col min="9217" max="9217" width="4" style="3482" customWidth="1"/>
    <col min="9218" max="9218" width="5.625" style="3482" customWidth="1"/>
    <col min="9219" max="9219" width="17" style="3482" customWidth="1"/>
    <col min="9220" max="9220" width="11.5" style="3482" customWidth="1"/>
    <col min="9221" max="9221" width="18.75" style="3482" customWidth="1"/>
    <col min="9222" max="9222" width="13.875" style="3482" customWidth="1"/>
    <col min="9223" max="9223" width="9" style="3482" customWidth="1"/>
    <col min="9224" max="9224" width="6.5" style="3482" customWidth="1"/>
    <col min="9225" max="9225" width="7.125" style="3482" customWidth="1"/>
    <col min="9226" max="9226" width="7" style="3482" customWidth="1"/>
    <col min="9227" max="9228" width="6.5" style="3482" customWidth="1"/>
    <col min="9229" max="9229" width="8.875" style="3482" customWidth="1"/>
    <col min="9230" max="9230" width="17.625" style="3482" customWidth="1"/>
    <col min="9231" max="9231" width="10.125" style="3482" customWidth="1"/>
    <col min="9232" max="9232" width="23" style="3482" customWidth="1"/>
    <col min="9233" max="9233" width="21.5" style="3482" customWidth="1"/>
    <col min="9234" max="9234" width="8.25" style="3482" customWidth="1"/>
    <col min="9235" max="9235" width="7.25" style="3482" customWidth="1"/>
    <col min="9236" max="9236" width="4.75" style="3482" customWidth="1"/>
    <col min="9237" max="9237" width="10" style="3482" customWidth="1"/>
    <col min="9238" max="9238" width="9.375" style="3482" customWidth="1"/>
    <col min="9239" max="9242" width="7.875" style="3482" customWidth="1"/>
    <col min="9243" max="9243" width="12.125" style="3482" customWidth="1"/>
    <col min="9244" max="9244" width="10.5" style="3482" customWidth="1"/>
    <col min="9245" max="9472" width="9" style="3482"/>
    <col min="9473" max="9473" width="4" style="3482" customWidth="1"/>
    <col min="9474" max="9474" width="5.625" style="3482" customWidth="1"/>
    <col min="9475" max="9475" width="17" style="3482" customWidth="1"/>
    <col min="9476" max="9476" width="11.5" style="3482" customWidth="1"/>
    <col min="9477" max="9477" width="18.75" style="3482" customWidth="1"/>
    <col min="9478" max="9478" width="13.875" style="3482" customWidth="1"/>
    <col min="9479" max="9479" width="9" style="3482" customWidth="1"/>
    <col min="9480" max="9480" width="6.5" style="3482" customWidth="1"/>
    <col min="9481" max="9481" width="7.125" style="3482" customWidth="1"/>
    <col min="9482" max="9482" width="7" style="3482" customWidth="1"/>
    <col min="9483" max="9484" width="6.5" style="3482" customWidth="1"/>
    <col min="9485" max="9485" width="8.875" style="3482" customWidth="1"/>
    <col min="9486" max="9486" width="17.625" style="3482" customWidth="1"/>
    <col min="9487" max="9487" width="10.125" style="3482" customWidth="1"/>
    <col min="9488" max="9488" width="23" style="3482" customWidth="1"/>
    <col min="9489" max="9489" width="21.5" style="3482" customWidth="1"/>
    <col min="9490" max="9490" width="8.25" style="3482" customWidth="1"/>
    <col min="9491" max="9491" width="7.25" style="3482" customWidth="1"/>
    <col min="9492" max="9492" width="4.75" style="3482" customWidth="1"/>
    <col min="9493" max="9493" width="10" style="3482" customWidth="1"/>
    <col min="9494" max="9494" width="9.375" style="3482" customWidth="1"/>
    <col min="9495" max="9498" width="7.875" style="3482" customWidth="1"/>
    <col min="9499" max="9499" width="12.125" style="3482" customWidth="1"/>
    <col min="9500" max="9500" width="10.5" style="3482" customWidth="1"/>
    <col min="9501" max="9728" width="9" style="3482"/>
    <col min="9729" max="9729" width="4" style="3482" customWidth="1"/>
    <col min="9730" max="9730" width="5.625" style="3482" customWidth="1"/>
    <col min="9731" max="9731" width="17" style="3482" customWidth="1"/>
    <col min="9732" max="9732" width="11.5" style="3482" customWidth="1"/>
    <col min="9733" max="9733" width="18.75" style="3482" customWidth="1"/>
    <col min="9734" max="9734" width="13.875" style="3482" customWidth="1"/>
    <col min="9735" max="9735" width="9" style="3482" customWidth="1"/>
    <col min="9736" max="9736" width="6.5" style="3482" customWidth="1"/>
    <col min="9737" max="9737" width="7.125" style="3482" customWidth="1"/>
    <col min="9738" max="9738" width="7" style="3482" customWidth="1"/>
    <col min="9739" max="9740" width="6.5" style="3482" customWidth="1"/>
    <col min="9741" max="9741" width="8.875" style="3482" customWidth="1"/>
    <col min="9742" max="9742" width="17.625" style="3482" customWidth="1"/>
    <col min="9743" max="9743" width="10.125" style="3482" customWidth="1"/>
    <col min="9744" max="9744" width="23" style="3482" customWidth="1"/>
    <col min="9745" max="9745" width="21.5" style="3482" customWidth="1"/>
    <col min="9746" max="9746" width="8.25" style="3482" customWidth="1"/>
    <col min="9747" max="9747" width="7.25" style="3482" customWidth="1"/>
    <col min="9748" max="9748" width="4.75" style="3482" customWidth="1"/>
    <col min="9749" max="9749" width="10" style="3482" customWidth="1"/>
    <col min="9750" max="9750" width="9.375" style="3482" customWidth="1"/>
    <col min="9751" max="9754" width="7.875" style="3482" customWidth="1"/>
    <col min="9755" max="9755" width="12.125" style="3482" customWidth="1"/>
    <col min="9756" max="9756" width="10.5" style="3482" customWidth="1"/>
    <col min="9757" max="9984" width="9" style="3482"/>
    <col min="9985" max="9985" width="4" style="3482" customWidth="1"/>
    <col min="9986" max="9986" width="5.625" style="3482" customWidth="1"/>
    <col min="9987" max="9987" width="17" style="3482" customWidth="1"/>
    <col min="9988" max="9988" width="11.5" style="3482" customWidth="1"/>
    <col min="9989" max="9989" width="18.75" style="3482" customWidth="1"/>
    <col min="9990" max="9990" width="13.875" style="3482" customWidth="1"/>
    <col min="9991" max="9991" width="9" style="3482" customWidth="1"/>
    <col min="9992" max="9992" width="6.5" style="3482" customWidth="1"/>
    <col min="9993" max="9993" width="7.125" style="3482" customWidth="1"/>
    <col min="9994" max="9994" width="7" style="3482" customWidth="1"/>
    <col min="9995" max="9996" width="6.5" style="3482" customWidth="1"/>
    <col min="9997" max="9997" width="8.875" style="3482" customWidth="1"/>
    <col min="9998" max="9998" width="17.625" style="3482" customWidth="1"/>
    <col min="9999" max="9999" width="10.125" style="3482" customWidth="1"/>
    <col min="10000" max="10000" width="23" style="3482" customWidth="1"/>
    <col min="10001" max="10001" width="21.5" style="3482" customWidth="1"/>
    <col min="10002" max="10002" width="8.25" style="3482" customWidth="1"/>
    <col min="10003" max="10003" width="7.25" style="3482" customWidth="1"/>
    <col min="10004" max="10004" width="4.75" style="3482" customWidth="1"/>
    <col min="10005" max="10005" width="10" style="3482" customWidth="1"/>
    <col min="10006" max="10006" width="9.375" style="3482" customWidth="1"/>
    <col min="10007" max="10010" width="7.875" style="3482" customWidth="1"/>
    <col min="10011" max="10011" width="12.125" style="3482" customWidth="1"/>
    <col min="10012" max="10012" width="10.5" style="3482" customWidth="1"/>
    <col min="10013" max="10240" width="9" style="3482"/>
    <col min="10241" max="10241" width="4" style="3482" customWidth="1"/>
    <col min="10242" max="10242" width="5.625" style="3482" customWidth="1"/>
    <col min="10243" max="10243" width="17" style="3482" customWidth="1"/>
    <col min="10244" max="10244" width="11.5" style="3482" customWidth="1"/>
    <col min="10245" max="10245" width="18.75" style="3482" customWidth="1"/>
    <col min="10246" max="10246" width="13.875" style="3482" customWidth="1"/>
    <col min="10247" max="10247" width="9" style="3482" customWidth="1"/>
    <col min="10248" max="10248" width="6.5" style="3482" customWidth="1"/>
    <col min="10249" max="10249" width="7.125" style="3482" customWidth="1"/>
    <col min="10250" max="10250" width="7" style="3482" customWidth="1"/>
    <col min="10251" max="10252" width="6.5" style="3482" customWidth="1"/>
    <col min="10253" max="10253" width="8.875" style="3482" customWidth="1"/>
    <col min="10254" max="10254" width="17.625" style="3482" customWidth="1"/>
    <col min="10255" max="10255" width="10.125" style="3482" customWidth="1"/>
    <col min="10256" max="10256" width="23" style="3482" customWidth="1"/>
    <col min="10257" max="10257" width="21.5" style="3482" customWidth="1"/>
    <col min="10258" max="10258" width="8.25" style="3482" customWidth="1"/>
    <col min="10259" max="10259" width="7.25" style="3482" customWidth="1"/>
    <col min="10260" max="10260" width="4.75" style="3482" customWidth="1"/>
    <col min="10261" max="10261" width="10" style="3482" customWidth="1"/>
    <col min="10262" max="10262" width="9.375" style="3482" customWidth="1"/>
    <col min="10263" max="10266" width="7.875" style="3482" customWidth="1"/>
    <col min="10267" max="10267" width="12.125" style="3482" customWidth="1"/>
    <col min="10268" max="10268" width="10.5" style="3482" customWidth="1"/>
    <col min="10269" max="10496" width="9" style="3482"/>
    <col min="10497" max="10497" width="4" style="3482" customWidth="1"/>
    <col min="10498" max="10498" width="5.625" style="3482" customWidth="1"/>
    <col min="10499" max="10499" width="17" style="3482" customWidth="1"/>
    <col min="10500" max="10500" width="11.5" style="3482" customWidth="1"/>
    <col min="10501" max="10501" width="18.75" style="3482" customWidth="1"/>
    <col min="10502" max="10502" width="13.875" style="3482" customWidth="1"/>
    <col min="10503" max="10503" width="9" style="3482" customWidth="1"/>
    <col min="10504" max="10504" width="6.5" style="3482" customWidth="1"/>
    <col min="10505" max="10505" width="7.125" style="3482" customWidth="1"/>
    <col min="10506" max="10506" width="7" style="3482" customWidth="1"/>
    <col min="10507" max="10508" width="6.5" style="3482" customWidth="1"/>
    <col min="10509" max="10509" width="8.875" style="3482" customWidth="1"/>
    <col min="10510" max="10510" width="17.625" style="3482" customWidth="1"/>
    <col min="10511" max="10511" width="10.125" style="3482" customWidth="1"/>
    <col min="10512" max="10512" width="23" style="3482" customWidth="1"/>
    <col min="10513" max="10513" width="21.5" style="3482" customWidth="1"/>
    <col min="10514" max="10514" width="8.25" style="3482" customWidth="1"/>
    <col min="10515" max="10515" width="7.25" style="3482" customWidth="1"/>
    <col min="10516" max="10516" width="4.75" style="3482" customWidth="1"/>
    <col min="10517" max="10517" width="10" style="3482" customWidth="1"/>
    <col min="10518" max="10518" width="9.375" style="3482" customWidth="1"/>
    <col min="10519" max="10522" width="7.875" style="3482" customWidth="1"/>
    <col min="10523" max="10523" width="12.125" style="3482" customWidth="1"/>
    <col min="10524" max="10524" width="10.5" style="3482" customWidth="1"/>
    <col min="10525" max="10752" width="9" style="3482"/>
    <col min="10753" max="10753" width="4" style="3482" customWidth="1"/>
    <col min="10754" max="10754" width="5.625" style="3482" customWidth="1"/>
    <col min="10755" max="10755" width="17" style="3482" customWidth="1"/>
    <col min="10756" max="10756" width="11.5" style="3482" customWidth="1"/>
    <col min="10757" max="10757" width="18.75" style="3482" customWidth="1"/>
    <col min="10758" max="10758" width="13.875" style="3482" customWidth="1"/>
    <col min="10759" max="10759" width="9" style="3482" customWidth="1"/>
    <col min="10760" max="10760" width="6.5" style="3482" customWidth="1"/>
    <col min="10761" max="10761" width="7.125" style="3482" customWidth="1"/>
    <col min="10762" max="10762" width="7" style="3482" customWidth="1"/>
    <col min="10763" max="10764" width="6.5" style="3482" customWidth="1"/>
    <col min="10765" max="10765" width="8.875" style="3482" customWidth="1"/>
    <col min="10766" max="10766" width="17.625" style="3482" customWidth="1"/>
    <col min="10767" max="10767" width="10.125" style="3482" customWidth="1"/>
    <col min="10768" max="10768" width="23" style="3482" customWidth="1"/>
    <col min="10769" max="10769" width="21.5" style="3482" customWidth="1"/>
    <col min="10770" max="10770" width="8.25" style="3482" customWidth="1"/>
    <col min="10771" max="10771" width="7.25" style="3482" customWidth="1"/>
    <col min="10772" max="10772" width="4.75" style="3482" customWidth="1"/>
    <col min="10773" max="10773" width="10" style="3482" customWidth="1"/>
    <col min="10774" max="10774" width="9.375" style="3482" customWidth="1"/>
    <col min="10775" max="10778" width="7.875" style="3482" customWidth="1"/>
    <col min="10779" max="10779" width="12.125" style="3482" customWidth="1"/>
    <col min="10780" max="10780" width="10.5" style="3482" customWidth="1"/>
    <col min="10781" max="11008" width="9" style="3482"/>
    <col min="11009" max="11009" width="4" style="3482" customWidth="1"/>
    <col min="11010" max="11010" width="5.625" style="3482" customWidth="1"/>
    <col min="11011" max="11011" width="17" style="3482" customWidth="1"/>
    <col min="11012" max="11012" width="11.5" style="3482" customWidth="1"/>
    <col min="11013" max="11013" width="18.75" style="3482" customWidth="1"/>
    <col min="11014" max="11014" width="13.875" style="3482" customWidth="1"/>
    <col min="11015" max="11015" width="9" style="3482" customWidth="1"/>
    <col min="11016" max="11016" width="6.5" style="3482" customWidth="1"/>
    <col min="11017" max="11017" width="7.125" style="3482" customWidth="1"/>
    <col min="11018" max="11018" width="7" style="3482" customWidth="1"/>
    <col min="11019" max="11020" width="6.5" style="3482" customWidth="1"/>
    <col min="11021" max="11021" width="8.875" style="3482" customWidth="1"/>
    <col min="11022" max="11022" width="17.625" style="3482" customWidth="1"/>
    <col min="11023" max="11023" width="10.125" style="3482" customWidth="1"/>
    <col min="11024" max="11024" width="23" style="3482" customWidth="1"/>
    <col min="11025" max="11025" width="21.5" style="3482" customWidth="1"/>
    <col min="11026" max="11026" width="8.25" style="3482" customWidth="1"/>
    <col min="11027" max="11027" width="7.25" style="3482" customWidth="1"/>
    <col min="11028" max="11028" width="4.75" style="3482" customWidth="1"/>
    <col min="11029" max="11029" width="10" style="3482" customWidth="1"/>
    <col min="11030" max="11030" width="9.375" style="3482" customWidth="1"/>
    <col min="11031" max="11034" width="7.875" style="3482" customWidth="1"/>
    <col min="11035" max="11035" width="12.125" style="3482" customWidth="1"/>
    <col min="11036" max="11036" width="10.5" style="3482" customWidth="1"/>
    <col min="11037" max="11264" width="9" style="3482"/>
    <col min="11265" max="11265" width="4" style="3482" customWidth="1"/>
    <col min="11266" max="11266" width="5.625" style="3482" customWidth="1"/>
    <col min="11267" max="11267" width="17" style="3482" customWidth="1"/>
    <col min="11268" max="11268" width="11.5" style="3482" customWidth="1"/>
    <col min="11269" max="11269" width="18.75" style="3482" customWidth="1"/>
    <col min="11270" max="11270" width="13.875" style="3482" customWidth="1"/>
    <col min="11271" max="11271" width="9" style="3482" customWidth="1"/>
    <col min="11272" max="11272" width="6.5" style="3482" customWidth="1"/>
    <col min="11273" max="11273" width="7.125" style="3482" customWidth="1"/>
    <col min="11274" max="11274" width="7" style="3482" customWidth="1"/>
    <col min="11275" max="11276" width="6.5" style="3482" customWidth="1"/>
    <col min="11277" max="11277" width="8.875" style="3482" customWidth="1"/>
    <col min="11278" max="11278" width="17.625" style="3482" customWidth="1"/>
    <col min="11279" max="11279" width="10.125" style="3482" customWidth="1"/>
    <col min="11280" max="11280" width="23" style="3482" customWidth="1"/>
    <col min="11281" max="11281" width="21.5" style="3482" customWidth="1"/>
    <col min="11282" max="11282" width="8.25" style="3482" customWidth="1"/>
    <col min="11283" max="11283" width="7.25" style="3482" customWidth="1"/>
    <col min="11284" max="11284" width="4.75" style="3482" customWidth="1"/>
    <col min="11285" max="11285" width="10" style="3482" customWidth="1"/>
    <col min="11286" max="11286" width="9.375" style="3482" customWidth="1"/>
    <col min="11287" max="11290" width="7.875" style="3482" customWidth="1"/>
    <col min="11291" max="11291" width="12.125" style="3482" customWidth="1"/>
    <col min="11292" max="11292" width="10.5" style="3482" customWidth="1"/>
    <col min="11293" max="11520" width="9" style="3482"/>
    <col min="11521" max="11521" width="4" style="3482" customWidth="1"/>
    <col min="11522" max="11522" width="5.625" style="3482" customWidth="1"/>
    <col min="11523" max="11523" width="17" style="3482" customWidth="1"/>
    <col min="11524" max="11524" width="11.5" style="3482" customWidth="1"/>
    <col min="11525" max="11525" width="18.75" style="3482" customWidth="1"/>
    <col min="11526" max="11526" width="13.875" style="3482" customWidth="1"/>
    <col min="11527" max="11527" width="9" style="3482" customWidth="1"/>
    <col min="11528" max="11528" width="6.5" style="3482" customWidth="1"/>
    <col min="11529" max="11529" width="7.125" style="3482" customWidth="1"/>
    <col min="11530" max="11530" width="7" style="3482" customWidth="1"/>
    <col min="11531" max="11532" width="6.5" style="3482" customWidth="1"/>
    <col min="11533" max="11533" width="8.875" style="3482" customWidth="1"/>
    <col min="11534" max="11534" width="17.625" style="3482" customWidth="1"/>
    <col min="11535" max="11535" width="10.125" style="3482" customWidth="1"/>
    <col min="11536" max="11536" width="23" style="3482" customWidth="1"/>
    <col min="11537" max="11537" width="21.5" style="3482" customWidth="1"/>
    <col min="11538" max="11538" width="8.25" style="3482" customWidth="1"/>
    <col min="11539" max="11539" width="7.25" style="3482" customWidth="1"/>
    <col min="11540" max="11540" width="4.75" style="3482" customWidth="1"/>
    <col min="11541" max="11541" width="10" style="3482" customWidth="1"/>
    <col min="11542" max="11542" width="9.375" style="3482" customWidth="1"/>
    <col min="11543" max="11546" width="7.875" style="3482" customWidth="1"/>
    <col min="11547" max="11547" width="12.125" style="3482" customWidth="1"/>
    <col min="11548" max="11548" width="10.5" style="3482" customWidth="1"/>
    <col min="11549" max="11776" width="9" style="3482"/>
    <col min="11777" max="11777" width="4" style="3482" customWidth="1"/>
    <col min="11778" max="11778" width="5.625" style="3482" customWidth="1"/>
    <col min="11779" max="11779" width="17" style="3482" customWidth="1"/>
    <col min="11780" max="11780" width="11.5" style="3482" customWidth="1"/>
    <col min="11781" max="11781" width="18.75" style="3482" customWidth="1"/>
    <col min="11782" max="11782" width="13.875" style="3482" customWidth="1"/>
    <col min="11783" max="11783" width="9" style="3482" customWidth="1"/>
    <col min="11784" max="11784" width="6.5" style="3482" customWidth="1"/>
    <col min="11785" max="11785" width="7.125" style="3482" customWidth="1"/>
    <col min="11786" max="11786" width="7" style="3482" customWidth="1"/>
    <col min="11787" max="11788" width="6.5" style="3482" customWidth="1"/>
    <col min="11789" max="11789" width="8.875" style="3482" customWidth="1"/>
    <col min="11790" max="11790" width="17.625" style="3482" customWidth="1"/>
    <col min="11791" max="11791" width="10.125" style="3482" customWidth="1"/>
    <col min="11792" max="11792" width="23" style="3482" customWidth="1"/>
    <col min="11793" max="11793" width="21.5" style="3482" customWidth="1"/>
    <col min="11794" max="11794" width="8.25" style="3482" customWidth="1"/>
    <col min="11795" max="11795" width="7.25" style="3482" customWidth="1"/>
    <col min="11796" max="11796" width="4.75" style="3482" customWidth="1"/>
    <col min="11797" max="11797" width="10" style="3482" customWidth="1"/>
    <col min="11798" max="11798" width="9.375" style="3482" customWidth="1"/>
    <col min="11799" max="11802" width="7.875" style="3482" customWidth="1"/>
    <col min="11803" max="11803" width="12.125" style="3482" customWidth="1"/>
    <col min="11804" max="11804" width="10.5" style="3482" customWidth="1"/>
    <col min="11805" max="12032" width="9" style="3482"/>
    <col min="12033" max="12033" width="4" style="3482" customWidth="1"/>
    <col min="12034" max="12034" width="5.625" style="3482" customWidth="1"/>
    <col min="12035" max="12035" width="17" style="3482" customWidth="1"/>
    <col min="12036" max="12036" width="11.5" style="3482" customWidth="1"/>
    <col min="12037" max="12037" width="18.75" style="3482" customWidth="1"/>
    <col min="12038" max="12038" width="13.875" style="3482" customWidth="1"/>
    <col min="12039" max="12039" width="9" style="3482" customWidth="1"/>
    <col min="12040" max="12040" width="6.5" style="3482" customWidth="1"/>
    <col min="12041" max="12041" width="7.125" style="3482" customWidth="1"/>
    <col min="12042" max="12042" width="7" style="3482" customWidth="1"/>
    <col min="12043" max="12044" width="6.5" style="3482" customWidth="1"/>
    <col min="12045" max="12045" width="8.875" style="3482" customWidth="1"/>
    <col min="12046" max="12046" width="17.625" style="3482" customWidth="1"/>
    <col min="12047" max="12047" width="10.125" style="3482" customWidth="1"/>
    <col min="12048" max="12048" width="23" style="3482" customWidth="1"/>
    <col min="12049" max="12049" width="21.5" style="3482" customWidth="1"/>
    <col min="12050" max="12050" width="8.25" style="3482" customWidth="1"/>
    <col min="12051" max="12051" width="7.25" style="3482" customWidth="1"/>
    <col min="12052" max="12052" width="4.75" style="3482" customWidth="1"/>
    <col min="12053" max="12053" width="10" style="3482" customWidth="1"/>
    <col min="12054" max="12054" width="9.375" style="3482" customWidth="1"/>
    <col min="12055" max="12058" width="7.875" style="3482" customWidth="1"/>
    <col min="12059" max="12059" width="12.125" style="3482" customWidth="1"/>
    <col min="12060" max="12060" width="10.5" style="3482" customWidth="1"/>
    <col min="12061" max="12288" width="9" style="3482"/>
    <col min="12289" max="12289" width="4" style="3482" customWidth="1"/>
    <col min="12290" max="12290" width="5.625" style="3482" customWidth="1"/>
    <col min="12291" max="12291" width="17" style="3482" customWidth="1"/>
    <col min="12292" max="12292" width="11.5" style="3482" customWidth="1"/>
    <col min="12293" max="12293" width="18.75" style="3482" customWidth="1"/>
    <col min="12294" max="12294" width="13.875" style="3482" customWidth="1"/>
    <col min="12295" max="12295" width="9" style="3482" customWidth="1"/>
    <col min="12296" max="12296" width="6.5" style="3482" customWidth="1"/>
    <col min="12297" max="12297" width="7.125" style="3482" customWidth="1"/>
    <col min="12298" max="12298" width="7" style="3482" customWidth="1"/>
    <col min="12299" max="12300" width="6.5" style="3482" customWidth="1"/>
    <col min="12301" max="12301" width="8.875" style="3482" customWidth="1"/>
    <col min="12302" max="12302" width="17.625" style="3482" customWidth="1"/>
    <col min="12303" max="12303" width="10.125" style="3482" customWidth="1"/>
    <col min="12304" max="12304" width="23" style="3482" customWidth="1"/>
    <col min="12305" max="12305" width="21.5" style="3482" customWidth="1"/>
    <col min="12306" max="12306" width="8.25" style="3482" customWidth="1"/>
    <col min="12307" max="12307" width="7.25" style="3482" customWidth="1"/>
    <col min="12308" max="12308" width="4.75" style="3482" customWidth="1"/>
    <col min="12309" max="12309" width="10" style="3482" customWidth="1"/>
    <col min="12310" max="12310" width="9.375" style="3482" customWidth="1"/>
    <col min="12311" max="12314" width="7.875" style="3482" customWidth="1"/>
    <col min="12315" max="12315" width="12.125" style="3482" customWidth="1"/>
    <col min="12316" max="12316" width="10.5" style="3482" customWidth="1"/>
    <col min="12317" max="12544" width="9" style="3482"/>
    <col min="12545" max="12545" width="4" style="3482" customWidth="1"/>
    <col min="12546" max="12546" width="5.625" style="3482" customWidth="1"/>
    <col min="12547" max="12547" width="17" style="3482" customWidth="1"/>
    <col min="12548" max="12548" width="11.5" style="3482" customWidth="1"/>
    <col min="12549" max="12549" width="18.75" style="3482" customWidth="1"/>
    <col min="12550" max="12550" width="13.875" style="3482" customWidth="1"/>
    <col min="12551" max="12551" width="9" style="3482" customWidth="1"/>
    <col min="12552" max="12552" width="6.5" style="3482" customWidth="1"/>
    <col min="12553" max="12553" width="7.125" style="3482" customWidth="1"/>
    <col min="12554" max="12554" width="7" style="3482" customWidth="1"/>
    <col min="12555" max="12556" width="6.5" style="3482" customWidth="1"/>
    <col min="12557" max="12557" width="8.875" style="3482" customWidth="1"/>
    <col min="12558" max="12558" width="17.625" style="3482" customWidth="1"/>
    <col min="12559" max="12559" width="10.125" style="3482" customWidth="1"/>
    <col min="12560" max="12560" width="23" style="3482" customWidth="1"/>
    <col min="12561" max="12561" width="21.5" style="3482" customWidth="1"/>
    <col min="12562" max="12562" width="8.25" style="3482" customWidth="1"/>
    <col min="12563" max="12563" width="7.25" style="3482" customWidth="1"/>
    <col min="12564" max="12564" width="4.75" style="3482" customWidth="1"/>
    <col min="12565" max="12565" width="10" style="3482" customWidth="1"/>
    <col min="12566" max="12566" width="9.375" style="3482" customWidth="1"/>
    <col min="12567" max="12570" width="7.875" style="3482" customWidth="1"/>
    <col min="12571" max="12571" width="12.125" style="3482" customWidth="1"/>
    <col min="12572" max="12572" width="10.5" style="3482" customWidth="1"/>
    <col min="12573" max="12800" width="9" style="3482"/>
    <col min="12801" max="12801" width="4" style="3482" customWidth="1"/>
    <col min="12802" max="12802" width="5.625" style="3482" customWidth="1"/>
    <col min="12803" max="12803" width="17" style="3482" customWidth="1"/>
    <col min="12804" max="12804" width="11.5" style="3482" customWidth="1"/>
    <col min="12805" max="12805" width="18.75" style="3482" customWidth="1"/>
    <col min="12806" max="12806" width="13.875" style="3482" customWidth="1"/>
    <col min="12807" max="12807" width="9" style="3482" customWidth="1"/>
    <col min="12808" max="12808" width="6.5" style="3482" customWidth="1"/>
    <col min="12809" max="12809" width="7.125" style="3482" customWidth="1"/>
    <col min="12810" max="12810" width="7" style="3482" customWidth="1"/>
    <col min="12811" max="12812" width="6.5" style="3482" customWidth="1"/>
    <col min="12813" max="12813" width="8.875" style="3482" customWidth="1"/>
    <col min="12814" max="12814" width="17.625" style="3482" customWidth="1"/>
    <col min="12815" max="12815" width="10.125" style="3482" customWidth="1"/>
    <col min="12816" max="12816" width="23" style="3482" customWidth="1"/>
    <col min="12817" max="12817" width="21.5" style="3482" customWidth="1"/>
    <col min="12818" max="12818" width="8.25" style="3482" customWidth="1"/>
    <col min="12819" max="12819" width="7.25" style="3482" customWidth="1"/>
    <col min="12820" max="12820" width="4.75" style="3482" customWidth="1"/>
    <col min="12821" max="12821" width="10" style="3482" customWidth="1"/>
    <col min="12822" max="12822" width="9.375" style="3482" customWidth="1"/>
    <col min="12823" max="12826" width="7.875" style="3482" customWidth="1"/>
    <col min="12827" max="12827" width="12.125" style="3482" customWidth="1"/>
    <col min="12828" max="12828" width="10.5" style="3482" customWidth="1"/>
    <col min="12829" max="13056" width="9" style="3482"/>
    <col min="13057" max="13057" width="4" style="3482" customWidth="1"/>
    <col min="13058" max="13058" width="5.625" style="3482" customWidth="1"/>
    <col min="13059" max="13059" width="17" style="3482" customWidth="1"/>
    <col min="13060" max="13060" width="11.5" style="3482" customWidth="1"/>
    <col min="13061" max="13061" width="18.75" style="3482" customWidth="1"/>
    <col min="13062" max="13062" width="13.875" style="3482" customWidth="1"/>
    <col min="13063" max="13063" width="9" style="3482" customWidth="1"/>
    <col min="13064" max="13064" width="6.5" style="3482" customWidth="1"/>
    <col min="13065" max="13065" width="7.125" style="3482" customWidth="1"/>
    <col min="13066" max="13066" width="7" style="3482" customWidth="1"/>
    <col min="13067" max="13068" width="6.5" style="3482" customWidth="1"/>
    <col min="13069" max="13069" width="8.875" style="3482" customWidth="1"/>
    <col min="13070" max="13070" width="17.625" style="3482" customWidth="1"/>
    <col min="13071" max="13071" width="10.125" style="3482" customWidth="1"/>
    <col min="13072" max="13072" width="23" style="3482" customWidth="1"/>
    <col min="13073" max="13073" width="21.5" style="3482" customWidth="1"/>
    <col min="13074" max="13074" width="8.25" style="3482" customWidth="1"/>
    <col min="13075" max="13075" width="7.25" style="3482" customWidth="1"/>
    <col min="13076" max="13076" width="4.75" style="3482" customWidth="1"/>
    <col min="13077" max="13077" width="10" style="3482" customWidth="1"/>
    <col min="13078" max="13078" width="9.375" style="3482" customWidth="1"/>
    <col min="13079" max="13082" width="7.875" style="3482" customWidth="1"/>
    <col min="13083" max="13083" width="12.125" style="3482" customWidth="1"/>
    <col min="13084" max="13084" width="10.5" style="3482" customWidth="1"/>
    <col min="13085" max="13312" width="9" style="3482"/>
    <col min="13313" max="13313" width="4" style="3482" customWidth="1"/>
    <col min="13314" max="13314" width="5.625" style="3482" customWidth="1"/>
    <col min="13315" max="13315" width="17" style="3482" customWidth="1"/>
    <col min="13316" max="13316" width="11.5" style="3482" customWidth="1"/>
    <col min="13317" max="13317" width="18.75" style="3482" customWidth="1"/>
    <col min="13318" max="13318" width="13.875" style="3482" customWidth="1"/>
    <col min="13319" max="13319" width="9" style="3482" customWidth="1"/>
    <col min="13320" max="13320" width="6.5" style="3482" customWidth="1"/>
    <col min="13321" max="13321" width="7.125" style="3482" customWidth="1"/>
    <col min="13322" max="13322" width="7" style="3482" customWidth="1"/>
    <col min="13323" max="13324" width="6.5" style="3482" customWidth="1"/>
    <col min="13325" max="13325" width="8.875" style="3482" customWidth="1"/>
    <col min="13326" max="13326" width="17.625" style="3482" customWidth="1"/>
    <col min="13327" max="13327" width="10.125" style="3482" customWidth="1"/>
    <col min="13328" max="13328" width="23" style="3482" customWidth="1"/>
    <col min="13329" max="13329" width="21.5" style="3482" customWidth="1"/>
    <col min="13330" max="13330" width="8.25" style="3482" customWidth="1"/>
    <col min="13331" max="13331" width="7.25" style="3482" customWidth="1"/>
    <col min="13332" max="13332" width="4.75" style="3482" customWidth="1"/>
    <col min="13333" max="13333" width="10" style="3482" customWidth="1"/>
    <col min="13334" max="13334" width="9.375" style="3482" customWidth="1"/>
    <col min="13335" max="13338" width="7.875" style="3482" customWidth="1"/>
    <col min="13339" max="13339" width="12.125" style="3482" customWidth="1"/>
    <col min="13340" max="13340" width="10.5" style="3482" customWidth="1"/>
    <col min="13341" max="13568" width="9" style="3482"/>
    <col min="13569" max="13569" width="4" style="3482" customWidth="1"/>
    <col min="13570" max="13570" width="5.625" style="3482" customWidth="1"/>
    <col min="13571" max="13571" width="17" style="3482" customWidth="1"/>
    <col min="13572" max="13572" width="11.5" style="3482" customWidth="1"/>
    <col min="13573" max="13573" width="18.75" style="3482" customWidth="1"/>
    <col min="13574" max="13574" width="13.875" style="3482" customWidth="1"/>
    <col min="13575" max="13575" width="9" style="3482" customWidth="1"/>
    <col min="13576" max="13576" width="6.5" style="3482" customWidth="1"/>
    <col min="13577" max="13577" width="7.125" style="3482" customWidth="1"/>
    <col min="13578" max="13578" width="7" style="3482" customWidth="1"/>
    <col min="13579" max="13580" width="6.5" style="3482" customWidth="1"/>
    <col min="13581" max="13581" width="8.875" style="3482" customWidth="1"/>
    <col min="13582" max="13582" width="17.625" style="3482" customWidth="1"/>
    <col min="13583" max="13583" width="10.125" style="3482" customWidth="1"/>
    <col min="13584" max="13584" width="23" style="3482" customWidth="1"/>
    <col min="13585" max="13585" width="21.5" style="3482" customWidth="1"/>
    <col min="13586" max="13586" width="8.25" style="3482" customWidth="1"/>
    <col min="13587" max="13587" width="7.25" style="3482" customWidth="1"/>
    <col min="13588" max="13588" width="4.75" style="3482" customWidth="1"/>
    <col min="13589" max="13589" width="10" style="3482" customWidth="1"/>
    <col min="13590" max="13590" width="9.375" style="3482" customWidth="1"/>
    <col min="13591" max="13594" width="7.875" style="3482" customWidth="1"/>
    <col min="13595" max="13595" width="12.125" style="3482" customWidth="1"/>
    <col min="13596" max="13596" width="10.5" style="3482" customWidth="1"/>
    <col min="13597" max="13824" width="9" style="3482"/>
    <col min="13825" max="13825" width="4" style="3482" customWidth="1"/>
    <col min="13826" max="13826" width="5.625" style="3482" customWidth="1"/>
    <col min="13827" max="13827" width="17" style="3482" customWidth="1"/>
    <col min="13828" max="13828" width="11.5" style="3482" customWidth="1"/>
    <col min="13829" max="13829" width="18.75" style="3482" customWidth="1"/>
    <col min="13830" max="13830" width="13.875" style="3482" customWidth="1"/>
    <col min="13831" max="13831" width="9" style="3482" customWidth="1"/>
    <col min="13832" max="13832" width="6.5" style="3482" customWidth="1"/>
    <col min="13833" max="13833" width="7.125" style="3482" customWidth="1"/>
    <col min="13834" max="13834" width="7" style="3482" customWidth="1"/>
    <col min="13835" max="13836" width="6.5" style="3482" customWidth="1"/>
    <col min="13837" max="13837" width="8.875" style="3482" customWidth="1"/>
    <col min="13838" max="13838" width="17.625" style="3482" customWidth="1"/>
    <col min="13839" max="13839" width="10.125" style="3482" customWidth="1"/>
    <col min="13840" max="13840" width="23" style="3482" customWidth="1"/>
    <col min="13841" max="13841" width="21.5" style="3482" customWidth="1"/>
    <col min="13842" max="13842" width="8.25" style="3482" customWidth="1"/>
    <col min="13843" max="13843" width="7.25" style="3482" customWidth="1"/>
    <col min="13844" max="13844" width="4.75" style="3482" customWidth="1"/>
    <col min="13845" max="13845" width="10" style="3482" customWidth="1"/>
    <col min="13846" max="13846" width="9.375" style="3482" customWidth="1"/>
    <col min="13847" max="13850" width="7.875" style="3482" customWidth="1"/>
    <col min="13851" max="13851" width="12.125" style="3482" customWidth="1"/>
    <col min="13852" max="13852" width="10.5" style="3482" customWidth="1"/>
    <col min="13853" max="14080" width="9" style="3482"/>
    <col min="14081" max="14081" width="4" style="3482" customWidth="1"/>
    <col min="14082" max="14082" width="5.625" style="3482" customWidth="1"/>
    <col min="14083" max="14083" width="17" style="3482" customWidth="1"/>
    <col min="14084" max="14084" width="11.5" style="3482" customWidth="1"/>
    <col min="14085" max="14085" width="18.75" style="3482" customWidth="1"/>
    <col min="14086" max="14086" width="13.875" style="3482" customWidth="1"/>
    <col min="14087" max="14087" width="9" style="3482" customWidth="1"/>
    <col min="14088" max="14088" width="6.5" style="3482" customWidth="1"/>
    <col min="14089" max="14089" width="7.125" style="3482" customWidth="1"/>
    <col min="14090" max="14090" width="7" style="3482" customWidth="1"/>
    <col min="14091" max="14092" width="6.5" style="3482" customWidth="1"/>
    <col min="14093" max="14093" width="8.875" style="3482" customWidth="1"/>
    <col min="14094" max="14094" width="17.625" style="3482" customWidth="1"/>
    <col min="14095" max="14095" width="10.125" style="3482" customWidth="1"/>
    <col min="14096" max="14096" width="23" style="3482" customWidth="1"/>
    <col min="14097" max="14097" width="21.5" style="3482" customWidth="1"/>
    <col min="14098" max="14098" width="8.25" style="3482" customWidth="1"/>
    <col min="14099" max="14099" width="7.25" style="3482" customWidth="1"/>
    <col min="14100" max="14100" width="4.75" style="3482" customWidth="1"/>
    <col min="14101" max="14101" width="10" style="3482" customWidth="1"/>
    <col min="14102" max="14102" width="9.375" style="3482" customWidth="1"/>
    <col min="14103" max="14106" width="7.875" style="3482" customWidth="1"/>
    <col min="14107" max="14107" width="12.125" style="3482" customWidth="1"/>
    <col min="14108" max="14108" width="10.5" style="3482" customWidth="1"/>
    <col min="14109" max="14336" width="9" style="3482"/>
    <col min="14337" max="14337" width="4" style="3482" customWidth="1"/>
    <col min="14338" max="14338" width="5.625" style="3482" customWidth="1"/>
    <col min="14339" max="14339" width="17" style="3482" customWidth="1"/>
    <col min="14340" max="14340" width="11.5" style="3482" customWidth="1"/>
    <col min="14341" max="14341" width="18.75" style="3482" customWidth="1"/>
    <col min="14342" max="14342" width="13.875" style="3482" customWidth="1"/>
    <col min="14343" max="14343" width="9" style="3482" customWidth="1"/>
    <col min="14344" max="14344" width="6.5" style="3482" customWidth="1"/>
    <col min="14345" max="14345" width="7.125" style="3482" customWidth="1"/>
    <col min="14346" max="14346" width="7" style="3482" customWidth="1"/>
    <col min="14347" max="14348" width="6.5" style="3482" customWidth="1"/>
    <col min="14349" max="14349" width="8.875" style="3482" customWidth="1"/>
    <col min="14350" max="14350" width="17.625" style="3482" customWidth="1"/>
    <col min="14351" max="14351" width="10.125" style="3482" customWidth="1"/>
    <col min="14352" max="14352" width="23" style="3482" customWidth="1"/>
    <col min="14353" max="14353" width="21.5" style="3482" customWidth="1"/>
    <col min="14354" max="14354" width="8.25" style="3482" customWidth="1"/>
    <col min="14355" max="14355" width="7.25" style="3482" customWidth="1"/>
    <col min="14356" max="14356" width="4.75" style="3482" customWidth="1"/>
    <col min="14357" max="14357" width="10" style="3482" customWidth="1"/>
    <col min="14358" max="14358" width="9.375" style="3482" customWidth="1"/>
    <col min="14359" max="14362" width="7.875" style="3482" customWidth="1"/>
    <col min="14363" max="14363" width="12.125" style="3482" customWidth="1"/>
    <col min="14364" max="14364" width="10.5" style="3482" customWidth="1"/>
    <col min="14365" max="14592" width="9" style="3482"/>
    <col min="14593" max="14593" width="4" style="3482" customWidth="1"/>
    <col min="14594" max="14594" width="5.625" style="3482" customWidth="1"/>
    <col min="14595" max="14595" width="17" style="3482" customWidth="1"/>
    <col min="14596" max="14596" width="11.5" style="3482" customWidth="1"/>
    <col min="14597" max="14597" width="18.75" style="3482" customWidth="1"/>
    <col min="14598" max="14598" width="13.875" style="3482" customWidth="1"/>
    <col min="14599" max="14599" width="9" style="3482" customWidth="1"/>
    <col min="14600" max="14600" width="6.5" style="3482" customWidth="1"/>
    <col min="14601" max="14601" width="7.125" style="3482" customWidth="1"/>
    <col min="14602" max="14602" width="7" style="3482" customWidth="1"/>
    <col min="14603" max="14604" width="6.5" style="3482" customWidth="1"/>
    <col min="14605" max="14605" width="8.875" style="3482" customWidth="1"/>
    <col min="14606" max="14606" width="17.625" style="3482" customWidth="1"/>
    <col min="14607" max="14607" width="10.125" style="3482" customWidth="1"/>
    <col min="14608" max="14608" width="23" style="3482" customWidth="1"/>
    <col min="14609" max="14609" width="21.5" style="3482" customWidth="1"/>
    <col min="14610" max="14610" width="8.25" style="3482" customWidth="1"/>
    <col min="14611" max="14611" width="7.25" style="3482" customWidth="1"/>
    <col min="14612" max="14612" width="4.75" style="3482" customWidth="1"/>
    <col min="14613" max="14613" width="10" style="3482" customWidth="1"/>
    <col min="14614" max="14614" width="9.375" style="3482" customWidth="1"/>
    <col min="14615" max="14618" width="7.875" style="3482" customWidth="1"/>
    <col min="14619" max="14619" width="12.125" style="3482" customWidth="1"/>
    <col min="14620" max="14620" width="10.5" style="3482" customWidth="1"/>
    <col min="14621" max="14848" width="9" style="3482"/>
    <col min="14849" max="14849" width="4" style="3482" customWidth="1"/>
    <col min="14850" max="14850" width="5.625" style="3482" customWidth="1"/>
    <col min="14851" max="14851" width="17" style="3482" customWidth="1"/>
    <col min="14852" max="14852" width="11.5" style="3482" customWidth="1"/>
    <col min="14853" max="14853" width="18.75" style="3482" customWidth="1"/>
    <col min="14854" max="14854" width="13.875" style="3482" customWidth="1"/>
    <col min="14855" max="14855" width="9" style="3482" customWidth="1"/>
    <col min="14856" max="14856" width="6.5" style="3482" customWidth="1"/>
    <col min="14857" max="14857" width="7.125" style="3482" customWidth="1"/>
    <col min="14858" max="14858" width="7" style="3482" customWidth="1"/>
    <col min="14859" max="14860" width="6.5" style="3482" customWidth="1"/>
    <col min="14861" max="14861" width="8.875" style="3482" customWidth="1"/>
    <col min="14862" max="14862" width="17.625" style="3482" customWidth="1"/>
    <col min="14863" max="14863" width="10.125" style="3482" customWidth="1"/>
    <col min="14864" max="14864" width="23" style="3482" customWidth="1"/>
    <col min="14865" max="14865" width="21.5" style="3482" customWidth="1"/>
    <col min="14866" max="14866" width="8.25" style="3482" customWidth="1"/>
    <col min="14867" max="14867" width="7.25" style="3482" customWidth="1"/>
    <col min="14868" max="14868" width="4.75" style="3482" customWidth="1"/>
    <col min="14869" max="14869" width="10" style="3482" customWidth="1"/>
    <col min="14870" max="14870" width="9.375" style="3482" customWidth="1"/>
    <col min="14871" max="14874" width="7.875" style="3482" customWidth="1"/>
    <col min="14875" max="14875" width="12.125" style="3482" customWidth="1"/>
    <col min="14876" max="14876" width="10.5" style="3482" customWidth="1"/>
    <col min="14877" max="15104" width="9" style="3482"/>
    <col min="15105" max="15105" width="4" style="3482" customWidth="1"/>
    <col min="15106" max="15106" width="5.625" style="3482" customWidth="1"/>
    <col min="15107" max="15107" width="17" style="3482" customWidth="1"/>
    <col min="15108" max="15108" width="11.5" style="3482" customWidth="1"/>
    <col min="15109" max="15109" width="18.75" style="3482" customWidth="1"/>
    <col min="15110" max="15110" width="13.875" style="3482" customWidth="1"/>
    <col min="15111" max="15111" width="9" style="3482" customWidth="1"/>
    <col min="15112" max="15112" width="6.5" style="3482" customWidth="1"/>
    <col min="15113" max="15113" width="7.125" style="3482" customWidth="1"/>
    <col min="15114" max="15114" width="7" style="3482" customWidth="1"/>
    <col min="15115" max="15116" width="6.5" style="3482" customWidth="1"/>
    <col min="15117" max="15117" width="8.875" style="3482" customWidth="1"/>
    <col min="15118" max="15118" width="17.625" style="3482" customWidth="1"/>
    <col min="15119" max="15119" width="10.125" style="3482" customWidth="1"/>
    <col min="15120" max="15120" width="23" style="3482" customWidth="1"/>
    <col min="15121" max="15121" width="21.5" style="3482" customWidth="1"/>
    <col min="15122" max="15122" width="8.25" style="3482" customWidth="1"/>
    <col min="15123" max="15123" width="7.25" style="3482" customWidth="1"/>
    <col min="15124" max="15124" width="4.75" style="3482" customWidth="1"/>
    <col min="15125" max="15125" width="10" style="3482" customWidth="1"/>
    <col min="15126" max="15126" width="9.375" style="3482" customWidth="1"/>
    <col min="15127" max="15130" width="7.875" style="3482" customWidth="1"/>
    <col min="15131" max="15131" width="12.125" style="3482" customWidth="1"/>
    <col min="15132" max="15132" width="10.5" style="3482" customWidth="1"/>
    <col min="15133" max="15360" width="9" style="3482"/>
    <col min="15361" max="15361" width="4" style="3482" customWidth="1"/>
    <col min="15362" max="15362" width="5.625" style="3482" customWidth="1"/>
    <col min="15363" max="15363" width="17" style="3482" customWidth="1"/>
    <col min="15364" max="15364" width="11.5" style="3482" customWidth="1"/>
    <col min="15365" max="15365" width="18.75" style="3482" customWidth="1"/>
    <col min="15366" max="15366" width="13.875" style="3482" customWidth="1"/>
    <col min="15367" max="15367" width="9" style="3482" customWidth="1"/>
    <col min="15368" max="15368" width="6.5" style="3482" customWidth="1"/>
    <col min="15369" max="15369" width="7.125" style="3482" customWidth="1"/>
    <col min="15370" max="15370" width="7" style="3482" customWidth="1"/>
    <col min="15371" max="15372" width="6.5" style="3482" customWidth="1"/>
    <col min="15373" max="15373" width="8.875" style="3482" customWidth="1"/>
    <col min="15374" max="15374" width="17.625" style="3482" customWidth="1"/>
    <col min="15375" max="15375" width="10.125" style="3482" customWidth="1"/>
    <col min="15376" max="15376" width="23" style="3482" customWidth="1"/>
    <col min="15377" max="15377" width="21.5" style="3482" customWidth="1"/>
    <col min="15378" max="15378" width="8.25" style="3482" customWidth="1"/>
    <col min="15379" max="15379" width="7.25" style="3482" customWidth="1"/>
    <col min="15380" max="15380" width="4.75" style="3482" customWidth="1"/>
    <col min="15381" max="15381" width="10" style="3482" customWidth="1"/>
    <col min="15382" max="15382" width="9.375" style="3482" customWidth="1"/>
    <col min="15383" max="15386" width="7.875" style="3482" customWidth="1"/>
    <col min="15387" max="15387" width="12.125" style="3482" customWidth="1"/>
    <col min="15388" max="15388" width="10.5" style="3482" customWidth="1"/>
    <col min="15389" max="15616" width="9" style="3482"/>
    <col min="15617" max="15617" width="4" style="3482" customWidth="1"/>
    <col min="15618" max="15618" width="5.625" style="3482" customWidth="1"/>
    <col min="15619" max="15619" width="17" style="3482" customWidth="1"/>
    <col min="15620" max="15620" width="11.5" style="3482" customWidth="1"/>
    <col min="15621" max="15621" width="18.75" style="3482" customWidth="1"/>
    <col min="15622" max="15622" width="13.875" style="3482" customWidth="1"/>
    <col min="15623" max="15623" width="9" style="3482" customWidth="1"/>
    <col min="15624" max="15624" width="6.5" style="3482" customWidth="1"/>
    <col min="15625" max="15625" width="7.125" style="3482" customWidth="1"/>
    <col min="15626" max="15626" width="7" style="3482" customWidth="1"/>
    <col min="15627" max="15628" width="6.5" style="3482" customWidth="1"/>
    <col min="15629" max="15629" width="8.875" style="3482" customWidth="1"/>
    <col min="15630" max="15630" width="17.625" style="3482" customWidth="1"/>
    <col min="15631" max="15631" width="10.125" style="3482" customWidth="1"/>
    <col min="15632" max="15632" width="23" style="3482" customWidth="1"/>
    <col min="15633" max="15633" width="21.5" style="3482" customWidth="1"/>
    <col min="15634" max="15634" width="8.25" style="3482" customWidth="1"/>
    <col min="15635" max="15635" width="7.25" style="3482" customWidth="1"/>
    <col min="15636" max="15636" width="4.75" style="3482" customWidth="1"/>
    <col min="15637" max="15637" width="10" style="3482" customWidth="1"/>
    <col min="15638" max="15638" width="9.375" style="3482" customWidth="1"/>
    <col min="15639" max="15642" width="7.875" style="3482" customWidth="1"/>
    <col min="15643" max="15643" width="12.125" style="3482" customWidth="1"/>
    <col min="15644" max="15644" width="10.5" style="3482" customWidth="1"/>
    <col min="15645" max="15872" width="9" style="3482"/>
    <col min="15873" max="15873" width="4" style="3482" customWidth="1"/>
    <col min="15874" max="15874" width="5.625" style="3482" customWidth="1"/>
    <col min="15875" max="15875" width="17" style="3482" customWidth="1"/>
    <col min="15876" max="15876" width="11.5" style="3482" customWidth="1"/>
    <col min="15877" max="15877" width="18.75" style="3482" customWidth="1"/>
    <col min="15878" max="15878" width="13.875" style="3482" customWidth="1"/>
    <col min="15879" max="15879" width="9" style="3482" customWidth="1"/>
    <col min="15880" max="15880" width="6.5" style="3482" customWidth="1"/>
    <col min="15881" max="15881" width="7.125" style="3482" customWidth="1"/>
    <col min="15882" max="15882" width="7" style="3482" customWidth="1"/>
    <col min="15883" max="15884" width="6.5" style="3482" customWidth="1"/>
    <col min="15885" max="15885" width="8.875" style="3482" customWidth="1"/>
    <col min="15886" max="15886" width="17.625" style="3482" customWidth="1"/>
    <col min="15887" max="15887" width="10.125" style="3482" customWidth="1"/>
    <col min="15888" max="15888" width="23" style="3482" customWidth="1"/>
    <col min="15889" max="15889" width="21.5" style="3482" customWidth="1"/>
    <col min="15890" max="15890" width="8.25" style="3482" customWidth="1"/>
    <col min="15891" max="15891" width="7.25" style="3482" customWidth="1"/>
    <col min="15892" max="15892" width="4.75" style="3482" customWidth="1"/>
    <col min="15893" max="15893" width="10" style="3482" customWidth="1"/>
    <col min="15894" max="15894" width="9.375" style="3482" customWidth="1"/>
    <col min="15895" max="15898" width="7.875" style="3482" customWidth="1"/>
    <col min="15899" max="15899" width="12.125" style="3482" customWidth="1"/>
    <col min="15900" max="15900" width="10.5" style="3482" customWidth="1"/>
    <col min="15901" max="16128" width="9" style="3482"/>
    <col min="16129" max="16129" width="4" style="3482" customWidth="1"/>
    <col min="16130" max="16130" width="5.625" style="3482" customWidth="1"/>
    <col min="16131" max="16131" width="17" style="3482" customWidth="1"/>
    <col min="16132" max="16132" width="11.5" style="3482" customWidth="1"/>
    <col min="16133" max="16133" width="18.75" style="3482" customWidth="1"/>
    <col min="16134" max="16134" width="13.875" style="3482" customWidth="1"/>
    <col min="16135" max="16135" width="9" style="3482" customWidth="1"/>
    <col min="16136" max="16136" width="6.5" style="3482" customWidth="1"/>
    <col min="16137" max="16137" width="7.125" style="3482" customWidth="1"/>
    <col min="16138" max="16138" width="7" style="3482" customWidth="1"/>
    <col min="16139" max="16140" width="6.5" style="3482" customWidth="1"/>
    <col min="16141" max="16141" width="8.875" style="3482" customWidth="1"/>
    <col min="16142" max="16142" width="17.625" style="3482" customWidth="1"/>
    <col min="16143" max="16143" width="10.125" style="3482" customWidth="1"/>
    <col min="16144" max="16144" width="23" style="3482" customWidth="1"/>
    <col min="16145" max="16145" width="21.5" style="3482" customWidth="1"/>
    <col min="16146" max="16146" width="8.25" style="3482" customWidth="1"/>
    <col min="16147" max="16147" width="7.25" style="3482" customWidth="1"/>
    <col min="16148" max="16148" width="4.75" style="3482" customWidth="1"/>
    <col min="16149" max="16149" width="10" style="3482" customWidth="1"/>
    <col min="16150" max="16150" width="9.375" style="3482" customWidth="1"/>
    <col min="16151" max="16154" width="7.875" style="3482" customWidth="1"/>
    <col min="16155" max="16155" width="12.125" style="3482" customWidth="1"/>
    <col min="16156" max="16156" width="10.5" style="3482" customWidth="1"/>
    <col min="16157" max="16384" width="9" style="3482"/>
  </cols>
  <sheetData>
    <row r="1" spans="1:30" ht="27">
      <c r="A1" s="3677" t="s">
        <v>3531</v>
      </c>
      <c r="B1" s="3677"/>
      <c r="C1" s="3677"/>
      <c r="D1" s="3677"/>
      <c r="E1" s="3677"/>
      <c r="F1" s="3677"/>
      <c r="G1" s="3677"/>
      <c r="H1" s="3677"/>
      <c r="I1" s="3678"/>
      <c r="J1" s="3679"/>
      <c r="K1" s="3677"/>
      <c r="L1" s="3677"/>
      <c r="M1" s="3677"/>
      <c r="N1" s="3680"/>
      <c r="O1" s="3677"/>
      <c r="P1" s="3677"/>
      <c r="Q1" s="3680"/>
      <c r="R1" s="3681"/>
      <c r="S1" s="3677"/>
      <c r="T1" s="3681"/>
      <c r="U1" s="3677"/>
      <c r="V1" s="3677"/>
      <c r="W1" s="3677"/>
      <c r="X1" s="3677"/>
      <c r="Y1" s="3677"/>
      <c r="Z1" s="3677"/>
      <c r="AA1" s="3677"/>
      <c r="AB1" s="3677"/>
    </row>
    <row r="2" spans="1:30" ht="21.95" customHeight="1">
      <c r="A2" s="3483"/>
      <c r="B2" s="3483"/>
      <c r="C2" s="3483"/>
      <c r="D2" s="3483"/>
      <c r="E2" s="3483"/>
      <c r="F2" s="3483"/>
      <c r="G2" s="3483"/>
      <c r="H2" s="3483"/>
      <c r="I2" s="3484"/>
      <c r="J2" s="3485"/>
      <c r="K2" s="3483"/>
      <c r="L2" s="3483"/>
      <c r="M2" s="3483"/>
      <c r="N2" s="3486"/>
      <c r="O2" s="3483"/>
      <c r="P2" s="3483"/>
      <c r="Q2" s="3486"/>
      <c r="R2" s="3487"/>
      <c r="S2" s="3483"/>
      <c r="T2" s="3487"/>
      <c r="U2" s="3483"/>
      <c r="V2" s="3483"/>
      <c r="W2" s="3483"/>
      <c r="X2" s="3483"/>
      <c r="Y2" s="3483"/>
      <c r="Z2" s="3483"/>
      <c r="AA2" s="3483"/>
      <c r="AB2" s="3483"/>
    </row>
    <row r="3" spans="1:30" ht="29.1" customHeight="1">
      <c r="A3" s="3665" t="s">
        <v>3532</v>
      </c>
      <c r="B3" s="3665" t="s">
        <v>3533</v>
      </c>
      <c r="C3" s="3665" t="s">
        <v>3534</v>
      </c>
      <c r="D3" s="3665" t="s">
        <v>3535</v>
      </c>
      <c r="E3" s="3665" t="s">
        <v>3536</v>
      </c>
      <c r="F3" s="3672" t="s">
        <v>3537</v>
      </c>
      <c r="G3" s="3665" t="s">
        <v>3538</v>
      </c>
      <c r="H3" s="3665" t="s">
        <v>3539</v>
      </c>
      <c r="I3" s="3665" t="s">
        <v>3540</v>
      </c>
      <c r="J3" s="3673" t="s">
        <v>3541</v>
      </c>
      <c r="K3" s="3674" t="s">
        <v>3542</v>
      </c>
      <c r="L3" s="3674" t="s">
        <v>3543</v>
      </c>
      <c r="M3" s="3675" t="s">
        <v>3544</v>
      </c>
      <c r="N3" s="3668" t="s">
        <v>3545</v>
      </c>
      <c r="O3" s="3676" t="s">
        <v>3546</v>
      </c>
      <c r="P3" s="3667" t="s">
        <v>3547</v>
      </c>
      <c r="Q3" s="3668" t="s">
        <v>3548</v>
      </c>
      <c r="R3" s="3669" t="s">
        <v>3549</v>
      </c>
      <c r="S3" s="3667" t="s">
        <v>3550</v>
      </c>
      <c r="T3" s="3670" t="s">
        <v>3551</v>
      </c>
      <c r="U3" s="3672" t="s">
        <v>3552</v>
      </c>
      <c r="V3" s="3666"/>
      <c r="W3" s="3666"/>
      <c r="X3" s="3666"/>
      <c r="Y3" s="3666"/>
      <c r="Z3" s="3666"/>
      <c r="AA3" s="3666"/>
      <c r="AB3" s="3665" t="s">
        <v>3553</v>
      </c>
    </row>
    <row r="4" spans="1:30" ht="26.1" customHeight="1">
      <c r="A4" s="3665"/>
      <c r="B4" s="3665"/>
      <c r="C4" s="3665"/>
      <c r="D4" s="3665"/>
      <c r="E4" s="3665"/>
      <c r="F4" s="3672"/>
      <c r="G4" s="3665"/>
      <c r="H4" s="3665"/>
      <c r="I4" s="3665"/>
      <c r="J4" s="3673"/>
      <c r="K4" s="3674"/>
      <c r="L4" s="3674"/>
      <c r="M4" s="3675"/>
      <c r="N4" s="3668"/>
      <c r="O4" s="3676"/>
      <c r="P4" s="3667"/>
      <c r="Q4" s="3668"/>
      <c r="R4" s="3669"/>
      <c r="S4" s="3667"/>
      <c r="T4" s="3671"/>
      <c r="U4" s="3666" t="s">
        <v>3554</v>
      </c>
      <c r="V4" s="3666"/>
      <c r="W4" s="3666" t="s">
        <v>3555</v>
      </c>
      <c r="X4" s="3666"/>
      <c r="Y4" s="3666" t="s">
        <v>3556</v>
      </c>
      <c r="Z4" s="3666"/>
      <c r="AA4" s="3488" t="s">
        <v>3557</v>
      </c>
      <c r="AB4" s="3665"/>
      <c r="AC4" s="3482" t="s">
        <v>3797</v>
      </c>
      <c r="AD4" s="3482" t="s">
        <v>3798</v>
      </c>
    </row>
    <row r="5" spans="1:30" ht="38.1" hidden="1" customHeight="1">
      <c r="A5" s="3665"/>
      <c r="B5" s="3665"/>
      <c r="C5" s="3665"/>
      <c r="D5" s="3665"/>
      <c r="E5" s="3489"/>
      <c r="F5" s="3672"/>
      <c r="G5" s="3665"/>
      <c r="H5" s="3665"/>
      <c r="I5" s="3665"/>
      <c r="J5" s="3490"/>
      <c r="K5" s="3674"/>
      <c r="L5" s="3674"/>
      <c r="M5" s="3675"/>
      <c r="N5" s="3668"/>
      <c r="O5" s="3676"/>
      <c r="P5" s="3667"/>
      <c r="Q5" s="3668"/>
      <c r="R5" s="3491"/>
      <c r="S5" s="3492"/>
      <c r="T5" s="3491"/>
      <c r="U5" s="3488" t="s">
        <v>3558</v>
      </c>
      <c r="V5" s="3488" t="s">
        <v>2502</v>
      </c>
      <c r="W5" s="3488" t="s">
        <v>3558</v>
      </c>
      <c r="X5" s="3488" t="s">
        <v>2502</v>
      </c>
      <c r="Y5" s="3488" t="s">
        <v>3558</v>
      </c>
      <c r="Z5" s="3488" t="s">
        <v>2502</v>
      </c>
      <c r="AA5" s="3488"/>
      <c r="AB5" s="3493"/>
    </row>
    <row r="6" spans="1:30" s="3507" customFormat="1" ht="39.950000000000003" customHeight="1">
      <c r="A6" s="3494">
        <v>1</v>
      </c>
      <c r="B6" s="3494" t="s">
        <v>3559</v>
      </c>
      <c r="C6" s="3494" t="s">
        <v>3560</v>
      </c>
      <c r="D6" s="3494" t="s">
        <v>3561</v>
      </c>
      <c r="E6" s="3494" t="s">
        <v>3562</v>
      </c>
      <c r="F6" s="3495" t="s">
        <v>3563</v>
      </c>
      <c r="G6" s="3494" t="s">
        <v>3564</v>
      </c>
      <c r="H6" s="3494" t="s">
        <v>3565</v>
      </c>
      <c r="I6" s="3496" t="s">
        <v>3566</v>
      </c>
      <c r="J6" s="3497">
        <v>228</v>
      </c>
      <c r="K6" s="3494">
        <v>198</v>
      </c>
      <c r="L6" s="3494">
        <v>1</v>
      </c>
      <c r="M6" s="3498">
        <v>5000</v>
      </c>
      <c r="N6" s="3499">
        <v>0.87</v>
      </c>
      <c r="O6" s="3500">
        <v>0.2</v>
      </c>
      <c r="P6" s="3501">
        <v>6454.5</v>
      </c>
      <c r="Q6" s="3502">
        <v>77454</v>
      </c>
      <c r="R6" s="3503" t="s">
        <v>3567</v>
      </c>
      <c r="S6" s="3504" t="s">
        <v>3568</v>
      </c>
      <c r="T6" s="3505">
        <v>0.03</v>
      </c>
      <c r="U6" s="3495" t="s">
        <v>3569</v>
      </c>
      <c r="V6" s="3495" t="s">
        <v>3570</v>
      </c>
      <c r="W6" s="3494" t="s">
        <v>43</v>
      </c>
      <c r="X6" s="3494" t="s">
        <v>43</v>
      </c>
      <c r="Y6" s="3494" t="s">
        <v>43</v>
      </c>
      <c r="Z6" s="3494" t="s">
        <v>43</v>
      </c>
      <c r="AA6" s="3495" t="s">
        <v>3569</v>
      </c>
      <c r="AB6" s="3506" t="s">
        <v>3571</v>
      </c>
      <c r="AC6" s="3507">
        <f>ROUND(Q6/365/J6,1)</f>
        <v>0.9</v>
      </c>
      <c r="AD6" s="3507" t="s">
        <v>3787</v>
      </c>
    </row>
    <row r="7" spans="1:30" s="3507" customFormat="1" ht="53.1" customHeight="1">
      <c r="A7" s="3494">
        <v>2</v>
      </c>
      <c r="B7" s="3494" t="s">
        <v>3559</v>
      </c>
      <c r="C7" s="3494" t="s">
        <v>3572</v>
      </c>
      <c r="D7" s="3494" t="s">
        <v>3573</v>
      </c>
      <c r="E7" s="3494" t="s">
        <v>3574</v>
      </c>
      <c r="F7" s="3495" t="s">
        <v>3575</v>
      </c>
      <c r="G7" s="3494" t="s">
        <v>3576</v>
      </c>
      <c r="H7" s="3494" t="s">
        <v>3565</v>
      </c>
      <c r="I7" s="3494" t="s">
        <v>3566</v>
      </c>
      <c r="J7" s="3508">
        <v>111.5</v>
      </c>
      <c r="K7" s="3500">
        <v>97</v>
      </c>
      <c r="L7" s="3494">
        <v>1</v>
      </c>
      <c r="M7" s="3498">
        <v>5000</v>
      </c>
      <c r="N7" s="3499">
        <v>0.91</v>
      </c>
      <c r="O7" s="3494" t="s">
        <v>43</v>
      </c>
      <c r="P7" s="3501">
        <v>2684.88</v>
      </c>
      <c r="Q7" s="3502">
        <v>32218.55</v>
      </c>
      <c r="R7" s="3503" t="s">
        <v>3577</v>
      </c>
      <c r="S7" s="3504" t="s">
        <v>3568</v>
      </c>
      <c r="T7" s="3505">
        <v>0.03</v>
      </c>
      <c r="U7" s="3495" t="s">
        <v>3569</v>
      </c>
      <c r="V7" s="3495" t="s">
        <v>3570</v>
      </c>
      <c r="W7" s="3494" t="s">
        <v>43</v>
      </c>
      <c r="X7" s="3494" t="s">
        <v>43</v>
      </c>
      <c r="Y7" s="3494" t="s">
        <v>43</v>
      </c>
      <c r="Z7" s="3494" t="s">
        <v>43</v>
      </c>
      <c r="AA7" s="3495" t="s">
        <v>3569</v>
      </c>
      <c r="AB7" s="3509" t="s">
        <v>3578</v>
      </c>
      <c r="AC7" s="3507">
        <f t="shared" ref="AC7:AC33" si="0">ROUND(Q7/365/J7,1)</f>
        <v>0.8</v>
      </c>
      <c r="AD7" s="3507" t="s">
        <v>3787</v>
      </c>
    </row>
    <row r="8" spans="1:30" s="3507" customFormat="1" ht="39" customHeight="1">
      <c r="A8" s="3494">
        <v>3</v>
      </c>
      <c r="B8" s="3494" t="s">
        <v>3559</v>
      </c>
      <c r="C8" s="3494" t="s">
        <v>3579</v>
      </c>
      <c r="D8" s="3494" t="s">
        <v>3561</v>
      </c>
      <c r="E8" s="3494" t="s">
        <v>3580</v>
      </c>
      <c r="F8" s="3495" t="s">
        <v>3581</v>
      </c>
      <c r="G8" s="3494" t="s">
        <v>3582</v>
      </c>
      <c r="H8" s="3494" t="s">
        <v>3565</v>
      </c>
      <c r="I8" s="3494" t="s">
        <v>3566</v>
      </c>
      <c r="J8" s="3497">
        <f>K8*0.149+K8</f>
        <v>365.38200000000001</v>
      </c>
      <c r="K8" s="3494">
        <v>318</v>
      </c>
      <c r="L8" s="3510">
        <v>1</v>
      </c>
      <c r="M8" s="3498">
        <v>10000</v>
      </c>
      <c r="N8" s="3499">
        <v>0.9</v>
      </c>
      <c r="O8" s="3494" t="s">
        <v>43</v>
      </c>
      <c r="P8" s="3504">
        <v>8750</v>
      </c>
      <c r="Q8" s="3499">
        <v>105000</v>
      </c>
      <c r="R8" s="3511" t="s">
        <v>3583</v>
      </c>
      <c r="S8" s="3504" t="s">
        <v>3568</v>
      </c>
      <c r="T8" s="3505">
        <v>0.03</v>
      </c>
      <c r="U8" s="3495" t="s">
        <v>3569</v>
      </c>
      <c r="V8" s="3495" t="s">
        <v>3570</v>
      </c>
      <c r="W8" s="3510" t="s">
        <v>43</v>
      </c>
      <c r="X8" s="3510" t="s">
        <v>43</v>
      </c>
      <c r="Y8" s="3510" t="s">
        <v>43</v>
      </c>
      <c r="Z8" s="3510" t="s">
        <v>43</v>
      </c>
      <c r="AA8" s="3495" t="s">
        <v>3569</v>
      </c>
      <c r="AB8" s="3512" t="s">
        <v>3584</v>
      </c>
      <c r="AC8" s="3507">
        <f t="shared" si="0"/>
        <v>0.8</v>
      </c>
      <c r="AD8" s="3507" t="s">
        <v>3787</v>
      </c>
    </row>
    <row r="9" spans="1:30" s="3507" customFormat="1" ht="51" customHeight="1">
      <c r="A9" s="3494">
        <v>4</v>
      </c>
      <c r="B9" s="3494" t="s">
        <v>3559</v>
      </c>
      <c r="C9" s="3494" t="s">
        <v>3585</v>
      </c>
      <c r="D9" s="3494" t="s">
        <v>3586</v>
      </c>
      <c r="E9" s="3494" t="s">
        <v>3587</v>
      </c>
      <c r="F9" s="3495" t="s">
        <v>3588</v>
      </c>
      <c r="G9" s="3494" t="s">
        <v>3589</v>
      </c>
      <c r="H9" s="3494" t="s">
        <v>3565</v>
      </c>
      <c r="I9" s="3494" t="s">
        <v>3590</v>
      </c>
      <c r="J9" s="3497">
        <v>11</v>
      </c>
      <c r="K9" s="3513">
        <v>10</v>
      </c>
      <c r="L9" s="3494">
        <v>1</v>
      </c>
      <c r="M9" s="3498">
        <v>5000</v>
      </c>
      <c r="N9" s="3499">
        <v>4.12</v>
      </c>
      <c r="O9" s="3494">
        <v>0.2</v>
      </c>
      <c r="P9" s="3504">
        <v>1312.5</v>
      </c>
      <c r="Q9" s="3499">
        <v>15750</v>
      </c>
      <c r="R9" s="3514" t="s">
        <v>3583</v>
      </c>
      <c r="S9" s="3515" t="s">
        <v>3568</v>
      </c>
      <c r="T9" s="3516">
        <v>0.05</v>
      </c>
      <c r="U9" s="3517" t="s">
        <v>3569</v>
      </c>
      <c r="V9" s="3518" t="s">
        <v>3570</v>
      </c>
      <c r="W9" s="3494" t="s">
        <v>43</v>
      </c>
      <c r="X9" s="3494" t="s">
        <v>43</v>
      </c>
      <c r="Y9" s="3494" t="s">
        <v>43</v>
      </c>
      <c r="Z9" s="3494" t="s">
        <v>43</v>
      </c>
      <c r="AA9" s="3517" t="s">
        <v>3569</v>
      </c>
      <c r="AB9" s="3494"/>
      <c r="AC9" s="3507">
        <f t="shared" si="0"/>
        <v>3.9</v>
      </c>
      <c r="AD9" s="3507" t="s">
        <v>3788</v>
      </c>
    </row>
    <row r="10" spans="1:30" s="3507" customFormat="1" ht="53.1" customHeight="1">
      <c r="A10" s="3494">
        <v>5</v>
      </c>
      <c r="B10" s="3494" t="s">
        <v>3559</v>
      </c>
      <c r="C10" s="3494" t="s">
        <v>3591</v>
      </c>
      <c r="D10" s="3494" t="s">
        <v>3592</v>
      </c>
      <c r="E10" s="3494" t="s">
        <v>3593</v>
      </c>
      <c r="F10" s="3495" t="s">
        <v>3594</v>
      </c>
      <c r="G10" s="3494" t="s">
        <v>3589</v>
      </c>
      <c r="H10" s="3494" t="s">
        <v>3565</v>
      </c>
      <c r="I10" s="3494" t="s">
        <v>3590</v>
      </c>
      <c r="J10" s="3497">
        <f>K10*0.149+K10</f>
        <v>17.234999999999999</v>
      </c>
      <c r="K10" s="3494">
        <v>15</v>
      </c>
      <c r="L10" s="3494">
        <v>1</v>
      </c>
      <c r="M10" s="3498">
        <v>5000</v>
      </c>
      <c r="N10" s="3499">
        <v>5.55</v>
      </c>
      <c r="O10" s="3519">
        <v>0.2</v>
      </c>
      <c r="P10" s="3515">
        <v>2625</v>
      </c>
      <c r="Q10" s="3520">
        <v>31500</v>
      </c>
      <c r="R10" s="3511" t="s">
        <v>3583</v>
      </c>
      <c r="S10" s="3515" t="s">
        <v>3568</v>
      </c>
      <c r="T10" s="3516">
        <v>0.05</v>
      </c>
      <c r="U10" s="3495" t="s">
        <v>3595</v>
      </c>
      <c r="V10" s="3495" t="s">
        <v>3596</v>
      </c>
      <c r="W10" s="3495" t="s">
        <v>43</v>
      </c>
      <c r="X10" s="3495" t="s">
        <v>43</v>
      </c>
      <c r="Y10" s="3495" t="s">
        <v>43</v>
      </c>
      <c r="Z10" s="3495" t="s">
        <v>43</v>
      </c>
      <c r="AA10" s="3495" t="s">
        <v>3595</v>
      </c>
      <c r="AB10" s="3494"/>
      <c r="AC10" s="3507">
        <f t="shared" si="0"/>
        <v>5</v>
      </c>
      <c r="AD10" s="3507" t="s">
        <v>3788</v>
      </c>
    </row>
    <row r="11" spans="1:30" s="3507" customFormat="1" ht="39.950000000000003" customHeight="1">
      <c r="A11" s="3494">
        <v>6</v>
      </c>
      <c r="B11" s="3494" t="s">
        <v>3559</v>
      </c>
      <c r="C11" s="3494" t="s">
        <v>3597</v>
      </c>
      <c r="D11" s="3494" t="s">
        <v>3598</v>
      </c>
      <c r="E11" s="3495" t="s">
        <v>3599</v>
      </c>
      <c r="F11" s="3494" t="s">
        <v>3600</v>
      </c>
      <c r="G11" s="3494" t="s">
        <v>3601</v>
      </c>
      <c r="H11" s="3494" t="s">
        <v>3565</v>
      </c>
      <c r="I11" s="3496" t="s">
        <v>3590</v>
      </c>
      <c r="J11" s="3497">
        <v>460</v>
      </c>
      <c r="K11" s="3519">
        <v>400</v>
      </c>
      <c r="L11" s="3495">
        <v>1</v>
      </c>
      <c r="M11" s="3521">
        <v>20000</v>
      </c>
      <c r="N11" s="3499">
        <v>4.79</v>
      </c>
      <c r="O11" s="3494">
        <v>0.2</v>
      </c>
      <c r="P11" s="3504">
        <v>60666.67</v>
      </c>
      <c r="Q11" s="3499">
        <v>728000</v>
      </c>
      <c r="R11" s="3511" t="s">
        <v>3602</v>
      </c>
      <c r="S11" s="3515" t="s">
        <v>3568</v>
      </c>
      <c r="T11" s="3505">
        <v>0.03</v>
      </c>
      <c r="U11" s="3496" t="s">
        <v>3595</v>
      </c>
      <c r="V11" s="3494" t="s">
        <v>3596</v>
      </c>
      <c r="W11" s="3494" t="s">
        <v>43</v>
      </c>
      <c r="X11" s="3494" t="s">
        <v>43</v>
      </c>
      <c r="Y11" s="3494" t="s">
        <v>43</v>
      </c>
      <c r="Z11" s="3494" t="s">
        <v>43</v>
      </c>
      <c r="AA11" s="3494" t="s">
        <v>3595</v>
      </c>
      <c r="AB11" s="3512" t="s">
        <v>3584</v>
      </c>
      <c r="AC11" s="3507">
        <f t="shared" si="0"/>
        <v>4.3</v>
      </c>
      <c r="AD11" s="3507" t="s">
        <v>3788</v>
      </c>
    </row>
    <row r="12" spans="1:30" s="3507" customFormat="1" ht="51.95" customHeight="1">
      <c r="A12" s="3494">
        <v>7</v>
      </c>
      <c r="B12" s="3494" t="s">
        <v>3559</v>
      </c>
      <c r="C12" s="3519" t="s">
        <v>3603</v>
      </c>
      <c r="D12" s="3494" t="s">
        <v>3604</v>
      </c>
      <c r="E12" s="3522" t="s">
        <v>3605</v>
      </c>
      <c r="F12" s="3494" t="s">
        <v>3606</v>
      </c>
      <c r="G12" s="3519" t="s">
        <v>3607</v>
      </c>
      <c r="H12" s="3519" t="s">
        <v>3565</v>
      </c>
      <c r="I12" s="3494" t="s">
        <v>3590</v>
      </c>
      <c r="J12" s="3497">
        <v>21</v>
      </c>
      <c r="K12" s="3523">
        <v>18.149999999999999</v>
      </c>
      <c r="L12" s="3494">
        <v>1</v>
      </c>
      <c r="M12" s="3524">
        <v>10000</v>
      </c>
      <c r="N12" s="3499">
        <v>10.27</v>
      </c>
      <c r="O12" s="3494">
        <v>0.2</v>
      </c>
      <c r="P12" s="3515">
        <v>5780.08</v>
      </c>
      <c r="Q12" s="3520">
        <v>69361</v>
      </c>
      <c r="R12" s="3516" t="s">
        <v>43</v>
      </c>
      <c r="S12" s="3515" t="s">
        <v>3568</v>
      </c>
      <c r="T12" s="3516">
        <v>0.05</v>
      </c>
      <c r="U12" s="3522" t="s">
        <v>3595</v>
      </c>
      <c r="V12" s="3522" t="s">
        <v>3596</v>
      </c>
      <c r="W12" s="3494" t="s">
        <v>43</v>
      </c>
      <c r="X12" s="3494" t="s">
        <v>43</v>
      </c>
      <c r="Y12" s="3494" t="s">
        <v>43</v>
      </c>
      <c r="Z12" s="3494" t="s">
        <v>43</v>
      </c>
      <c r="AA12" s="3494" t="s">
        <v>3595</v>
      </c>
      <c r="AB12" s="3494"/>
      <c r="AC12" s="3507">
        <f t="shared" si="0"/>
        <v>9</v>
      </c>
      <c r="AD12" s="3507" t="s">
        <v>3788</v>
      </c>
    </row>
    <row r="13" spans="1:30" s="3507" customFormat="1" ht="56.1" customHeight="1">
      <c r="A13" s="3494">
        <v>8</v>
      </c>
      <c r="B13" s="3494" t="s">
        <v>3559</v>
      </c>
      <c r="C13" s="3494" t="s">
        <v>3608</v>
      </c>
      <c r="D13" s="3494" t="s">
        <v>3609</v>
      </c>
      <c r="E13" s="3495" t="s">
        <v>43</v>
      </c>
      <c r="F13" s="3494" t="s">
        <v>3610</v>
      </c>
      <c r="G13" s="3494" t="s">
        <v>3611</v>
      </c>
      <c r="H13" s="3494" t="s">
        <v>3565</v>
      </c>
      <c r="I13" s="3494" t="s">
        <v>3590</v>
      </c>
      <c r="J13" s="3497">
        <v>5</v>
      </c>
      <c r="K13" s="3494">
        <v>4</v>
      </c>
      <c r="L13" s="3494">
        <v>1</v>
      </c>
      <c r="M13" s="3498">
        <v>1000</v>
      </c>
      <c r="N13" s="3499">
        <v>6.42</v>
      </c>
      <c r="O13" s="3494">
        <v>0.2</v>
      </c>
      <c r="P13" s="3494">
        <v>805</v>
      </c>
      <c r="Q13" s="3499">
        <v>9660</v>
      </c>
      <c r="R13" s="3514" t="s">
        <v>3583</v>
      </c>
      <c r="S13" s="3515" t="s">
        <v>3568</v>
      </c>
      <c r="T13" s="3505" t="s">
        <v>43</v>
      </c>
      <c r="U13" s="3495" t="s">
        <v>3569</v>
      </c>
      <c r="V13" s="3495" t="s">
        <v>3570</v>
      </c>
      <c r="W13" s="3494" t="s">
        <v>43</v>
      </c>
      <c r="X13" s="3494" t="s">
        <v>43</v>
      </c>
      <c r="Y13" s="3494" t="s">
        <v>43</v>
      </c>
      <c r="Z13" s="3494" t="s">
        <v>43</v>
      </c>
      <c r="AA13" s="3517" t="s">
        <v>3569</v>
      </c>
      <c r="AB13" s="3494"/>
      <c r="AC13" s="3507">
        <f t="shared" si="0"/>
        <v>5.3</v>
      </c>
      <c r="AD13" s="3507" t="s">
        <v>3788</v>
      </c>
    </row>
    <row r="14" spans="1:30" s="3507" customFormat="1" ht="99.95" customHeight="1">
      <c r="A14" s="3494">
        <v>9</v>
      </c>
      <c r="B14" s="3494" t="s">
        <v>3559</v>
      </c>
      <c r="C14" s="3494" t="s">
        <v>3612</v>
      </c>
      <c r="D14" s="3494" t="s">
        <v>3613</v>
      </c>
      <c r="E14" s="3494" t="s">
        <v>3614</v>
      </c>
      <c r="F14" s="3495" t="s">
        <v>3615</v>
      </c>
      <c r="G14" s="3494" t="s">
        <v>3616</v>
      </c>
      <c r="H14" s="3494" t="s">
        <v>3565</v>
      </c>
      <c r="I14" s="3494" t="s">
        <v>3590</v>
      </c>
      <c r="J14" s="3497">
        <f>280*0.149+280</f>
        <v>321.72000000000003</v>
      </c>
      <c r="K14" s="3494" t="s">
        <v>3617</v>
      </c>
      <c r="L14" s="3494">
        <v>4</v>
      </c>
      <c r="M14" s="3498">
        <v>5000</v>
      </c>
      <c r="N14" s="3499" t="s">
        <v>3618</v>
      </c>
      <c r="O14" s="3494" t="s">
        <v>43</v>
      </c>
      <c r="P14" s="3525" t="s">
        <v>3619</v>
      </c>
      <c r="Q14" s="3526" t="s">
        <v>3620</v>
      </c>
      <c r="R14" s="3505" t="s">
        <v>3621</v>
      </c>
      <c r="S14" s="3504" t="s">
        <v>3568</v>
      </c>
      <c r="T14" s="3505">
        <v>0.03</v>
      </c>
      <c r="U14" s="3495" t="s">
        <v>3622</v>
      </c>
      <c r="V14" s="3495" t="s">
        <v>3623</v>
      </c>
      <c r="W14" s="3494" t="s">
        <v>43</v>
      </c>
      <c r="X14" s="3494" t="s">
        <v>43</v>
      </c>
      <c r="Y14" s="3494" t="s">
        <v>43</v>
      </c>
      <c r="Z14" s="3494" t="s">
        <v>43</v>
      </c>
      <c r="AA14" s="3495" t="s">
        <v>3622</v>
      </c>
      <c r="AB14" s="3494" t="s">
        <v>3624</v>
      </c>
      <c r="AC14" s="3507">
        <f>ROUND(167900/J14/365,1)</f>
        <v>1.4</v>
      </c>
      <c r="AD14" s="3507" t="s">
        <v>3788</v>
      </c>
    </row>
    <row r="15" spans="1:30" s="3507" customFormat="1" ht="39" customHeight="1">
      <c r="A15" s="3494">
        <v>10</v>
      </c>
      <c r="B15" s="3494" t="s">
        <v>3559</v>
      </c>
      <c r="C15" s="3494" t="s">
        <v>3625</v>
      </c>
      <c r="D15" s="3494" t="s">
        <v>3626</v>
      </c>
      <c r="E15" s="3494" t="s">
        <v>43</v>
      </c>
      <c r="F15" s="3495" t="s">
        <v>3627</v>
      </c>
      <c r="G15" s="3494" t="s">
        <v>3628</v>
      </c>
      <c r="H15" s="3494" t="s">
        <v>3565</v>
      </c>
      <c r="I15" s="3494" t="s">
        <v>3629</v>
      </c>
      <c r="J15" s="3497">
        <f>K15*0.149+K15</f>
        <v>39.066000000000003</v>
      </c>
      <c r="K15" s="3527">
        <v>34</v>
      </c>
      <c r="L15" s="3496">
        <v>1</v>
      </c>
      <c r="M15" s="3524">
        <v>4583</v>
      </c>
      <c r="N15" s="3499">
        <v>1.68</v>
      </c>
      <c r="O15" s="3494">
        <v>0.2</v>
      </c>
      <c r="P15" s="3494">
        <v>1944.23</v>
      </c>
      <c r="Q15" s="3499">
        <v>23330.799999999999</v>
      </c>
      <c r="R15" s="3511" t="s">
        <v>3630</v>
      </c>
      <c r="S15" s="3494" t="s">
        <v>3568</v>
      </c>
      <c r="T15" s="3505" t="s">
        <v>43</v>
      </c>
      <c r="U15" s="3528" t="s">
        <v>3631</v>
      </c>
      <c r="V15" s="3528" t="s">
        <v>3632</v>
      </c>
      <c r="W15" s="3494" t="s">
        <v>43</v>
      </c>
      <c r="X15" s="3494" t="s">
        <v>43</v>
      </c>
      <c r="Y15" s="3494" t="s">
        <v>43</v>
      </c>
      <c r="Z15" s="3494" t="s">
        <v>43</v>
      </c>
      <c r="AA15" s="3528" t="s">
        <v>3631</v>
      </c>
      <c r="AB15" s="3506" t="s">
        <v>3633</v>
      </c>
      <c r="AC15" s="3507">
        <f t="shared" si="0"/>
        <v>1.6</v>
      </c>
      <c r="AD15" s="3507" t="s">
        <v>3788</v>
      </c>
    </row>
    <row r="16" spans="1:30" s="3537" customFormat="1" ht="51.75" hidden="1">
      <c r="A16" s="3494">
        <v>11</v>
      </c>
      <c r="B16" s="3529" t="s">
        <v>3634</v>
      </c>
      <c r="C16" s="3529" t="s">
        <v>3635</v>
      </c>
      <c r="D16" s="3529" t="s">
        <v>3636</v>
      </c>
      <c r="E16" s="3529" t="s">
        <v>3637</v>
      </c>
      <c r="F16" s="3530" t="s">
        <v>3638</v>
      </c>
      <c r="G16" s="3529" t="s">
        <v>3639</v>
      </c>
      <c r="H16" s="3529" t="s">
        <v>3565</v>
      </c>
      <c r="I16" s="3529" t="s">
        <v>3640</v>
      </c>
      <c r="J16" s="3531">
        <f>K16*0.149+K16</f>
        <v>68.94</v>
      </c>
      <c r="K16" s="3529">
        <v>60</v>
      </c>
      <c r="L16" s="3529">
        <v>1</v>
      </c>
      <c r="M16" s="3532">
        <v>10000</v>
      </c>
      <c r="N16" s="3533">
        <f>Q16/365/K16</f>
        <v>4.269406392694064</v>
      </c>
      <c r="O16" s="3529" t="s">
        <v>43</v>
      </c>
      <c r="P16" s="3534">
        <v>7792</v>
      </c>
      <c r="Q16" s="3533">
        <v>93500</v>
      </c>
      <c r="R16" s="3535" t="s">
        <v>43</v>
      </c>
      <c r="S16" s="3534" t="s">
        <v>3568</v>
      </c>
      <c r="T16" s="3535" t="s">
        <v>43</v>
      </c>
      <c r="U16" s="3536" t="s">
        <v>3641</v>
      </c>
      <c r="V16" s="3536" t="s">
        <v>3642</v>
      </c>
      <c r="W16" s="3529" t="s">
        <v>43</v>
      </c>
      <c r="X16" s="3529" t="s">
        <v>43</v>
      </c>
      <c r="Y16" s="3529" t="s">
        <v>43</v>
      </c>
      <c r="Z16" s="3529" t="s">
        <v>43</v>
      </c>
      <c r="AA16" s="3536" t="s">
        <v>3641</v>
      </c>
      <c r="AB16" s="3529" t="s">
        <v>3643</v>
      </c>
      <c r="AC16" s="3507">
        <f t="shared" si="0"/>
        <v>3.7</v>
      </c>
    </row>
    <row r="17" spans="1:72" s="3537" customFormat="1" ht="69" hidden="1">
      <c r="A17" s="3494">
        <v>12</v>
      </c>
      <c r="B17" s="3529" t="s">
        <v>3634</v>
      </c>
      <c r="C17" s="3529" t="s">
        <v>3644</v>
      </c>
      <c r="D17" s="3529" t="s">
        <v>3645</v>
      </c>
      <c r="E17" s="3529" t="s">
        <v>3646</v>
      </c>
      <c r="F17" s="3530" t="s">
        <v>3647</v>
      </c>
      <c r="G17" s="3529" t="s">
        <v>3648</v>
      </c>
      <c r="H17" s="3529" t="s">
        <v>3565</v>
      </c>
      <c r="I17" s="3538" t="s">
        <v>3640</v>
      </c>
      <c r="J17" s="3531">
        <f>K17*0.149+K17</f>
        <v>137.88</v>
      </c>
      <c r="K17" s="3529">
        <v>120</v>
      </c>
      <c r="L17" s="3529">
        <v>1</v>
      </c>
      <c r="M17" s="3532">
        <v>5000</v>
      </c>
      <c r="N17" s="3533">
        <f>Q17/365/K17</f>
        <v>1.7123287671232876</v>
      </c>
      <c r="O17" s="3529" t="s">
        <v>43</v>
      </c>
      <c r="P17" s="3534">
        <v>6250</v>
      </c>
      <c r="Q17" s="3533">
        <v>75000</v>
      </c>
      <c r="R17" s="3535" t="s">
        <v>43</v>
      </c>
      <c r="S17" s="3534" t="s">
        <v>3568</v>
      </c>
      <c r="T17" s="3535" t="s">
        <v>43</v>
      </c>
      <c r="U17" s="3536" t="s">
        <v>3649</v>
      </c>
      <c r="V17" s="3536" t="s">
        <v>3650</v>
      </c>
      <c r="W17" s="3529" t="s">
        <v>43</v>
      </c>
      <c r="X17" s="3529" t="s">
        <v>43</v>
      </c>
      <c r="Y17" s="3529" t="s">
        <v>43</v>
      </c>
      <c r="Z17" s="3529" t="s">
        <v>43</v>
      </c>
      <c r="AA17" s="3536" t="s">
        <v>3649</v>
      </c>
      <c r="AB17" s="3529" t="s">
        <v>3651</v>
      </c>
      <c r="AC17" s="3507">
        <f t="shared" si="0"/>
        <v>1.5</v>
      </c>
    </row>
    <row r="18" spans="1:72" s="3537" customFormat="1" ht="51.75" hidden="1">
      <c r="A18" s="3494">
        <v>13</v>
      </c>
      <c r="B18" s="3529" t="s">
        <v>3634</v>
      </c>
      <c r="C18" s="3529" t="s">
        <v>3652</v>
      </c>
      <c r="D18" s="3529" t="s">
        <v>3653</v>
      </c>
      <c r="E18" s="3529" t="s">
        <v>3654</v>
      </c>
      <c r="F18" s="3530" t="s">
        <v>3655</v>
      </c>
      <c r="G18" s="3529" t="s">
        <v>3656</v>
      </c>
      <c r="H18" s="3529" t="s">
        <v>3565</v>
      </c>
      <c r="I18" s="3538" t="s">
        <v>3640</v>
      </c>
      <c r="J18" s="3531">
        <f>K18*0.149+K18</f>
        <v>128.68799999999999</v>
      </c>
      <c r="K18" s="3529">
        <v>112</v>
      </c>
      <c r="L18" s="3529">
        <v>1</v>
      </c>
      <c r="M18" s="3532">
        <v>10000</v>
      </c>
      <c r="N18" s="3533">
        <f>Q18/365/K18</f>
        <v>1.4677103718199607</v>
      </c>
      <c r="O18" s="3529" t="s">
        <v>43</v>
      </c>
      <c r="P18" s="3534">
        <v>5000</v>
      </c>
      <c r="Q18" s="3533">
        <v>60000</v>
      </c>
      <c r="R18" s="3535" t="s">
        <v>43</v>
      </c>
      <c r="S18" s="3534" t="s">
        <v>3657</v>
      </c>
      <c r="T18" s="3535" t="s">
        <v>43</v>
      </c>
      <c r="U18" s="3536" t="s">
        <v>3658</v>
      </c>
      <c r="V18" s="3536" t="s">
        <v>3659</v>
      </c>
      <c r="W18" s="3529" t="s">
        <v>43</v>
      </c>
      <c r="X18" s="3529" t="s">
        <v>43</v>
      </c>
      <c r="Y18" s="3529" t="s">
        <v>43</v>
      </c>
      <c r="Z18" s="3529" t="s">
        <v>43</v>
      </c>
      <c r="AA18" s="3536" t="s">
        <v>3658</v>
      </c>
      <c r="AB18" s="3529" t="s">
        <v>3660</v>
      </c>
      <c r="AC18" s="3507">
        <f t="shared" si="0"/>
        <v>1.3</v>
      </c>
    </row>
    <row r="19" spans="1:72" s="3507" customFormat="1" ht="34.5">
      <c r="A19" s="3494">
        <v>14</v>
      </c>
      <c r="B19" s="3494" t="s">
        <v>3559</v>
      </c>
      <c r="C19" s="3494" t="s">
        <v>3661</v>
      </c>
      <c r="D19" s="3494" t="s">
        <v>3662</v>
      </c>
      <c r="E19" s="3527" t="s">
        <v>3663</v>
      </c>
      <c r="F19" s="3494" t="s">
        <v>3664</v>
      </c>
      <c r="G19" s="3494" t="s">
        <v>3665</v>
      </c>
      <c r="H19" s="3494" t="s">
        <v>3565</v>
      </c>
      <c r="I19" s="3494" t="s">
        <v>3666</v>
      </c>
      <c r="J19" s="3497">
        <v>29</v>
      </c>
      <c r="K19" s="3494">
        <v>25</v>
      </c>
      <c r="L19" s="3494" t="s">
        <v>3667</v>
      </c>
      <c r="M19" s="3498">
        <v>5627</v>
      </c>
      <c r="N19" s="3499">
        <v>3.5</v>
      </c>
      <c r="O19" s="3494">
        <v>0.2</v>
      </c>
      <c r="P19" s="3504">
        <v>2813.5</v>
      </c>
      <c r="Q19" s="3499">
        <v>33762.5</v>
      </c>
      <c r="R19" s="3505" t="s">
        <v>43</v>
      </c>
      <c r="S19" s="3504" t="s">
        <v>3568</v>
      </c>
      <c r="T19" s="3505">
        <v>0.05</v>
      </c>
      <c r="U19" s="3528" t="s">
        <v>3668</v>
      </c>
      <c r="V19" s="3528" t="s">
        <v>3669</v>
      </c>
      <c r="W19" s="3539" t="s">
        <v>3668</v>
      </c>
      <c r="X19" s="3539" t="s">
        <v>3670</v>
      </c>
      <c r="Y19" s="3539" t="s">
        <v>3668</v>
      </c>
      <c r="Z19" s="3539" t="s">
        <v>3670</v>
      </c>
      <c r="AA19" s="3528" t="s">
        <v>3671</v>
      </c>
      <c r="AB19" s="3494"/>
      <c r="AC19" s="3507">
        <f t="shared" si="0"/>
        <v>3.2</v>
      </c>
      <c r="AD19" s="3507" t="s">
        <v>3789</v>
      </c>
    </row>
    <row r="20" spans="1:72" s="3507" customFormat="1" ht="71.099999999999994" customHeight="1">
      <c r="A20" s="3494">
        <v>15</v>
      </c>
      <c r="B20" s="3494" t="s">
        <v>3559</v>
      </c>
      <c r="C20" s="3527" t="s">
        <v>3672</v>
      </c>
      <c r="D20" s="3494" t="s">
        <v>3673</v>
      </c>
      <c r="E20" s="3494" t="s">
        <v>3674</v>
      </c>
      <c r="F20" s="3495" t="s">
        <v>3675</v>
      </c>
      <c r="G20" s="3494" t="s">
        <v>3676</v>
      </c>
      <c r="H20" s="3494" t="s">
        <v>3565</v>
      </c>
      <c r="I20" s="3540" t="s">
        <v>3677</v>
      </c>
      <c r="J20" s="3497">
        <f>K20*0.149+K20</f>
        <v>41.363999999999997</v>
      </c>
      <c r="K20" s="3494">
        <v>36</v>
      </c>
      <c r="L20" s="3494">
        <v>1</v>
      </c>
      <c r="M20" s="3498">
        <v>5000</v>
      </c>
      <c r="N20" s="3541">
        <v>3.39</v>
      </c>
      <c r="O20" s="3527">
        <v>0.2</v>
      </c>
      <c r="P20" s="3542">
        <f>Q20/12</f>
        <v>3933.3333333333335</v>
      </c>
      <c r="Q20" s="3541">
        <v>47200</v>
      </c>
      <c r="R20" s="3514" t="s">
        <v>3678</v>
      </c>
      <c r="S20" s="3504" t="s">
        <v>3568</v>
      </c>
      <c r="T20" s="3505">
        <v>0.05</v>
      </c>
      <c r="U20" s="3528" t="s">
        <v>3679</v>
      </c>
      <c r="V20" s="3528" t="s">
        <v>3680</v>
      </c>
      <c r="W20" s="3494" t="s">
        <v>43</v>
      </c>
      <c r="X20" s="3494" t="s">
        <v>43</v>
      </c>
      <c r="Y20" s="3494" t="s">
        <v>43</v>
      </c>
      <c r="Z20" s="3494" t="s">
        <v>43</v>
      </c>
      <c r="AA20" s="3528" t="s">
        <v>3679</v>
      </c>
      <c r="AB20" s="3494" t="s">
        <v>3681</v>
      </c>
      <c r="AC20" s="3507">
        <f t="shared" si="0"/>
        <v>3.1</v>
      </c>
      <c r="AD20" s="3507" t="s">
        <v>3789</v>
      </c>
    </row>
    <row r="21" spans="1:72" s="3507" customFormat="1" ht="57.95" customHeight="1">
      <c r="A21" s="3494">
        <v>16</v>
      </c>
      <c r="B21" s="3494" t="s">
        <v>3559</v>
      </c>
      <c r="C21" s="3494" t="s">
        <v>3682</v>
      </c>
      <c r="D21" s="3494" t="s">
        <v>3673</v>
      </c>
      <c r="E21" s="3539" t="s">
        <v>3683</v>
      </c>
      <c r="F21" s="3495" t="s">
        <v>3684</v>
      </c>
      <c r="G21" s="3494" t="s">
        <v>3685</v>
      </c>
      <c r="H21" s="3494" t="s">
        <v>3565</v>
      </c>
      <c r="I21" s="3496" t="s">
        <v>3686</v>
      </c>
      <c r="J21" s="3497">
        <f>K21*0.149+K21</f>
        <v>57.45</v>
      </c>
      <c r="K21" s="3494">
        <v>50</v>
      </c>
      <c r="L21" s="3494">
        <v>1</v>
      </c>
      <c r="M21" s="3498">
        <v>5000</v>
      </c>
      <c r="N21" s="3541">
        <v>4.82</v>
      </c>
      <c r="O21" s="3527">
        <v>0.2</v>
      </c>
      <c r="P21" s="3542">
        <f>Q21/12</f>
        <v>7634.583333333333</v>
      </c>
      <c r="Q21" s="3541">
        <v>91615</v>
      </c>
      <c r="R21" s="3505" t="s">
        <v>43</v>
      </c>
      <c r="S21" s="3504" t="s">
        <v>3568</v>
      </c>
      <c r="T21" s="3505">
        <v>0.05</v>
      </c>
      <c r="U21" s="3528" t="s">
        <v>3679</v>
      </c>
      <c r="V21" s="3528" t="s">
        <v>3680</v>
      </c>
      <c r="W21" s="3494" t="s">
        <v>43</v>
      </c>
      <c r="X21" s="3494" t="s">
        <v>43</v>
      </c>
      <c r="Y21" s="3494" t="s">
        <v>43</v>
      </c>
      <c r="Z21" s="3494" t="s">
        <v>43</v>
      </c>
      <c r="AA21" s="3528" t="s">
        <v>3679</v>
      </c>
      <c r="AB21" s="3494"/>
      <c r="AC21" s="3507">
        <f t="shared" si="0"/>
        <v>4.4000000000000004</v>
      </c>
      <c r="AD21" s="3507" t="s">
        <v>3789</v>
      </c>
    </row>
    <row r="22" spans="1:72" s="3507" customFormat="1" ht="45" customHeight="1">
      <c r="A22" s="3494">
        <v>17</v>
      </c>
      <c r="B22" s="3494" t="s">
        <v>3559</v>
      </c>
      <c r="C22" s="3494" t="s">
        <v>3687</v>
      </c>
      <c r="D22" s="3494" t="s">
        <v>3688</v>
      </c>
      <c r="E22" s="3539" t="s">
        <v>3689</v>
      </c>
      <c r="F22" s="3495" t="s">
        <v>3690</v>
      </c>
      <c r="G22" s="3494" t="s">
        <v>3691</v>
      </c>
      <c r="H22" s="3494" t="s">
        <v>3565</v>
      </c>
      <c r="I22" s="3496" t="s">
        <v>3692</v>
      </c>
      <c r="J22" s="3497">
        <f>K22*0.149+K22</f>
        <v>83.876999999999995</v>
      </c>
      <c r="K22" s="3494">
        <v>73</v>
      </c>
      <c r="L22" s="3494">
        <v>1</v>
      </c>
      <c r="M22" s="3498">
        <v>5000</v>
      </c>
      <c r="N22" s="3543">
        <v>2.9750000000000001</v>
      </c>
      <c r="O22" s="3527">
        <v>0.2</v>
      </c>
      <c r="P22" s="3542">
        <f>Q22/12</f>
        <v>7050</v>
      </c>
      <c r="Q22" s="3541">
        <v>84600</v>
      </c>
      <c r="R22" s="3514" t="s">
        <v>3693</v>
      </c>
      <c r="S22" s="3504" t="s">
        <v>3568</v>
      </c>
      <c r="T22" s="3505">
        <v>0.05</v>
      </c>
      <c r="U22" s="3528" t="s">
        <v>3679</v>
      </c>
      <c r="V22" s="3528" t="s">
        <v>3680</v>
      </c>
      <c r="W22" s="3494" t="s">
        <v>43</v>
      </c>
      <c r="X22" s="3494" t="s">
        <v>43</v>
      </c>
      <c r="Y22" s="3494" t="s">
        <v>43</v>
      </c>
      <c r="Z22" s="3494" t="s">
        <v>43</v>
      </c>
      <c r="AA22" s="3528" t="s">
        <v>3679</v>
      </c>
      <c r="AB22" s="3544" t="s">
        <v>3694</v>
      </c>
      <c r="AC22" s="3507">
        <f t="shared" si="0"/>
        <v>2.8</v>
      </c>
      <c r="AD22" s="3507" t="s">
        <v>3789</v>
      </c>
    </row>
    <row r="23" spans="1:72" s="3551" customFormat="1" ht="57.95" customHeight="1">
      <c r="A23" s="3494">
        <v>18</v>
      </c>
      <c r="B23" s="3527" t="s">
        <v>3559</v>
      </c>
      <c r="C23" s="3527" t="s">
        <v>3695</v>
      </c>
      <c r="D23" s="3527" t="s">
        <v>3696</v>
      </c>
      <c r="E23" s="3545" t="s">
        <v>3697</v>
      </c>
      <c r="F23" s="3495" t="s">
        <v>3698</v>
      </c>
      <c r="G23" s="3546" t="s">
        <v>3699</v>
      </c>
      <c r="H23" s="3527" t="s">
        <v>3565</v>
      </c>
      <c r="I23" s="3540" t="s">
        <v>3700</v>
      </c>
      <c r="J23" s="3497">
        <v>32</v>
      </c>
      <c r="K23" s="3546">
        <v>28</v>
      </c>
      <c r="L23" s="3527">
        <v>1</v>
      </c>
      <c r="M23" s="3547">
        <v>5000</v>
      </c>
      <c r="N23" s="3499">
        <v>3.27</v>
      </c>
      <c r="O23" s="3527">
        <v>0.2</v>
      </c>
      <c r="P23" s="3542">
        <v>2955.25</v>
      </c>
      <c r="Q23" s="3541">
        <v>35463</v>
      </c>
      <c r="R23" s="3548" t="s">
        <v>43</v>
      </c>
      <c r="S23" s="3542" t="s">
        <v>3568</v>
      </c>
      <c r="T23" s="3548">
        <v>0.05</v>
      </c>
      <c r="U23" s="3549" t="s">
        <v>3631</v>
      </c>
      <c r="V23" s="3549" t="s">
        <v>3632</v>
      </c>
      <c r="W23" s="3527" t="s">
        <v>43</v>
      </c>
      <c r="X23" s="3527" t="s">
        <v>43</v>
      </c>
      <c r="Y23" s="3527" t="s">
        <v>43</v>
      </c>
      <c r="Z23" s="3527" t="s">
        <v>43</v>
      </c>
      <c r="AA23" s="3549" t="s">
        <v>3631</v>
      </c>
      <c r="AB23" s="3550" t="s">
        <v>3701</v>
      </c>
      <c r="AC23" s="3507">
        <f t="shared" si="0"/>
        <v>3</v>
      </c>
      <c r="AD23" s="3507" t="s">
        <v>3789</v>
      </c>
    </row>
    <row r="24" spans="1:72" s="3553" customFormat="1" ht="54.95" customHeight="1">
      <c r="A24" s="3494">
        <v>19</v>
      </c>
      <c r="B24" s="3494" t="s">
        <v>3559</v>
      </c>
      <c r="C24" s="3494" t="s">
        <v>3702</v>
      </c>
      <c r="D24" s="3494" t="s">
        <v>3662</v>
      </c>
      <c r="E24" s="3527" t="s">
        <v>3703</v>
      </c>
      <c r="F24" s="3494" t="s">
        <v>3704</v>
      </c>
      <c r="G24" s="3494" t="s">
        <v>3705</v>
      </c>
      <c r="H24" s="3494" t="s">
        <v>3565</v>
      </c>
      <c r="I24" s="3494" t="s">
        <v>3706</v>
      </c>
      <c r="J24" s="3497">
        <f>K24*0.149+K24</f>
        <v>64.918499999999995</v>
      </c>
      <c r="K24" s="3494">
        <v>56.5</v>
      </c>
      <c r="L24" s="3494">
        <v>1</v>
      </c>
      <c r="M24" s="3494">
        <v>12030</v>
      </c>
      <c r="N24" s="3499">
        <v>3.3</v>
      </c>
      <c r="O24" s="3494">
        <v>0.2</v>
      </c>
      <c r="P24" s="3552">
        <f>Q24/12</f>
        <v>6014.916666666667</v>
      </c>
      <c r="Q24" s="3499">
        <v>72179</v>
      </c>
      <c r="R24" s="3505" t="s">
        <v>43</v>
      </c>
      <c r="S24" s="3494" t="s">
        <v>3568</v>
      </c>
      <c r="T24" s="3505">
        <v>0.05</v>
      </c>
      <c r="U24" s="3494" t="s">
        <v>3707</v>
      </c>
      <c r="V24" s="3494" t="s">
        <v>3632</v>
      </c>
      <c r="W24" s="3539" t="s">
        <v>3707</v>
      </c>
      <c r="X24" s="3539" t="s">
        <v>3708</v>
      </c>
      <c r="Y24" s="3539" t="s">
        <v>3707</v>
      </c>
      <c r="Z24" s="3539" t="s">
        <v>3708</v>
      </c>
      <c r="AA24" s="3494" t="s">
        <v>3709</v>
      </c>
      <c r="AB24" s="3494"/>
      <c r="AC24" s="3507">
        <f t="shared" si="0"/>
        <v>3</v>
      </c>
      <c r="AD24" s="3507" t="s">
        <v>3789</v>
      </c>
      <c r="AE24" s="3482"/>
      <c r="AF24" s="3482"/>
      <c r="AG24" s="3482"/>
      <c r="AH24" s="3482"/>
      <c r="AI24" s="3482"/>
      <c r="AJ24" s="3482"/>
      <c r="AK24" s="3482"/>
      <c r="AL24" s="3482"/>
      <c r="AM24" s="3482"/>
      <c r="AN24" s="3482"/>
      <c r="AO24" s="3482"/>
      <c r="AP24" s="3482"/>
      <c r="AQ24" s="3482"/>
      <c r="AR24" s="3482"/>
      <c r="AS24" s="3482"/>
      <c r="AT24" s="3482"/>
      <c r="AU24" s="3482"/>
      <c r="AV24" s="3482"/>
      <c r="AW24" s="3482"/>
      <c r="AX24" s="3482"/>
      <c r="AY24" s="3482"/>
      <c r="AZ24" s="3482"/>
      <c r="BA24" s="3482"/>
      <c r="BB24" s="3482"/>
      <c r="BC24" s="3482"/>
      <c r="BD24" s="3482"/>
      <c r="BE24" s="3482"/>
      <c r="BF24" s="3482"/>
      <c r="BG24" s="3482"/>
      <c r="BH24" s="3482"/>
      <c r="BI24" s="3482"/>
      <c r="BJ24" s="3482"/>
      <c r="BK24" s="3482"/>
      <c r="BL24" s="3482"/>
      <c r="BM24" s="3482"/>
      <c r="BN24" s="3482"/>
      <c r="BO24" s="3482"/>
      <c r="BP24" s="3482"/>
      <c r="BQ24" s="3482"/>
      <c r="BR24" s="3482"/>
      <c r="BS24" s="3482"/>
      <c r="BT24" s="3482"/>
    </row>
    <row r="25" spans="1:72" s="3553" customFormat="1" ht="54.95" customHeight="1">
      <c r="A25" s="3494">
        <v>20</v>
      </c>
      <c r="B25" s="3494" t="s">
        <v>3559</v>
      </c>
      <c r="C25" s="3494" t="s">
        <v>3710</v>
      </c>
      <c r="D25" s="3494" t="s">
        <v>3662</v>
      </c>
      <c r="E25" s="3527" t="s">
        <v>3711</v>
      </c>
      <c r="F25" s="3494" t="s">
        <v>3664</v>
      </c>
      <c r="G25" s="3494" t="s">
        <v>3665</v>
      </c>
      <c r="H25" s="3494" t="s">
        <v>3565</v>
      </c>
      <c r="I25" s="3494" t="s">
        <v>3712</v>
      </c>
      <c r="J25" s="3497">
        <v>40</v>
      </c>
      <c r="K25" s="3494">
        <v>35</v>
      </c>
      <c r="L25" s="3494">
        <v>1</v>
      </c>
      <c r="M25" s="3494">
        <v>7878</v>
      </c>
      <c r="N25" s="3499">
        <v>3.5</v>
      </c>
      <c r="O25" s="3494">
        <v>0.2</v>
      </c>
      <c r="P25" s="3552">
        <f>Q25/12</f>
        <v>3938.9583333333335</v>
      </c>
      <c r="Q25" s="3499">
        <v>47267.5</v>
      </c>
      <c r="R25" s="3505" t="s">
        <v>43</v>
      </c>
      <c r="S25" s="3494" t="s">
        <v>3568</v>
      </c>
      <c r="T25" s="3505">
        <v>0.05</v>
      </c>
      <c r="U25" s="3494" t="s">
        <v>3713</v>
      </c>
      <c r="V25" s="3494" t="s">
        <v>3714</v>
      </c>
      <c r="W25" s="3539" t="s">
        <v>3715</v>
      </c>
      <c r="X25" s="3539" t="s">
        <v>3716</v>
      </c>
      <c r="Y25" s="3539" t="s">
        <v>3715</v>
      </c>
      <c r="Z25" s="3539" t="s">
        <v>3716</v>
      </c>
      <c r="AA25" s="3494" t="s">
        <v>3713</v>
      </c>
      <c r="AB25" s="3494"/>
      <c r="AC25" s="3507">
        <f t="shared" si="0"/>
        <v>3.2</v>
      </c>
      <c r="AD25" s="3507" t="s">
        <v>3789</v>
      </c>
      <c r="AE25" s="3482"/>
      <c r="AF25" s="3482"/>
      <c r="AG25" s="3482"/>
      <c r="AH25" s="3482"/>
      <c r="AI25" s="3482"/>
      <c r="AJ25" s="3482"/>
      <c r="AK25" s="3482"/>
      <c r="AL25" s="3482"/>
      <c r="AM25" s="3482"/>
      <c r="AN25" s="3482"/>
      <c r="AO25" s="3482"/>
      <c r="AP25" s="3482"/>
      <c r="AQ25" s="3482"/>
      <c r="AR25" s="3482"/>
      <c r="AS25" s="3482"/>
      <c r="AT25" s="3482"/>
      <c r="AU25" s="3482"/>
      <c r="AV25" s="3482"/>
      <c r="AW25" s="3482"/>
      <c r="AX25" s="3482"/>
      <c r="AY25" s="3482"/>
      <c r="AZ25" s="3482"/>
      <c r="BA25" s="3482"/>
      <c r="BB25" s="3482"/>
      <c r="BC25" s="3482"/>
      <c r="BD25" s="3482"/>
      <c r="BE25" s="3482"/>
      <c r="BF25" s="3482"/>
      <c r="BG25" s="3482"/>
      <c r="BH25" s="3482"/>
      <c r="BI25" s="3482"/>
      <c r="BJ25" s="3482"/>
      <c r="BK25" s="3482"/>
      <c r="BL25" s="3482"/>
      <c r="BM25" s="3482"/>
      <c r="BN25" s="3482"/>
      <c r="BO25" s="3482"/>
      <c r="BP25" s="3482"/>
      <c r="BQ25" s="3482"/>
      <c r="BR25" s="3482"/>
      <c r="BS25" s="3482"/>
      <c r="BT25" s="3482"/>
    </row>
    <row r="26" spans="1:72" s="3553" customFormat="1" ht="120.75">
      <c r="A26" s="3494">
        <v>21</v>
      </c>
      <c r="B26" s="3494" t="s">
        <v>3559</v>
      </c>
      <c r="C26" s="3494" t="s">
        <v>3717</v>
      </c>
      <c r="D26" s="3494" t="s">
        <v>3718</v>
      </c>
      <c r="E26" s="3494" t="s">
        <v>3719</v>
      </c>
      <c r="F26" s="3494" t="s">
        <v>3720</v>
      </c>
      <c r="G26" s="3494" t="s">
        <v>3721</v>
      </c>
      <c r="H26" s="3494" t="s">
        <v>3565</v>
      </c>
      <c r="I26" s="3494" t="s">
        <v>3722</v>
      </c>
      <c r="J26" s="3497">
        <v>138</v>
      </c>
      <c r="K26" s="3494" t="s">
        <v>3723</v>
      </c>
      <c r="L26" s="3494">
        <v>1</v>
      </c>
      <c r="M26" s="3494">
        <v>18007</v>
      </c>
      <c r="N26" s="3499" t="s">
        <v>3724</v>
      </c>
      <c r="O26" s="3494">
        <v>0.2</v>
      </c>
      <c r="P26" s="3552">
        <f>Q26/12</f>
        <v>9003.3333333333339</v>
      </c>
      <c r="Q26" s="3499">
        <v>108040</v>
      </c>
      <c r="R26" s="3505" t="s">
        <v>43</v>
      </c>
      <c r="S26" s="3494" t="s">
        <v>3568</v>
      </c>
      <c r="T26" s="3505">
        <v>0.05</v>
      </c>
      <c r="U26" s="3494" t="s">
        <v>3631</v>
      </c>
      <c r="V26" s="3500" t="s">
        <v>3725</v>
      </c>
      <c r="W26" s="3539" t="s">
        <v>3631</v>
      </c>
      <c r="X26" s="3539" t="s">
        <v>3708</v>
      </c>
      <c r="Y26" s="3539" t="s">
        <v>3726</v>
      </c>
      <c r="Z26" s="3539" t="s">
        <v>3727</v>
      </c>
      <c r="AA26" s="3494" t="s">
        <v>3709</v>
      </c>
      <c r="AB26" s="3494" t="s">
        <v>3584</v>
      </c>
      <c r="AC26" s="3507">
        <f t="shared" si="0"/>
        <v>2.1</v>
      </c>
      <c r="AD26" s="3507" t="s">
        <v>3789</v>
      </c>
      <c r="AE26" s="3482"/>
      <c r="AF26" s="3482"/>
      <c r="AG26" s="3482"/>
      <c r="AH26" s="3482"/>
      <c r="AI26" s="3482"/>
      <c r="AJ26" s="3482"/>
      <c r="AK26" s="3482"/>
      <c r="AL26" s="3482"/>
      <c r="AM26" s="3482"/>
      <c r="AN26" s="3482"/>
      <c r="AO26" s="3482"/>
      <c r="AP26" s="3482"/>
      <c r="AQ26" s="3482"/>
      <c r="AR26" s="3482"/>
      <c r="AS26" s="3482"/>
      <c r="AT26" s="3482"/>
      <c r="AU26" s="3482"/>
      <c r="AV26" s="3482"/>
      <c r="AW26" s="3482"/>
      <c r="AX26" s="3482"/>
      <c r="AY26" s="3482"/>
      <c r="AZ26" s="3482"/>
      <c r="BA26" s="3482"/>
      <c r="BB26" s="3482"/>
      <c r="BC26" s="3482"/>
      <c r="BD26" s="3482"/>
      <c r="BE26" s="3482"/>
      <c r="BF26" s="3482"/>
      <c r="BG26" s="3482"/>
      <c r="BH26" s="3482"/>
      <c r="BI26" s="3482"/>
      <c r="BJ26" s="3482"/>
      <c r="BK26" s="3482"/>
      <c r="BL26" s="3482"/>
      <c r="BM26" s="3482"/>
      <c r="BN26" s="3482"/>
      <c r="BO26" s="3482"/>
      <c r="BP26" s="3482"/>
      <c r="BQ26" s="3482"/>
      <c r="BR26" s="3482"/>
      <c r="BS26" s="3482"/>
      <c r="BT26" s="3482"/>
    </row>
    <row r="27" spans="1:72" s="3507" customFormat="1" ht="34.5">
      <c r="A27" s="3494">
        <v>22</v>
      </c>
      <c r="B27" s="3519" t="s">
        <v>3559</v>
      </c>
      <c r="C27" s="3519" t="s">
        <v>3728</v>
      </c>
      <c r="D27" s="3494" t="s">
        <v>3729</v>
      </c>
      <c r="E27" s="3494" t="s">
        <v>3730</v>
      </c>
      <c r="F27" s="3522" t="s">
        <v>3731</v>
      </c>
      <c r="G27" s="3519" t="s">
        <v>3732</v>
      </c>
      <c r="H27" s="3519" t="s">
        <v>3565</v>
      </c>
      <c r="I27" s="3494" t="s">
        <v>3733</v>
      </c>
      <c r="J27" s="3497">
        <f>K27*0.149+K27</f>
        <v>1034.0999999999999</v>
      </c>
      <c r="K27" s="3519">
        <v>900</v>
      </c>
      <c r="L27" s="3554">
        <v>1</v>
      </c>
      <c r="M27" s="3524">
        <v>30000</v>
      </c>
      <c r="N27" s="3499">
        <f>Q27/365/K27</f>
        <v>1.06544901065449</v>
      </c>
      <c r="O27" s="3494" t="s">
        <v>43</v>
      </c>
      <c r="P27" s="3504">
        <v>29167</v>
      </c>
      <c r="Q27" s="3499">
        <v>350000</v>
      </c>
      <c r="R27" s="3505" t="s">
        <v>43</v>
      </c>
      <c r="S27" s="3504" t="s">
        <v>3568</v>
      </c>
      <c r="T27" s="3505">
        <v>0.05</v>
      </c>
      <c r="U27" s="3555" t="s">
        <v>3709</v>
      </c>
      <c r="V27" s="3555" t="s">
        <v>3734</v>
      </c>
      <c r="W27" s="3494" t="s">
        <v>43</v>
      </c>
      <c r="X27" s="3494" t="s">
        <v>43</v>
      </c>
      <c r="Y27" s="3494" t="s">
        <v>43</v>
      </c>
      <c r="Z27" s="3494" t="s">
        <v>43</v>
      </c>
      <c r="AA27" s="3555" t="s">
        <v>3709</v>
      </c>
      <c r="AB27" s="3494"/>
      <c r="AC27" s="3507">
        <f t="shared" si="0"/>
        <v>0.9</v>
      </c>
      <c r="AD27" s="3507" t="s">
        <v>3790</v>
      </c>
    </row>
    <row r="28" spans="1:72" s="3537" customFormat="1" ht="71.099999999999994" hidden="1" customHeight="1">
      <c r="A28" s="3494">
        <v>23</v>
      </c>
      <c r="B28" s="3529" t="s">
        <v>3634</v>
      </c>
      <c r="C28" s="3556" t="s">
        <v>3735</v>
      </c>
      <c r="D28" s="3556" t="s">
        <v>3736</v>
      </c>
      <c r="E28" s="3556" t="s">
        <v>3737</v>
      </c>
      <c r="F28" s="3557" t="s">
        <v>3738</v>
      </c>
      <c r="G28" s="3556" t="s">
        <v>3739</v>
      </c>
      <c r="H28" s="3529" t="s">
        <v>3565</v>
      </c>
      <c r="I28" s="3558" t="s">
        <v>3740</v>
      </c>
      <c r="J28" s="3531">
        <f>K28*0.149+K28</f>
        <v>970.90499999999997</v>
      </c>
      <c r="K28" s="3529">
        <v>845</v>
      </c>
      <c r="L28" s="3538">
        <v>1</v>
      </c>
      <c r="M28" s="3532">
        <v>10000</v>
      </c>
      <c r="N28" s="3533">
        <v>0.78</v>
      </c>
      <c r="O28" s="3529" t="s">
        <v>43</v>
      </c>
      <c r="P28" s="3534">
        <v>20000</v>
      </c>
      <c r="Q28" s="3533">
        <v>240000</v>
      </c>
      <c r="R28" s="3535" t="s">
        <v>43</v>
      </c>
      <c r="S28" s="3534" t="s">
        <v>3568</v>
      </c>
      <c r="T28" s="3535" t="s">
        <v>43</v>
      </c>
      <c r="U28" s="3536" t="s">
        <v>3741</v>
      </c>
      <c r="V28" s="3536" t="s">
        <v>3659</v>
      </c>
      <c r="W28" s="3529" t="s">
        <v>43</v>
      </c>
      <c r="X28" s="3529" t="s">
        <v>43</v>
      </c>
      <c r="Y28" s="3529" t="s">
        <v>43</v>
      </c>
      <c r="Z28" s="3529" t="s">
        <v>43</v>
      </c>
      <c r="AA28" s="3536" t="s">
        <v>3741</v>
      </c>
      <c r="AB28" s="3559" t="s">
        <v>3742</v>
      </c>
      <c r="AC28" s="3507">
        <f t="shared" si="0"/>
        <v>0.7</v>
      </c>
    </row>
    <row r="29" spans="1:72" s="3507" customFormat="1" ht="69" hidden="1">
      <c r="A29" s="3494"/>
      <c r="B29" s="3556" t="s">
        <v>3634</v>
      </c>
      <c r="C29" s="3556" t="s">
        <v>3743</v>
      </c>
      <c r="D29" s="3556" t="s">
        <v>3736</v>
      </c>
      <c r="E29" s="3556" t="s">
        <v>3737</v>
      </c>
      <c r="F29" s="3557" t="s">
        <v>3738</v>
      </c>
      <c r="G29" s="3556" t="s">
        <v>3739</v>
      </c>
      <c r="H29" s="3556" t="s">
        <v>3565</v>
      </c>
      <c r="I29" s="3558" t="s">
        <v>3740</v>
      </c>
      <c r="J29" s="3531">
        <f>K29*0.149+K29</f>
        <v>970.90499999999997</v>
      </c>
      <c r="K29" s="3556">
        <v>845</v>
      </c>
      <c r="L29" s="3556">
        <v>1</v>
      </c>
      <c r="M29" s="3560">
        <v>10000</v>
      </c>
      <c r="N29" s="3561">
        <f>Q29/365/K29</f>
        <v>1</v>
      </c>
      <c r="O29" s="3556" t="s">
        <v>43</v>
      </c>
      <c r="P29" s="3562">
        <f>Q29/12</f>
        <v>25702.083333333332</v>
      </c>
      <c r="Q29" s="3561">
        <v>308425</v>
      </c>
      <c r="R29" s="3563" t="s">
        <v>43</v>
      </c>
      <c r="S29" s="3562" t="s">
        <v>3568</v>
      </c>
      <c r="T29" s="3563" t="s">
        <v>43</v>
      </c>
      <c r="U29" s="3564" t="s">
        <v>3744</v>
      </c>
      <c r="V29" s="3564" t="s">
        <v>3670</v>
      </c>
      <c r="W29" s="3556" t="s">
        <v>43</v>
      </c>
      <c r="X29" s="3556" t="s">
        <v>43</v>
      </c>
      <c r="Y29" s="3556" t="s">
        <v>43</v>
      </c>
      <c r="Z29" s="3556" t="s">
        <v>43</v>
      </c>
      <c r="AA29" s="3564" t="s">
        <v>3744</v>
      </c>
      <c r="AB29" s="3556" t="s">
        <v>3745</v>
      </c>
      <c r="AC29" s="3507">
        <f t="shared" si="0"/>
        <v>0.9</v>
      </c>
    </row>
    <row r="30" spans="1:72" s="3551" customFormat="1" ht="54.95" customHeight="1">
      <c r="A30" s="3494">
        <v>25</v>
      </c>
      <c r="B30" s="3527" t="s">
        <v>3559</v>
      </c>
      <c r="C30" s="3527" t="s">
        <v>3746</v>
      </c>
      <c r="D30" s="3527" t="s">
        <v>3747</v>
      </c>
      <c r="E30" s="3527" t="s">
        <v>3748</v>
      </c>
      <c r="F30" s="3517" t="s">
        <v>3749</v>
      </c>
      <c r="G30" s="3527" t="s">
        <v>3750</v>
      </c>
      <c r="H30" s="3527" t="s">
        <v>3565</v>
      </c>
      <c r="I30" s="3540" t="s">
        <v>3751</v>
      </c>
      <c r="J30" s="3497">
        <f>K30*0.149+K30</f>
        <v>91.92</v>
      </c>
      <c r="K30" s="3527">
        <v>80</v>
      </c>
      <c r="L30" s="3527">
        <v>1</v>
      </c>
      <c r="M30" s="3547">
        <v>5000</v>
      </c>
      <c r="N30" s="3541">
        <f>Q30/365/K30</f>
        <v>0.59332191780821919</v>
      </c>
      <c r="O30" s="3527" t="s">
        <v>43</v>
      </c>
      <c r="P30" s="3542">
        <v>1443.75</v>
      </c>
      <c r="Q30" s="3541">
        <v>17325</v>
      </c>
      <c r="R30" s="3548" t="s">
        <v>3583</v>
      </c>
      <c r="S30" s="3542" t="s">
        <v>3657</v>
      </c>
      <c r="T30" s="3548" t="s">
        <v>43</v>
      </c>
      <c r="U30" s="3517" t="s">
        <v>3752</v>
      </c>
      <c r="V30" s="3517" t="s">
        <v>3753</v>
      </c>
      <c r="W30" s="3527" t="s">
        <v>43</v>
      </c>
      <c r="X30" s="3527" t="s">
        <v>43</v>
      </c>
      <c r="Y30" s="3527" t="s">
        <v>43</v>
      </c>
      <c r="Z30" s="3527" t="s">
        <v>43</v>
      </c>
      <c r="AA30" s="3517" t="s">
        <v>3752</v>
      </c>
      <c r="AB30" s="3527"/>
      <c r="AC30" s="3507">
        <f t="shared" si="0"/>
        <v>0.5</v>
      </c>
      <c r="AD30" s="3551" t="s">
        <v>3791</v>
      </c>
    </row>
    <row r="31" spans="1:72" s="3507" customFormat="1" ht="34.5" hidden="1">
      <c r="A31" s="3494">
        <v>26</v>
      </c>
      <c r="B31" s="3510" t="s">
        <v>3634</v>
      </c>
      <c r="C31" s="3510" t="s">
        <v>3754</v>
      </c>
      <c r="D31" s="3510" t="s">
        <v>3755</v>
      </c>
      <c r="E31" s="3510" t="s">
        <v>3756</v>
      </c>
      <c r="F31" s="3510" t="s">
        <v>3757</v>
      </c>
      <c r="G31" s="3510" t="s">
        <v>3758</v>
      </c>
      <c r="H31" s="3510" t="s">
        <v>3565</v>
      </c>
      <c r="I31" s="3510" t="s">
        <v>3751</v>
      </c>
      <c r="J31" s="3565">
        <f>K31*0.149+K31</f>
        <v>59.747999999999998</v>
      </c>
      <c r="K31" s="3510">
        <v>52</v>
      </c>
      <c r="L31" s="3510">
        <v>1</v>
      </c>
      <c r="M31" s="3510">
        <v>0</v>
      </c>
      <c r="N31" s="3566">
        <f>Q31/365/K31</f>
        <v>1.5806111696522653</v>
      </c>
      <c r="O31" s="3510" t="s">
        <v>43</v>
      </c>
      <c r="P31" s="3510">
        <v>2500</v>
      </c>
      <c r="Q31" s="3510">
        <v>30000</v>
      </c>
      <c r="R31" s="3510" t="s">
        <v>43</v>
      </c>
      <c r="S31" s="3510" t="s">
        <v>3657</v>
      </c>
      <c r="T31" s="3510" t="s">
        <v>43</v>
      </c>
      <c r="U31" s="3510" t="s">
        <v>3759</v>
      </c>
      <c r="V31" s="3510" t="s">
        <v>3760</v>
      </c>
      <c r="W31" s="3510" t="s">
        <v>43</v>
      </c>
      <c r="X31" s="3510" t="s">
        <v>43</v>
      </c>
      <c r="Y31" s="3510" t="s">
        <v>43</v>
      </c>
      <c r="Z31" s="3510" t="s">
        <v>43</v>
      </c>
      <c r="AA31" s="3510" t="s">
        <v>3759</v>
      </c>
      <c r="AB31" s="3510" t="s">
        <v>3761</v>
      </c>
      <c r="AC31" s="3507">
        <f t="shared" si="0"/>
        <v>1.4</v>
      </c>
      <c r="AD31" s="3551" t="s">
        <v>3791</v>
      </c>
    </row>
    <row r="32" spans="1:72" s="3507" customFormat="1" ht="34.5">
      <c r="A32" s="3494">
        <v>27</v>
      </c>
      <c r="B32" s="3494" t="s">
        <v>3559</v>
      </c>
      <c r="C32" s="3494" t="s">
        <v>3762</v>
      </c>
      <c r="D32" s="3494" t="s">
        <v>3755</v>
      </c>
      <c r="E32" s="3494" t="s">
        <v>3763</v>
      </c>
      <c r="F32" s="3494" t="s">
        <v>3764</v>
      </c>
      <c r="G32" s="3494" t="s">
        <v>3765</v>
      </c>
      <c r="H32" s="3494" t="s">
        <v>3565</v>
      </c>
      <c r="I32" s="3496" t="s">
        <v>3751</v>
      </c>
      <c r="J32" s="3497">
        <v>44</v>
      </c>
      <c r="K32" s="3494">
        <v>38</v>
      </c>
      <c r="L32" s="3494">
        <v>1</v>
      </c>
      <c r="M32" s="3494">
        <v>0</v>
      </c>
      <c r="N32" s="3499">
        <v>0.6</v>
      </c>
      <c r="O32" s="3494">
        <v>0.2</v>
      </c>
      <c r="P32" s="3494">
        <v>924.67</v>
      </c>
      <c r="Q32" s="3494">
        <v>11096</v>
      </c>
      <c r="R32" s="3494" t="s">
        <v>43</v>
      </c>
      <c r="S32" s="3494" t="s">
        <v>3568</v>
      </c>
      <c r="T32" s="3494" t="s">
        <v>43</v>
      </c>
      <c r="U32" s="3494" t="s">
        <v>3671</v>
      </c>
      <c r="V32" s="3494" t="s">
        <v>3669</v>
      </c>
      <c r="W32" s="3494" t="s">
        <v>3671</v>
      </c>
      <c r="X32" s="3512" t="s">
        <v>3766</v>
      </c>
      <c r="Y32" s="3494" t="s">
        <v>3671</v>
      </c>
      <c r="Z32" s="3512" t="s">
        <v>3766</v>
      </c>
      <c r="AA32" s="3494" t="s">
        <v>3767</v>
      </c>
      <c r="AB32" s="3494"/>
      <c r="AC32" s="3507">
        <f t="shared" si="0"/>
        <v>0.7</v>
      </c>
      <c r="AD32" s="3551" t="s">
        <v>3791</v>
      </c>
    </row>
    <row r="33" spans="1:45" s="3567" customFormat="1" ht="42" customHeight="1">
      <c r="A33" s="3494">
        <v>28</v>
      </c>
      <c r="B33" s="3494" t="s">
        <v>3559</v>
      </c>
      <c r="C33" s="3494" t="s">
        <v>3768</v>
      </c>
      <c r="D33" s="3494" t="s">
        <v>3755</v>
      </c>
      <c r="E33" s="3494" t="s">
        <v>3763</v>
      </c>
      <c r="F33" s="3494" t="s">
        <v>3764</v>
      </c>
      <c r="G33" s="3494" t="s">
        <v>3765</v>
      </c>
      <c r="H33" s="3494" t="s">
        <v>3565</v>
      </c>
      <c r="I33" s="3494" t="s">
        <v>3751</v>
      </c>
      <c r="J33" s="3497">
        <v>60</v>
      </c>
      <c r="K33" s="3494">
        <v>52</v>
      </c>
      <c r="L33" s="3494">
        <v>1</v>
      </c>
      <c r="M33" s="3498">
        <v>0</v>
      </c>
      <c r="N33" s="3499">
        <v>1.38</v>
      </c>
      <c r="O33" s="3494">
        <v>0.2</v>
      </c>
      <c r="P33" s="3504">
        <v>2500</v>
      </c>
      <c r="Q33" s="3499">
        <v>30000</v>
      </c>
      <c r="R33" s="3505" t="s">
        <v>43</v>
      </c>
      <c r="S33" s="3504" t="s">
        <v>3568</v>
      </c>
      <c r="T33" s="3505" t="s">
        <v>43</v>
      </c>
      <c r="U33" s="3494" t="s">
        <v>3769</v>
      </c>
      <c r="V33" s="3494" t="s">
        <v>3770</v>
      </c>
      <c r="W33" s="3539" t="s">
        <v>3771</v>
      </c>
      <c r="X33" s="3539" t="s">
        <v>3772</v>
      </c>
      <c r="Y33" s="3539" t="s">
        <v>3771</v>
      </c>
      <c r="Z33" s="3539" t="s">
        <v>3772</v>
      </c>
      <c r="AA33" s="3494" t="s">
        <v>3773</v>
      </c>
      <c r="AB33" s="3494"/>
      <c r="AC33" s="3507">
        <f t="shared" si="0"/>
        <v>1.4</v>
      </c>
      <c r="AD33" s="3551" t="s">
        <v>3791</v>
      </c>
      <c r="AM33" s="3507"/>
      <c r="AN33" s="3507"/>
      <c r="AO33" s="3507"/>
      <c r="AP33" s="3507"/>
      <c r="AQ33" s="3507"/>
      <c r="AR33" s="3507"/>
      <c r="AS33" s="3507"/>
    </row>
    <row r="34" spans="1:45">
      <c r="I34" s="3568" t="s">
        <v>3799</v>
      </c>
      <c r="J34" s="3569">
        <f>J6+J7+J8+J9+J10+J11+J12+J13+J14+J15+J19+J20+J21+J22+J23+J24+J25+J26+J27+J30+J32+J33</f>
        <v>3296.5325000000003</v>
      </c>
      <c r="Q34" s="3569">
        <f>Q6+Q7+Q8+Q9+Q10+Q11+Q12+Q13+167900+Q15+Q19+Q20+Q21+Q22+Q23+Q24+Q25+Q26+Q27+Q30+Q32+Q33</f>
        <v>2188722.35</v>
      </c>
    </row>
    <row r="35" spans="1:45">
      <c r="Q35" s="3571">
        <f>Q34/J34/365</f>
        <v>1.8190324497152981</v>
      </c>
    </row>
    <row r="36" spans="1:45">
      <c r="I36" s="3568" t="s">
        <v>3800</v>
      </c>
      <c r="J36" s="3569">
        <f>'数据-汇总表'!E3</f>
        <v>4460</v>
      </c>
      <c r="Q36" s="3571">
        <f>Q35*J37</f>
        <v>1.3445066343141472</v>
      </c>
    </row>
    <row r="37" spans="1:45">
      <c r="J37" s="3575">
        <f>J34/J36</f>
        <v>0.7391328475336324</v>
      </c>
    </row>
  </sheetData>
  <mergeCells count="26">
    <mergeCell ref="O3:O5"/>
    <mergeCell ref="A1:AB1"/>
    <mergeCell ref="A3:A5"/>
    <mergeCell ref="B3:B5"/>
    <mergeCell ref="C3:C5"/>
    <mergeCell ref="D3:D5"/>
    <mergeCell ref="E3:E4"/>
    <mergeCell ref="F3:F5"/>
    <mergeCell ref="G3:G5"/>
    <mergeCell ref="H3:H5"/>
    <mergeCell ref="I3:I5"/>
    <mergeCell ref="J3:J4"/>
    <mergeCell ref="K3:K5"/>
    <mergeCell ref="L3:L5"/>
    <mergeCell ref="M3:M5"/>
    <mergeCell ref="N3:N5"/>
    <mergeCell ref="AB3:AB4"/>
    <mergeCell ref="U4:V4"/>
    <mergeCell ref="W4:X4"/>
    <mergeCell ref="Y4:Z4"/>
    <mergeCell ref="P3:P5"/>
    <mergeCell ref="Q3:Q5"/>
    <mergeCell ref="R3:R4"/>
    <mergeCell ref="S3:S4"/>
    <mergeCell ref="T3:T4"/>
    <mergeCell ref="U3:AA3"/>
  </mergeCells>
  <phoneticPr fontId="134" type="noConversion"/>
  <printOptions horizontalCentered="1" verticalCentered="1"/>
  <pageMargins left="7.8472222222222221E-2" right="7.8472222222222221E-2" top="0.27500000000000002" bottom="0.27500000000000002" header="0.19652777777777777" footer="0.19652777777777777"/>
  <pageSetup paperSize="8" scale="58" orientation="landscape" verticalDpi="0" r:id="rId1"/>
  <headerFooter alignWithMargins="0"/>
  <rowBreaks count="2" manualBreakCount="2">
    <brk id="33" max="16383" man="1"/>
    <brk id="3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E14" sqref="E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4460</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45706</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SUM(D14:D23)</f>
        <v>3370</v>
      </c>
      <c r="C5" s="2510">
        <f ca="1">IF(B5=D14,结果表!H102,ROUND(B5*10000/$B$1,0))</f>
        <v>7559</v>
      </c>
      <c r="D5" s="2510" t="e">
        <f>ROUND(B5*10000/$B$2,0)</f>
        <v>#DIV/0!</v>
      </c>
      <c r="E5" s="2683"/>
      <c r="F5" s="2684"/>
      <c r="G5" s="2684"/>
      <c r="H5" s="2685"/>
      <c r="I5" s="2685"/>
      <c r="J5" s="2685"/>
      <c r="K5" s="2685"/>
    </row>
    <row r="6" spans="1:11" ht="16.5">
      <c r="A6" s="2510" t="s">
        <v>656</v>
      </c>
      <c r="B6" s="2510">
        <f>SUM(G14:G23)</f>
        <v>3370</v>
      </c>
      <c r="C6" s="2510">
        <f ca="1">IF(B6=G14,结果表!H108,ROUND(B6*10000/$B$1,0))</f>
        <v>7559</v>
      </c>
      <c r="D6" s="2510" t="e">
        <f>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3353</v>
      </c>
      <c r="D10" s="2510" t="s">
        <v>3354</v>
      </c>
      <c r="E10" s="3438"/>
      <c r="F10" s="3442" t="s">
        <v>3355</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t="s">
        <v>3794</v>
      </c>
      <c r="D12" s="2683">
        <v>3659</v>
      </c>
      <c r="E12" s="2683">
        <f>D14*1.1</f>
        <v>3707.0000000000005</v>
      </c>
      <c r="F12" s="2684">
        <f>D12/D14</f>
        <v>1.0857566765578635</v>
      </c>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'数据-汇总表'!E3</f>
        <v>4460</v>
      </c>
      <c r="C14" s="2516"/>
      <c r="D14" s="2516">
        <v>3370</v>
      </c>
      <c r="E14" s="2516">
        <f>ROUND(D14*10000/B14,0)</f>
        <v>7556</v>
      </c>
      <c r="F14" s="2516" t="e">
        <f>ROUND(D14*10000/C14,0)</f>
        <v>#DIV/0!</v>
      </c>
      <c r="G14" s="2516">
        <f>D14</f>
        <v>3370</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0"/>
      <c r="H15" s="1330"/>
      <c r="I15" s="2517"/>
      <c r="J15" s="2684"/>
      <c r="K15" s="2685"/>
    </row>
    <row r="16" spans="1:11" ht="16.5">
      <c r="A16" s="2515" t="s">
        <v>648</v>
      </c>
      <c r="B16" s="2517"/>
      <c r="C16" s="2517"/>
      <c r="D16" s="2517"/>
      <c r="E16" s="2516" t="e">
        <f t="shared" si="0"/>
        <v>#DIV/0!</v>
      </c>
      <c r="F16" s="2516" t="e">
        <f t="shared" si="1"/>
        <v>#DIV/0!</v>
      </c>
      <c r="G16" s="1330"/>
      <c r="H16" s="1330"/>
      <c r="I16" s="2517"/>
      <c r="J16" s="2685"/>
      <c r="K16" s="2685"/>
    </row>
    <row r="17" spans="1:11" ht="16.5">
      <c r="A17" s="2515" t="s">
        <v>647</v>
      </c>
      <c r="B17" s="2517"/>
      <c r="C17" s="2517"/>
      <c r="D17" s="2517"/>
      <c r="E17" s="2516" t="e">
        <f t="shared" si="0"/>
        <v>#DIV/0!</v>
      </c>
      <c r="F17" s="2516" t="e">
        <f t="shared" si="1"/>
        <v>#DIV/0!</v>
      </c>
      <c r="G17" s="1330"/>
      <c r="H17" s="1330"/>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L21" sqref="L21"/>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3408</v>
      </c>
      <c r="H1" s="1749" t="str">
        <f>IF(G1="现房","——","估价对象范围")</f>
        <v>——</v>
      </c>
      <c r="I1" s="1750"/>
    </row>
    <row r="2" spans="1:12" ht="21.75" customHeight="1" thickBot="1">
      <c r="A2" s="3749" t="str">
        <f>项目基本情况!S2</f>
        <v>北京市延庆区延庆镇东街2号（北侧）-1层地下室等[2]套商业用房房地产</v>
      </c>
      <c r="B2" s="3750"/>
      <c r="C2" s="3750"/>
      <c r="D2" s="3750"/>
      <c r="E2" s="3750"/>
      <c r="F2" s="3750"/>
      <c r="G2" s="3750"/>
      <c r="H2" s="3750"/>
      <c r="I2" s="3751"/>
    </row>
    <row r="3" spans="1:12" ht="12.75">
      <c r="A3" s="3753" t="s">
        <v>1264</v>
      </c>
      <c r="B3" s="3754"/>
      <c r="C3" s="3754"/>
      <c r="D3" s="3754"/>
      <c r="E3" s="3754"/>
      <c r="F3" s="3754"/>
      <c r="G3" s="3754"/>
      <c r="H3" s="3754"/>
      <c r="I3" s="3754"/>
    </row>
    <row r="4" spans="1:12" ht="14.25">
      <c r="A4" s="1753" t="s">
        <v>1265</v>
      </c>
      <c r="B4" s="1754" t="s">
        <v>1266</v>
      </c>
      <c r="C4" s="1755" t="s">
        <v>3786</v>
      </c>
      <c r="D4" s="1755" t="s">
        <v>3785</v>
      </c>
      <c r="E4" s="3758" t="s">
        <v>1267</v>
      </c>
      <c r="F4" s="3759"/>
      <c r="G4" s="3759"/>
      <c r="H4" s="3759"/>
      <c r="I4" s="376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97" t="s">
        <v>1268</v>
      </c>
      <c r="B5" s="3752">
        <v>25</v>
      </c>
      <c r="C5" s="3755"/>
      <c r="D5" s="3743"/>
      <c r="E5" s="131" t="s">
        <v>1269</v>
      </c>
      <c r="F5" s="1756"/>
      <c r="G5" s="1756"/>
      <c r="H5" s="1756"/>
      <c r="I5" s="1372"/>
    </row>
    <row r="6" spans="1:12" ht="12.75">
      <c r="A6" s="3697"/>
      <c r="B6" s="3752"/>
      <c r="C6" s="3757"/>
      <c r="D6" s="3743"/>
      <c r="E6" s="131" t="s">
        <v>1270</v>
      </c>
      <c r="F6" s="1756"/>
      <c r="G6" s="1756"/>
      <c r="H6" s="1756"/>
      <c r="I6" s="1372"/>
    </row>
    <row r="7" spans="1:12" ht="12.75">
      <c r="A7" s="3697"/>
      <c r="B7" s="3752"/>
      <c r="C7" s="3756"/>
      <c r="D7" s="3743"/>
      <c r="E7" s="131" t="s">
        <v>1271</v>
      </c>
      <c r="F7" s="1756"/>
      <c r="G7" s="1756"/>
      <c r="H7" s="1756"/>
      <c r="I7" s="1372"/>
    </row>
    <row r="8" spans="1:12" ht="12.75">
      <c r="A8" s="3697" t="s">
        <v>1272</v>
      </c>
      <c r="B8" s="3752">
        <v>15</v>
      </c>
      <c r="C8" s="3755"/>
      <c r="D8" s="3743"/>
      <c r="E8" s="131" t="s">
        <v>1273</v>
      </c>
      <c r="F8" s="1756"/>
      <c r="G8" s="1756"/>
      <c r="H8" s="1756"/>
      <c r="I8" s="1372"/>
    </row>
    <row r="9" spans="1:12" ht="12.75">
      <c r="A9" s="3697"/>
      <c r="B9" s="3752"/>
      <c r="C9" s="3756"/>
      <c r="D9" s="3743"/>
      <c r="E9" s="131" t="s">
        <v>1274</v>
      </c>
      <c r="F9" s="1756"/>
      <c r="G9" s="1756"/>
      <c r="H9" s="1756"/>
      <c r="I9" s="1372"/>
    </row>
    <row r="10" spans="1:12" ht="12.75">
      <c r="A10" s="3697" t="s">
        <v>1275</v>
      </c>
      <c r="B10" s="3752">
        <v>15</v>
      </c>
      <c r="C10" s="3755"/>
      <c r="D10" s="3743"/>
      <c r="E10" s="131" t="s">
        <v>1276</v>
      </c>
      <c r="F10" s="1756"/>
      <c r="G10" s="1756"/>
      <c r="H10" s="1756"/>
      <c r="I10" s="1372"/>
    </row>
    <row r="11" spans="1:12" ht="12.75">
      <c r="A11" s="3697"/>
      <c r="B11" s="3752"/>
      <c r="C11" s="3756"/>
      <c r="D11" s="3743"/>
      <c r="E11" s="131" t="s">
        <v>1277</v>
      </c>
      <c r="F11" s="1756"/>
      <c r="G11" s="1756"/>
      <c r="H11" s="1756"/>
      <c r="I11" s="1372"/>
    </row>
    <row r="12" spans="1:12" ht="12.75">
      <c r="A12" s="3697" t="s">
        <v>1278</v>
      </c>
      <c r="B12" s="3752">
        <v>15</v>
      </c>
      <c r="C12" s="3755"/>
      <c r="D12" s="3743"/>
      <c r="E12" s="131" t="s">
        <v>1279</v>
      </c>
      <c r="F12" s="1756"/>
      <c r="G12" s="1756"/>
      <c r="H12" s="1756"/>
      <c r="I12" s="1372"/>
    </row>
    <row r="13" spans="1:12" ht="12.75">
      <c r="A13" s="3697"/>
      <c r="B13" s="3752"/>
      <c r="C13" s="3756"/>
      <c r="D13" s="3743"/>
      <c r="E13" s="131" t="s">
        <v>1280</v>
      </c>
      <c r="F13" s="1756"/>
      <c r="G13" s="1756"/>
      <c r="H13" s="1756"/>
      <c r="I13" s="1372"/>
    </row>
    <row r="14" spans="1:12" ht="12.75">
      <c r="A14" s="3697" t="s">
        <v>1281</v>
      </c>
      <c r="B14" s="3752">
        <v>30</v>
      </c>
      <c r="C14" s="3755">
        <v>6</v>
      </c>
      <c r="D14" s="3743">
        <v>4</v>
      </c>
      <c r="E14" s="131" t="s">
        <v>1282</v>
      </c>
      <c r="F14" s="1756"/>
      <c r="G14" s="1756"/>
      <c r="H14" s="1756"/>
      <c r="I14" s="1372"/>
    </row>
    <row r="15" spans="1:12" ht="12.75">
      <c r="A15" s="3697"/>
      <c r="B15" s="3752"/>
      <c r="C15" s="3757"/>
      <c r="D15" s="3743"/>
      <c r="E15" s="131" t="s">
        <v>1283</v>
      </c>
      <c r="F15" s="1756"/>
      <c r="G15" s="1756"/>
      <c r="H15" s="1756"/>
      <c r="I15" s="1372"/>
    </row>
    <row r="16" spans="1:12" ht="12.75">
      <c r="A16" s="3697"/>
      <c r="B16" s="3752"/>
      <c r="C16" s="3756"/>
      <c r="D16" s="3743"/>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774" t="s">
        <v>2130</v>
      </c>
      <c r="F18" s="3775"/>
      <c r="G18" s="3775"/>
      <c r="H18" s="3775"/>
      <c r="I18" s="3775"/>
      <c r="J18" s="3574" t="s">
        <v>3795</v>
      </c>
      <c r="K18" s="302" t="s">
        <v>1289</v>
      </c>
      <c r="L18" s="302">
        <f>IF(C1="",'数据-汇总表'!E3,SUMIF(项目类型,C1,'数据-汇总表'!E17:E26)+SUMIF(项目类型,C1,'数据-汇总表'!I17:I26))</f>
        <v>4460</v>
      </c>
      <c r="M18" s="302">
        <f>IF(C1="",'数据-汇总表'!E3,SUMIF(项目类型,C1,'数据-汇总表'!E17:E26))</f>
        <v>4460</v>
      </c>
    </row>
    <row r="19" spans="1:36" ht="15">
      <c r="A19" s="1760" t="s">
        <v>1290</v>
      </c>
      <c r="B19" s="1761" t="s">
        <v>1291</v>
      </c>
      <c r="C19" s="134">
        <f ca="1">SUMIF(INDIRECT("'"&amp;C4&amp;"'"&amp;"!A:A"),结果表!B19,INDIRECT("'"&amp;C4&amp;"'"&amp;"!B:B"))</f>
        <v>3796</v>
      </c>
      <c r="D19" s="135">
        <f ca="1">SUMIF(INDIRECT("'"&amp;D4&amp;"'"&amp;"!A:A"),结果表!B19,INDIRECT("'"&amp;D4&amp;"'"&amp;"!B:B"))</f>
        <v>2734</v>
      </c>
      <c r="E19" s="1760" t="s">
        <v>1292</v>
      </c>
      <c r="F19" s="1761" t="s">
        <v>1291</v>
      </c>
      <c r="G19" s="136">
        <f ca="1">ROUND(C19*$C$18+D19*$D$18,0)</f>
        <v>3371</v>
      </c>
      <c r="H19" s="1762" t="s">
        <v>1293</v>
      </c>
      <c r="I19" s="129"/>
      <c r="J19" s="724">
        <v>3659</v>
      </c>
      <c r="K19" s="302" t="s">
        <v>1294</v>
      </c>
      <c r="L19" s="302">
        <f>IF(C1="",'数据-汇总表'!D3,SUMIF(项目类型,C1,'数据-汇总表'!D17:D26)+SUMIF(项目类型,C1,'数据-汇总表'!H17:H27))</f>
        <v>1510.07</v>
      </c>
      <c r="M19" s="302">
        <f>IF(C1="",'数据-汇总表'!D3,SUMIF(项目类型,C1,'数据-汇总表'!D17:D26))</f>
        <v>1510.07</v>
      </c>
    </row>
    <row r="20" spans="1:36" ht="15">
      <c r="A20" s="1763"/>
      <c r="B20" s="1025" t="s">
        <v>1295</v>
      </c>
      <c r="C20" s="137">
        <f ca="1">SUMIF(INDIRECT("'"&amp;C4&amp;"'"&amp;"!A:A"),结果表!B20,INDIRECT("'"&amp;C4&amp;"'"&amp;"!B:B"))</f>
        <v>8511</v>
      </c>
      <c r="D20" s="138">
        <f ca="1">SUMIF(INDIRECT("'"&amp;D4&amp;"'"&amp;"!A:A"),结果表!B20,INDIRECT("'"&amp;D4&amp;"'"&amp;"!B:B"))</f>
        <v>6130</v>
      </c>
      <c r="E20" s="1763"/>
      <c r="F20" s="1025" t="s">
        <v>1295</v>
      </c>
      <c r="G20" s="139">
        <f ca="1">ROUND(C20*$C$18+D20*$D$18,0)</f>
        <v>7559</v>
      </c>
      <c r="H20" s="807" t="s">
        <v>1296</v>
      </c>
      <c r="I20" s="129"/>
      <c r="J20" s="724">
        <v>8204</v>
      </c>
    </row>
    <row r="21" spans="1:36" ht="15" customHeight="1" thickBot="1">
      <c r="A21" s="827"/>
      <c r="B21" s="1764" t="s">
        <v>1297</v>
      </c>
      <c r="C21" s="718">
        <f ca="1">ROUND(C19*10000/L19,0)</f>
        <v>25138</v>
      </c>
      <c r="D21" s="719">
        <f ca="1">ROUND(D19*10000/L19,0)</f>
        <v>18105</v>
      </c>
      <c r="E21" s="827"/>
      <c r="F21" s="1764" t="s">
        <v>1297</v>
      </c>
      <c r="G21" s="140">
        <f ca="1">ROUND(G19*10000/L19,0)</f>
        <v>22323</v>
      </c>
      <c r="H21" s="1765" t="s">
        <v>1296</v>
      </c>
      <c r="I21" s="129">
        <f ca="1">G20/0.65</f>
        <v>11629.23076923077</v>
      </c>
      <c r="J21" s="3574" t="s">
        <v>3796</v>
      </c>
      <c r="L21" s="724">
        <f>J19/3350</f>
        <v>1.0922388059701493</v>
      </c>
    </row>
    <row r="22" spans="1:36" ht="15" thickBot="1">
      <c r="A22" s="1687" t="s">
        <v>1298</v>
      </c>
      <c r="B22" s="1766"/>
      <c r="C22" s="1767"/>
      <c r="D22" s="720">
        <f ca="1">IF(C19&lt;D19,D19/C19-1,C19/D19-1)</f>
        <v>0.38844184345281629</v>
      </c>
      <c r="E22" s="129"/>
      <c r="F22" s="129"/>
      <c r="G22" s="129"/>
      <c r="H22" s="129"/>
      <c r="I22" s="129"/>
      <c r="J22" s="724">
        <f ca="1">G19*1.1</f>
        <v>3708.1000000000004</v>
      </c>
      <c r="L22" s="724">
        <f ca="1">J19/G19</f>
        <v>1.0854345891426875</v>
      </c>
    </row>
    <row r="23" spans="1:36" ht="13.5" thickBot="1">
      <c r="A23" s="1746"/>
      <c r="B23" s="1746"/>
      <c r="C23" s="1746"/>
      <c r="D23" s="1746"/>
      <c r="E23" s="129"/>
      <c r="F23" s="129"/>
      <c r="G23" s="129"/>
      <c r="H23" s="129"/>
      <c r="I23" s="129"/>
      <c r="J23" s="724">
        <f>3350*1.1</f>
        <v>3685.0000000000005</v>
      </c>
    </row>
    <row r="24" spans="1:36" ht="14.25">
      <c r="A24" s="3767" t="s">
        <v>1299</v>
      </c>
      <c r="B24" s="1761" t="s">
        <v>1291</v>
      </c>
      <c r="C24" s="136">
        <f>IF(B30=0,0,D30)</f>
        <v>0</v>
      </c>
      <c r="D24" s="1768"/>
      <c r="E24" s="129"/>
      <c r="F24" s="129"/>
      <c r="G24" s="129"/>
      <c r="H24" s="129"/>
      <c r="I24" s="129"/>
    </row>
    <row r="25" spans="1:36" ht="14.25">
      <c r="A25" s="3768"/>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7559</v>
      </c>
      <c r="D32" s="1774" t="s">
        <v>3431</v>
      </c>
      <c r="E32" s="129"/>
      <c r="F32" s="129"/>
      <c r="G32" s="129"/>
      <c r="H32" s="129"/>
      <c r="I32" s="129"/>
    </row>
    <row r="33" spans="1:15" ht="15">
      <c r="A33" s="785" t="s">
        <v>1306</v>
      </c>
      <c r="B33" s="1775"/>
      <c r="C33" s="1776" t="s">
        <v>3430</v>
      </c>
      <c r="D33" s="1777" t="s">
        <v>3786</v>
      </c>
      <c r="E33" s="1778" t="s">
        <v>1307</v>
      </c>
      <c r="F33" s="1779" t="str">
        <f>IF(D32="楼面单价","取值（单价）","取值（总价）")</f>
        <v>取值（单价）</v>
      </c>
      <c r="G33" s="129"/>
      <c r="H33" s="129"/>
      <c r="I33" s="129"/>
    </row>
    <row r="34" spans="1:15" ht="15">
      <c r="A34" s="1780"/>
      <c r="B34" s="1781" t="s">
        <v>1308</v>
      </c>
      <c r="C34" s="148">
        <f ca="1">IF(C33="自定义",F34,C32-C35)</f>
        <v>4815</v>
      </c>
      <c r="D34" s="860">
        <f ca="1">IF(C33="自定义",ROUND(C34/C32,3),IF(C33="收益比率",SUMIF(INDIRECT("'"&amp;D33&amp;"'"&amp;"!b:b"),"土地收益比率",INDIRECT("'"&amp;D33&amp;"'"&amp;"!c:c")),SUMIF(INDIRECT("'"&amp;D33&amp;"'"&amp;"!b:b"),"土地成本比率",INDIRECT("'"&amp;D33&amp;"'"&amp;"!c:c"))))</f>
        <v>0.63700000000000001</v>
      </c>
      <c r="E34" s="1782" t="s">
        <v>1309</v>
      </c>
      <c r="F34" s="1329"/>
      <c r="G34" s="129"/>
      <c r="H34" s="129"/>
      <c r="I34" s="129"/>
    </row>
    <row r="35" spans="1:15" ht="15.75" thickBot="1">
      <c r="A35" s="1783"/>
      <c r="B35" s="1784" t="s">
        <v>1310</v>
      </c>
      <c r="C35" s="1169">
        <f ca="1">IF(C33="自定义",F35,ROUND(C32*D35,0))</f>
        <v>2744</v>
      </c>
      <c r="D35" s="1170">
        <f ca="1">IF(C33="自定义",ROUND(C35/C32,3),IF(C33="收益比率",SUMIF(INDIRECT("'"&amp;D33&amp;"'"&amp;"!b:b"),"建筑物收益比率",INDIRECT("'"&amp;D33&amp;"'"&amp;"!c:c")),SUMIF(INDIRECT("'"&amp;D33&amp;"'"&amp;"!b:b"),"建筑物成本比率",INDIRECT("'"&amp;D33&amp;"'"&amp;"!c:c"))))</f>
        <v>0.36299999999999999</v>
      </c>
      <c r="E35" s="1785" t="s">
        <v>1311</v>
      </c>
      <c r="F35" s="154"/>
      <c r="G35" s="129"/>
      <c r="H35" s="129"/>
      <c r="I35" s="129"/>
    </row>
    <row r="36" spans="1:15" ht="15.75" thickBot="1">
      <c r="A36" s="3744" t="s">
        <v>1312</v>
      </c>
      <c r="B36" s="1786" t="s">
        <v>1313</v>
      </c>
      <c r="C36" s="145"/>
      <c r="D36" s="1787"/>
      <c r="E36" s="1788"/>
      <c r="F36" s="1789"/>
      <c r="G36" s="129"/>
      <c r="H36" s="129"/>
      <c r="I36" s="129"/>
    </row>
    <row r="37" spans="1:15" ht="15.75" thickBot="1">
      <c r="A37" s="3745"/>
      <c r="B37" s="1673" t="s">
        <v>1314</v>
      </c>
      <c r="C37" s="147"/>
      <c r="D37" s="1138"/>
      <c r="E37" s="1138"/>
      <c r="F37" s="1789"/>
      <c r="G37" s="129"/>
      <c r="H37" s="129"/>
      <c r="I37" s="129"/>
    </row>
    <row r="38" spans="1:15" ht="15.75" thickBot="1">
      <c r="A38" s="374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764" t="s">
        <v>1326</v>
      </c>
      <c r="B45" s="3765"/>
      <c r="C45" s="3766"/>
      <c r="D45" s="155">
        <f ca="1">ROUND(H101*F45,0)</f>
        <v>3371</v>
      </c>
      <c r="E45" s="156" t="s">
        <v>1327</v>
      </c>
      <c r="F45" s="157">
        <v>1</v>
      </c>
      <c r="G45" s="158" t="s">
        <v>1328</v>
      </c>
      <c r="H45" s="129"/>
      <c r="I45" s="129"/>
      <c r="J45" s="3684" t="s">
        <v>1329</v>
      </c>
      <c r="K45" s="3684"/>
      <c r="L45" s="3684"/>
      <c r="M45" s="3684"/>
      <c r="N45" s="3684"/>
      <c r="O45" s="3684"/>
    </row>
    <row r="46" spans="1:15" ht="14.25" customHeight="1">
      <c r="A46" s="3761" t="s">
        <v>1330</v>
      </c>
      <c r="B46" s="3762"/>
      <c r="C46" s="3762"/>
      <c r="D46" s="3762"/>
      <c r="E46" s="3762"/>
      <c r="F46" s="3762"/>
      <c r="G46" s="3763"/>
      <c r="H46" s="1805"/>
      <c r="I46" s="159"/>
      <c r="J46" s="2521">
        <v>1</v>
      </c>
      <c r="K46" s="3685" t="s">
        <v>1331</v>
      </c>
      <c r="L46" s="3685"/>
      <c r="M46" s="3686"/>
      <c r="N46" s="3686"/>
      <c r="O46" s="3686"/>
    </row>
    <row r="47" spans="1:15" ht="12" customHeight="1">
      <c r="A47" s="160" t="s">
        <v>1332</v>
      </c>
      <c r="B47" s="161"/>
      <c r="C47" s="162"/>
      <c r="D47" s="1086" t="s">
        <v>1333</v>
      </c>
      <c r="E47" s="302" t="s">
        <v>1334</v>
      </c>
      <c r="F47" s="163" t="s">
        <v>1335</v>
      </c>
      <c r="G47" s="2544" t="s">
        <v>1336</v>
      </c>
      <c r="H47" s="2545"/>
      <c r="I47" s="159"/>
      <c r="J47" s="2521">
        <v>2</v>
      </c>
      <c r="K47" s="3685" t="s">
        <v>1337</v>
      </c>
      <c r="L47" s="3685"/>
      <c r="M47" s="3687">
        <f>'数据-取费表'!B2</f>
        <v>45706</v>
      </c>
      <c r="N47" s="3687"/>
      <c r="O47" s="3687"/>
    </row>
    <row r="48" spans="1:15" ht="25.5">
      <c r="A48" s="3747" t="s">
        <v>1338</v>
      </c>
      <c r="B48" s="3748"/>
      <c r="C48" s="3748"/>
      <c r="D48" s="2323" t="b">
        <f>IF(H48="情况1",0,IF(H48="情况2",D52,IF(H48="情况3",D53,IF(H48="情况4",D54))))</f>
        <v>0</v>
      </c>
      <c r="E48" s="2333" t="str">
        <f>IF(H48="情况4","(销售额-原购置价)×税（费）率","销售额×税（费）率")</f>
        <v>销售额×税（费）率</v>
      </c>
      <c r="F48" s="2546">
        <f>IF(H48="情况1","免征",'数据-取费表'!B41)</f>
        <v>5.6000000000000001E-2</v>
      </c>
      <c r="G48" s="2547" t="s">
        <v>1339</v>
      </c>
      <c r="H48" s="2548"/>
      <c r="I48" s="1805"/>
      <c r="J48" s="2521">
        <v>3</v>
      </c>
      <c r="K48" s="3685" t="s">
        <v>1340</v>
      </c>
      <c r="L48" s="3685"/>
      <c r="M48" s="3688">
        <f ca="1">H101</f>
        <v>3371</v>
      </c>
      <c r="N48" s="3688"/>
      <c r="O48" s="3688"/>
    </row>
    <row r="49" spans="1:35" ht="25.5" customHeight="1">
      <c r="A49" s="2332" t="s">
        <v>1341</v>
      </c>
      <c r="B49" s="3733" t="s">
        <v>1342</v>
      </c>
      <c r="C49" s="3733"/>
      <c r="D49" s="1589">
        <v>0</v>
      </c>
      <c r="E49" s="324" t="s">
        <v>1343</v>
      </c>
      <c r="F49" s="2422" t="s">
        <v>28</v>
      </c>
      <c r="G49" s="3716"/>
      <c r="H49" s="2309" t="s">
        <v>2133</v>
      </c>
      <c r="I49" s="2310"/>
      <c r="J49" s="2521">
        <v>4</v>
      </c>
      <c r="K49" s="3685" t="str">
        <f>IF(项目基本情况!E8="房地产抵押价值","房地产抵押价值","抵押担保权已注销时的房地产抵押价值")</f>
        <v>房地产抵押价值</v>
      </c>
      <c r="L49" s="3685"/>
      <c r="M49" s="3688">
        <f ca="1">IF(项目基本情况!E8="房地产抵押价值",H107,H109)</f>
        <v>3371</v>
      </c>
      <c r="N49" s="3688"/>
      <c r="O49" s="3688"/>
    </row>
    <row r="50" spans="1:35" ht="25.5" customHeight="1">
      <c r="A50" s="2549"/>
      <c r="B50" s="3733" t="s">
        <v>1344</v>
      </c>
      <c r="C50" s="3733"/>
      <c r="D50" s="2550"/>
      <c r="E50" s="332"/>
      <c r="F50" s="2422"/>
      <c r="G50" s="3717"/>
      <c r="H50" s="2311" t="s">
        <v>2134</v>
      </c>
      <c r="I50" s="2310"/>
      <c r="J50" s="3684" t="s">
        <v>1345</v>
      </c>
      <c r="K50" s="3684"/>
      <c r="L50" s="3684"/>
      <c r="M50" s="3684"/>
      <c r="N50" s="3684"/>
      <c r="O50" s="3684"/>
    </row>
    <row r="51" spans="1:35" ht="20.45" customHeight="1">
      <c r="A51" s="2551"/>
      <c r="B51" s="3733" t="s">
        <v>1346</v>
      </c>
      <c r="C51" s="3733"/>
      <c r="D51" s="1086"/>
      <c r="E51" s="327"/>
      <c r="F51" s="2422"/>
      <c r="G51" s="3718"/>
      <c r="H51" s="2311" t="s">
        <v>2135</v>
      </c>
      <c r="I51" s="2310"/>
      <c r="J51" s="2522" t="s">
        <v>1347</v>
      </c>
      <c r="K51" s="3685" t="s">
        <v>1348</v>
      </c>
      <c r="L51" s="3685"/>
      <c r="M51" s="2522" t="s">
        <v>1349</v>
      </c>
      <c r="N51" s="2522" t="s">
        <v>1350</v>
      </c>
      <c r="O51" s="2522" t="s">
        <v>1351</v>
      </c>
    </row>
    <row r="52" spans="1:35" ht="24" customHeight="1">
      <c r="A52" s="2334" t="s">
        <v>1352</v>
      </c>
      <c r="B52" s="3733" t="s">
        <v>1353</v>
      </c>
      <c r="C52" s="3733"/>
      <c r="D52" s="1086">
        <f ca="1">ROUND(D45*'数据-取费表'!B41/(1+'数据-取费表'!C42),0)</f>
        <v>180</v>
      </c>
      <c r="E52" s="2333" t="s">
        <v>1354</v>
      </c>
      <c r="F52" s="2552">
        <f>'数据-取费表'!B41</f>
        <v>5.6000000000000001E-2</v>
      </c>
      <c r="G52" s="2553"/>
      <c r="H52" s="2542"/>
      <c r="I52" s="1806"/>
      <c r="J52" s="2521">
        <v>1</v>
      </c>
      <c r="K52" s="3710" t="s">
        <v>1355</v>
      </c>
      <c r="L52" s="3710"/>
      <c r="M52" s="2523" t="b">
        <f>D48</f>
        <v>0</v>
      </c>
      <c r="N52" s="2521" t="str">
        <f>E48</f>
        <v>销售额×税（费）率</v>
      </c>
      <c r="O52" s="2524">
        <f>F48</f>
        <v>5.6000000000000001E-2</v>
      </c>
    </row>
    <row r="53" spans="1:35" ht="12" customHeight="1">
      <c r="A53" s="2334" t="s">
        <v>1356</v>
      </c>
      <c r="B53" s="3734" t="s">
        <v>2290</v>
      </c>
      <c r="C53" s="3735"/>
      <c r="D53" s="1086">
        <f ca="1">ROUND(D45*'数据-取费表'!B41/(1+'数据-取费表'!C42),0)</f>
        <v>180</v>
      </c>
      <c r="E53" s="2333" t="s">
        <v>1354</v>
      </c>
      <c r="F53" s="2552">
        <f>'数据-取费表'!B41</f>
        <v>5.6000000000000001E-2</v>
      </c>
      <c r="G53" s="2553"/>
      <c r="H53" s="2542"/>
      <c r="I53" s="1806"/>
      <c r="J53" s="2521">
        <v>2</v>
      </c>
      <c r="K53" s="3710" t="s">
        <v>1357</v>
      </c>
      <c r="L53" s="3710"/>
      <c r="M53" s="2523">
        <f t="shared" ref="M53:O54" ca="1" si="0">D55</f>
        <v>2</v>
      </c>
      <c r="N53" s="2521" t="str">
        <f t="shared" si="0"/>
        <v>销售额×税（费）率</v>
      </c>
      <c r="O53" s="2524" t="str">
        <f t="shared" si="0"/>
        <v>免征</v>
      </c>
    </row>
    <row r="54" spans="1:35" ht="12" customHeight="1">
      <c r="A54" s="2334" t="s">
        <v>1358</v>
      </c>
      <c r="B54" s="3734" t="s">
        <v>2291</v>
      </c>
      <c r="C54" s="3735"/>
      <c r="D54" s="1086">
        <f ca="1">C68</f>
        <v>180</v>
      </c>
      <c r="E54" s="327" t="s">
        <v>1359</v>
      </c>
      <c r="F54" s="2552">
        <f>'数据-取费表'!B41</f>
        <v>5.6000000000000001E-2</v>
      </c>
      <c r="G54" s="2553"/>
      <c r="H54" s="2554"/>
      <c r="I54" s="1806"/>
      <c r="J54" s="2521">
        <v>3</v>
      </c>
      <c r="K54" s="3710" t="s">
        <v>1360</v>
      </c>
      <c r="L54" s="3710"/>
      <c r="M54" s="2523">
        <f t="shared" ca="1" si="0"/>
        <v>1908</v>
      </c>
      <c r="N54" s="2521" t="str">
        <f t="shared" si="0"/>
        <v>增值额×税（费）率</v>
      </c>
      <c r="O54" s="2525" t="str">
        <f t="shared" si="0"/>
        <v>免征</v>
      </c>
    </row>
    <row r="55" spans="1:35" ht="24" customHeight="1">
      <c r="A55" s="3770" t="s">
        <v>1361</v>
      </c>
      <c r="B55" s="3748"/>
      <c r="C55" s="3748"/>
      <c r="D55" s="2323">
        <f ca="1">IF(H55="个人住宅",0,ROUND(D45*I55,0))</f>
        <v>2</v>
      </c>
      <c r="E55" s="2333" t="s">
        <v>1362</v>
      </c>
      <c r="F55" s="2552" t="str">
        <f>IF(H55="正常",I55,"免征")</f>
        <v>免征</v>
      </c>
      <c r="G55" s="2553"/>
      <c r="H55" s="2548"/>
      <c r="I55" s="165">
        <f>'数据-取费表'!B49</f>
        <v>5.0000000000000001E-4</v>
      </c>
      <c r="J55" s="2521">
        <f>IF(H59="非个人房产","",4)</f>
        <v>4</v>
      </c>
      <c r="K55" s="3710" t="str">
        <f>IF(H59="非个人房产","——","个人所得税")</f>
        <v>个人所得税</v>
      </c>
      <c r="L55" s="3710"/>
      <c r="M55" s="2526">
        <f ca="1">D59</f>
        <v>32</v>
      </c>
      <c r="N55" s="2039" t="str">
        <f>E59</f>
        <v>差额计税</v>
      </c>
      <c r="O55" s="2527">
        <f>F59</f>
        <v>0.01</v>
      </c>
    </row>
    <row r="56" spans="1:35" ht="24.75">
      <c r="A56" s="3770" t="s">
        <v>1363</v>
      </c>
      <c r="B56" s="3748"/>
      <c r="C56" s="3748"/>
      <c r="D56" s="2323">
        <f ca="1">IF(H56="个人住宅",D57,D58)</f>
        <v>1908</v>
      </c>
      <c r="E56" s="2333" t="s">
        <v>1364</v>
      </c>
      <c r="F56" s="2552" t="str">
        <f>IF(H56="正常",F58,"免征")</f>
        <v>免征</v>
      </c>
      <c r="G56" s="2555" t="s">
        <v>1365</v>
      </c>
      <c r="H56" s="2556"/>
      <c r="I56" s="1807"/>
      <c r="J56" s="2521" t="str">
        <f>IF(项目基本情况!K6="上海银行",IF(J55="",4,J55+1),"")</f>
        <v/>
      </c>
      <c r="K56" s="3691" t="str">
        <f>IF(项目基本情况!K6="上海银行","其他处置费用","")</f>
        <v/>
      </c>
      <c r="L56" s="3692"/>
      <c r="M56" s="2523" t="str">
        <f>IF(项目基本情况!K6="上海银行",M69,"")</f>
        <v/>
      </c>
      <c r="N56" s="3691" t="str">
        <f>IF(项目基本情况!K6="上海银行","包含处置中涉及的律师、诉讼、拍卖、评估等费用","")</f>
        <v/>
      </c>
      <c r="O56" s="3694"/>
    </row>
    <row r="57" spans="1:35" ht="12.75">
      <c r="A57" s="2334" t="s">
        <v>1341</v>
      </c>
      <c r="B57" s="3734" t="s">
        <v>1366</v>
      </c>
      <c r="C57" s="3735"/>
      <c r="D57" s="1589">
        <v>0</v>
      </c>
      <c r="E57" s="324" t="s">
        <v>1343</v>
      </c>
      <c r="F57" s="302"/>
      <c r="G57" s="2553"/>
      <c r="H57" s="2557"/>
      <c r="I57" s="1807"/>
      <c r="J57" s="3710">
        <f>IF(AND(J55="",J56=""),4,IF(项目基本情况!K6="上海银行",结果表!J56+1,结果表!J55+1))</f>
        <v>5</v>
      </c>
      <c r="K57" s="3710" t="s">
        <v>1367</v>
      </c>
      <c r="L57" s="2528" t="s">
        <v>1368</v>
      </c>
      <c r="M57" s="2529"/>
      <c r="N57" s="2530">
        <f ca="1">SUMIF(M52:M56,"&lt;9e307")</f>
        <v>1942</v>
      </c>
      <c r="O57" s="2531"/>
      <c r="P57" s="2687">
        <f ca="1">N57/M49</f>
        <v>0.57609018095520614</v>
      </c>
    </row>
    <row r="58" spans="1:35" ht="24.75">
      <c r="A58" s="2334" t="s">
        <v>1352</v>
      </c>
      <c r="B58" s="3734" t="s">
        <v>1369</v>
      </c>
      <c r="C58" s="3733"/>
      <c r="D58" s="2323">
        <f ca="1">IF(H58="转让取得",C81,C97)</f>
        <v>1908</v>
      </c>
      <c r="E58" s="2333" t="s">
        <v>1364</v>
      </c>
      <c r="F58" s="302" t="s">
        <v>28</v>
      </c>
      <c r="G58" s="2553"/>
      <c r="H58" s="2556"/>
      <c r="I58" s="1807"/>
      <c r="J58" s="3710"/>
      <c r="K58" s="3710"/>
      <c r="L58" s="2528" t="s">
        <v>1370</v>
      </c>
      <c r="M58" s="2532"/>
      <c r="N58" s="2533" t="str">
        <f ca="1">NUMBERSTRING(INT(N57*10000),2)&amp;"元整"</f>
        <v>壹仟玖佰肆拾贰万元整</v>
      </c>
      <c r="O58" s="2534"/>
    </row>
    <row r="59" spans="1:35" ht="24.75" thickBot="1">
      <c r="A59" s="3714" t="s">
        <v>1371</v>
      </c>
      <c r="B59" s="3715"/>
      <c r="C59" s="3715"/>
      <c r="D59" s="2558">
        <f ca="1">IF(H59="非个人房产","——",IF(H59="个人住宅（满五唯一有凭证）",0,IF(H59="个人其他（无凭证）",ROUND(D45*F59,0),ROUND(C67*F59,0))))</f>
        <v>32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2136</v>
      </c>
      <c r="J59" s="3712">
        <f>J57+1</f>
        <v>6</v>
      </c>
      <c r="K59" s="3710" t="s">
        <v>1372</v>
      </c>
      <c r="L59" s="2521" t="s">
        <v>1368</v>
      </c>
      <c r="M59" s="2535"/>
      <c r="N59" s="2536">
        <f ca="1">M49-N57</f>
        <v>1429</v>
      </c>
      <c r="O59" s="2537"/>
    </row>
    <row r="60" spans="1:35" ht="12" customHeight="1">
      <c r="A60" s="1808"/>
      <c r="B60" s="1746"/>
      <c r="C60" s="1746"/>
      <c r="D60" s="1746"/>
      <c r="E60" s="1577"/>
      <c r="F60" s="1807"/>
      <c r="G60" s="1807"/>
      <c r="H60" s="1809"/>
      <c r="I60" s="129"/>
      <c r="J60" s="3713"/>
      <c r="K60" s="3710"/>
      <c r="L60" s="2528" t="s">
        <v>1370</v>
      </c>
      <c r="M60" s="2532"/>
      <c r="N60" s="2533" t="str">
        <f ca="1">NUMBERSTRING(INT(N59*10000),2)&amp;"元整"</f>
        <v>壹仟肆佰贰拾玖万元整</v>
      </c>
      <c r="O60" s="2534"/>
    </row>
    <row r="61" spans="1:35" ht="13.5" thickBot="1">
      <c r="A61" s="3769" t="s">
        <v>1373</v>
      </c>
      <c r="B61" s="3769"/>
      <c r="C61" s="3769"/>
      <c r="D61" s="3769"/>
      <c r="E61" s="3769"/>
      <c r="F61" s="1807"/>
      <c r="G61" s="1807"/>
      <c r="H61" s="1809"/>
      <c r="I61" s="129"/>
      <c r="J61" s="2521">
        <f>J59+1</f>
        <v>7</v>
      </c>
      <c r="K61" s="3710" t="s">
        <v>1374</v>
      </c>
      <c r="L61" s="3710"/>
      <c r="M61" s="2538"/>
      <c r="N61" s="2539">
        <f ca="1">ROUND(N59*10000/'数据-汇总表'!E3,0)</f>
        <v>3204</v>
      </c>
      <c r="O61" s="2540"/>
    </row>
    <row r="62" spans="1:35" ht="12.75">
      <c r="A62" s="3729" t="s">
        <v>1375</v>
      </c>
      <c r="B62" s="3730"/>
      <c r="C62" s="2020"/>
      <c r="D62" s="2020" t="s">
        <v>1376</v>
      </c>
      <c r="E62" s="166" t="s">
        <v>1377</v>
      </c>
      <c r="F62" s="1807"/>
      <c r="G62" s="1807"/>
      <c r="H62" s="1809"/>
      <c r="I62" s="129"/>
    </row>
    <row r="63" spans="1:35" ht="12.75">
      <c r="A63" s="173" t="s">
        <v>330</v>
      </c>
      <c r="B63" s="167" t="s">
        <v>1378</v>
      </c>
      <c r="C63" s="2562">
        <f ca="1">ROUND((C64+C65)/(1+'数据-取费表'!C42),0)</f>
        <v>3210</v>
      </c>
      <c r="D63" s="167"/>
      <c r="E63" s="168"/>
      <c r="F63" s="1807"/>
      <c r="G63" s="1807"/>
      <c r="H63" s="1809"/>
      <c r="I63" s="129"/>
      <c r="J63" s="3693" t="s">
        <v>1379</v>
      </c>
      <c r="K63" s="1331" t="s">
        <v>1380</v>
      </c>
      <c r="L63" s="1331">
        <f ca="1">IF(M49&gt;10000,M49*0.5%,IF(AND(M49&gt;1000,M49&lt;=10000),M49*1%,IF(AND(M49&gt;100,M49&lt;=1000),M49*3%,IF(AND(M49&gt;10,M49&lt;=100),M49*5%,M49*8%))))</f>
        <v>33.71</v>
      </c>
      <c r="M63" s="302">
        <f ca="1">ROUND(L63,1)</f>
        <v>33.700000000000003</v>
      </c>
      <c r="N63" s="2541"/>
      <c r="Z63" s="1751"/>
      <c r="AI63" s="1752"/>
    </row>
    <row r="64" spans="1:35" ht="14.25" customHeight="1">
      <c r="A64" s="169" t="s">
        <v>325</v>
      </c>
      <c r="B64" s="170" t="s">
        <v>1381</v>
      </c>
      <c r="C64" s="2563">
        <f ca="1">D45</f>
        <v>3371</v>
      </c>
      <c r="D64" s="170" t="s">
        <v>26</v>
      </c>
      <c r="E64" s="172"/>
      <c r="F64" s="1807"/>
      <c r="G64" s="1807"/>
      <c r="H64" s="1809"/>
      <c r="I64" s="129"/>
      <c r="J64" s="3693"/>
      <c r="K64" s="1331" t="s">
        <v>1382</v>
      </c>
      <c r="L64" s="1331">
        <f ca="1">IF(M49&gt;2000,M49*0.5%,IF(AND(M49&gt;1000,M49&lt;=2000),M49*0.6%,IF(AND(M49&gt;500,M49&lt;=1000),M49*0.7%,IF(AND(M49&gt;200,M49&lt;=500),M49*0.8%,IF(AND(M49&gt;100,M49&lt;=200),M49*0.9%,IF(AND(M49&gt;50,M49&lt;=100),M49*1%,IF(AND(M49&gt;20,M49&lt;=50),M49*1.5%,IF(AND(M49&gt;10,M49&lt;=20),M49*2%,IF(AND(M49&gt;1,M49&lt;=10),M49*2.5%)))))))))</f>
        <v>16.855</v>
      </c>
      <c r="M64" s="302">
        <f t="shared" ref="M64:M65" ca="1" si="1">ROUND(L64,1)</f>
        <v>16.899999999999999</v>
      </c>
      <c r="N64" s="2542" t="s">
        <v>1383</v>
      </c>
      <c r="Z64" s="1751"/>
      <c r="AI64" s="1752"/>
    </row>
    <row r="65" spans="1:35" ht="14.25" customHeight="1">
      <c r="A65" s="169" t="s">
        <v>326</v>
      </c>
      <c r="B65" s="170" t="s">
        <v>1384</v>
      </c>
      <c r="C65" s="2564"/>
      <c r="D65" s="170"/>
      <c r="E65" s="172"/>
      <c r="F65" s="1807"/>
      <c r="G65" s="1807"/>
      <c r="H65" s="1809"/>
      <c r="I65" s="129"/>
      <c r="J65" s="3693"/>
      <c r="K65" s="1331" t="s">
        <v>1385</v>
      </c>
      <c r="L65" s="1331">
        <f ca="1">IF(M49&gt;1000,M49*0.1%,IF(AND(M49&gt;500,M49&lt;=1000),M49*0.5%,IF(AND(M49&gt;50,M49&lt;=500),M49*1%,IF(AND(M49&gt;1,M49&lt;=50),M49*1.5%))))</f>
        <v>3.371</v>
      </c>
      <c r="M65" s="302">
        <f t="shared" ca="1" si="1"/>
        <v>3.4</v>
      </c>
      <c r="N65" s="2542" t="s">
        <v>1383</v>
      </c>
      <c r="Z65" s="1751"/>
      <c r="AI65" s="1752"/>
    </row>
    <row r="66" spans="1:35" ht="14.25" customHeight="1">
      <c r="A66" s="173" t="s">
        <v>327</v>
      </c>
      <c r="B66" s="174" t="s">
        <v>1386</v>
      </c>
      <c r="C66" s="2565"/>
      <c r="D66" s="174" t="s">
        <v>26</v>
      </c>
      <c r="E66" s="1337" t="s">
        <v>671</v>
      </c>
      <c r="F66" s="1807"/>
      <c r="G66" s="1807"/>
      <c r="H66" s="1809"/>
      <c r="I66" s="129"/>
      <c r="J66" s="3693"/>
      <c r="K66" s="1331" t="s">
        <v>1387</v>
      </c>
      <c r="L66" s="1331">
        <f ca="1">M49*0.5%</f>
        <v>16.855</v>
      </c>
      <c r="M66" s="302">
        <f ca="1">IF(L66&gt;0.5,0.5,ROUND(L66,0))</f>
        <v>0.5</v>
      </c>
      <c r="N66" s="2542" t="s">
        <v>1388</v>
      </c>
      <c r="Z66" s="1751"/>
      <c r="AI66" s="1752"/>
    </row>
    <row r="67" spans="1:35" ht="14.25" customHeight="1">
      <c r="A67" s="173" t="s">
        <v>328</v>
      </c>
      <c r="B67" s="174" t="s">
        <v>1389</v>
      </c>
      <c r="C67" s="2566">
        <f ca="1">C63-C66</f>
        <v>3210</v>
      </c>
      <c r="D67" s="170" t="s">
        <v>26</v>
      </c>
      <c r="E67" s="172"/>
      <c r="F67" s="1807"/>
      <c r="G67" s="1807"/>
      <c r="H67" s="1809"/>
      <c r="I67" s="129"/>
      <c r="J67" s="3693"/>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1"/>
      <c r="AI67" s="1752"/>
    </row>
    <row r="68" spans="1:35" ht="14.25" customHeight="1" thickBot="1">
      <c r="A68" s="176" t="s">
        <v>329</v>
      </c>
      <c r="B68" s="177" t="s">
        <v>1391</v>
      </c>
      <c r="C68" s="2567">
        <f ca="1">IF(C67&lt;=0,0,ROUND(C67*D68,0))</f>
        <v>180</v>
      </c>
      <c r="D68" s="2568">
        <f>'数据-取费表'!B41</f>
        <v>5.6000000000000001E-2</v>
      </c>
      <c r="E68" s="178"/>
      <c r="F68" s="1807"/>
      <c r="G68" s="1807"/>
      <c r="H68" s="1809"/>
      <c r="I68" s="129"/>
      <c r="J68" s="3693"/>
      <c r="K68" s="1331" t="s">
        <v>1392</v>
      </c>
      <c r="L68" s="1331">
        <f ca="1">IF(M49&gt;10000,M49*0.5%,IF(AND(M49&gt;5000,M49&lt;=10000),M49*1%,IF(AND(M49&gt;1000,M49&lt;=5000),M49*2%,IF(AND(M49&gt;200,M49&lt;=1000),M49*3%,M49*5%))))</f>
        <v>67.42</v>
      </c>
      <c r="M68" s="302">
        <f ca="1">ROUND(L68,1)</f>
        <v>67.400000000000006</v>
      </c>
      <c r="N68" s="2541"/>
      <c r="Z68" s="1751"/>
      <c r="AI68" s="1752"/>
    </row>
    <row r="69" spans="1:35" s="1771" customFormat="1" ht="16.5" customHeight="1">
      <c r="A69" s="1810"/>
      <c r="B69" s="1811"/>
      <c r="C69" s="1812"/>
      <c r="D69" s="1813"/>
      <c r="E69" s="1814"/>
      <c r="F69" s="1577"/>
      <c r="G69" s="1577"/>
      <c r="H69" s="1576"/>
      <c r="I69" s="1746"/>
      <c r="J69" s="3693"/>
      <c r="K69" s="1331" t="s">
        <v>1393</v>
      </c>
      <c r="L69" s="1331"/>
      <c r="M69" s="302">
        <f ca="1">ROUND(SUM(M63:M68),0)</f>
        <v>124</v>
      </c>
      <c r="N69" s="2543">
        <f ca="1">M69/M49</f>
        <v>3.6784336991990504E-2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737" t="s">
        <v>1394</v>
      </c>
      <c r="B70" s="3738"/>
      <c r="C70" s="3738"/>
      <c r="D70" s="3738"/>
      <c r="E70" s="3738"/>
      <c r="F70" s="3738"/>
      <c r="G70" s="3738"/>
      <c r="H70" s="3738"/>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729" t="s">
        <v>1375</v>
      </c>
      <c r="B71" s="3730"/>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3210</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19</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734" t="s">
        <v>1402</v>
      </c>
      <c r="F76" s="3733"/>
      <c r="G76" s="3733"/>
      <c r="H76" s="373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19</v>
      </c>
      <c r="D78" s="2575">
        <f>'数据-取费表'!B43</f>
        <v>6.000000000000001E-3</v>
      </c>
      <c r="E78" s="3726" t="s">
        <v>1406</v>
      </c>
      <c r="F78" s="3727"/>
      <c r="G78" s="3727"/>
      <c r="H78" s="372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3191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167.94736842105263</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1908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737" t="s">
        <v>1410</v>
      </c>
      <c r="B83" s="3738"/>
      <c r="C83" s="3738"/>
      <c r="D83" s="3738"/>
      <c r="E83" s="3738"/>
      <c r="F83" s="3738"/>
      <c r="G83" s="3738"/>
      <c r="H83" s="373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729" t="s">
        <v>1375</v>
      </c>
      <c r="B84" s="373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3210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19</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6"/>
      <c r="G88" s="194" t="s">
        <v>1414</v>
      </c>
      <c r="H88" s="1823"/>
      <c r="I88" s="1820"/>
      <c r="J88" s="2519"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695" t="s">
        <v>2128</v>
      </c>
      <c r="H90" s="3696"/>
      <c r="I90" s="1820"/>
      <c r="J90" s="2519"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726" t="s">
        <v>1419</v>
      </c>
      <c r="F91" s="3727"/>
      <c r="G91" s="372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726" t="s">
        <v>1422</v>
      </c>
      <c r="F92" s="3727"/>
      <c r="G92" s="3727"/>
      <c r="H92" s="3728"/>
      <c r="I92" s="1820"/>
      <c r="J92" s="2520"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19</v>
      </c>
      <c r="D93" s="2575">
        <f>'数据-取费表'!B43</f>
        <v>6.000000000000001E-3</v>
      </c>
      <c r="E93" s="3726" t="s">
        <v>1406</v>
      </c>
      <c r="F93" s="3727"/>
      <c r="G93" s="3727"/>
      <c r="H93" s="372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771" t="s">
        <v>1426</v>
      </c>
      <c r="F94" s="3772"/>
      <c r="G94" s="3772"/>
      <c r="H94" s="377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3191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167.94736842105263</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1908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59" t="s">
        <v>1428</v>
      </c>
      <c r="B100" s="3660"/>
      <c r="C100" s="3660"/>
      <c r="D100" s="3711"/>
      <c r="E100" s="3660" t="s">
        <v>1429</v>
      </c>
      <c r="F100" s="3660"/>
      <c r="G100" s="3660"/>
      <c r="H100" s="3711"/>
      <c r="I100" s="129"/>
    </row>
    <row r="101" spans="1:35" ht="18.75" customHeight="1">
      <c r="A101" s="3719" t="s">
        <v>1430</v>
      </c>
      <c r="B101" s="3720"/>
      <c r="C101" s="2583" t="str">
        <f>C4</f>
        <v>成本法</v>
      </c>
      <c r="D101" s="2584" t="str">
        <f>D4</f>
        <v>收益法</v>
      </c>
      <c r="E101" s="3689" t="s">
        <v>1431</v>
      </c>
      <c r="F101" s="3690"/>
      <c r="G101" s="1826" t="s">
        <v>1432</v>
      </c>
      <c r="H101" s="2593">
        <f ca="1">H118</f>
        <v>3371</v>
      </c>
      <c r="I101" s="129"/>
    </row>
    <row r="102" spans="1:35" ht="18.75" customHeight="1">
      <c r="A102" s="3721" t="s">
        <v>1433</v>
      </c>
      <c r="B102" s="2582" t="s">
        <v>1432</v>
      </c>
      <c r="C102" s="2583">
        <f ca="1">IF(D32="楼面单价",ROUND(C19,0),C19)</f>
        <v>3796</v>
      </c>
      <c r="D102" s="2584">
        <f ca="1">IF(D32="楼面单价",ROUND(D19,0),D19)</f>
        <v>2734</v>
      </c>
      <c r="E102" s="3689"/>
      <c r="F102" s="3690"/>
      <c r="G102" s="1826" t="s">
        <v>1434</v>
      </c>
      <c r="H102" s="2553">
        <f ca="1">I118</f>
        <v>7559</v>
      </c>
      <c r="I102" s="129"/>
    </row>
    <row r="103" spans="1:35" ht="42.75" customHeight="1">
      <c r="A103" s="3721"/>
      <c r="B103" s="2582" t="s">
        <v>1434</v>
      </c>
      <c r="C103" s="2585">
        <f ca="1">C20</f>
        <v>8511</v>
      </c>
      <c r="D103" s="2586">
        <f ca="1">D20</f>
        <v>6130</v>
      </c>
      <c r="E103" s="3682" t="s">
        <v>1435</v>
      </c>
      <c r="F103" s="3683"/>
      <c r="G103" s="1827" t="s">
        <v>1436</v>
      </c>
      <c r="H103" s="2593">
        <f>IF(D36="正常操作",H104+H105+H106,H105+H106)</f>
        <v>0</v>
      </c>
      <c r="I103" s="129"/>
    </row>
    <row r="104" spans="1:35" ht="18.75" customHeight="1">
      <c r="A104" s="3721" t="s">
        <v>1437</v>
      </c>
      <c r="B104" s="2587" t="s">
        <v>1432</v>
      </c>
      <c r="C104" s="2588">
        <f ca="1">H118</f>
        <v>3371</v>
      </c>
      <c r="D104" s="2589"/>
      <c r="E104" s="1673" t="s">
        <v>1438</v>
      </c>
      <c r="F104" s="1665"/>
      <c r="G104" s="1827" t="s">
        <v>1436</v>
      </c>
      <c r="H104" s="2594">
        <f>IF(D36="同一抵押权人同一抵押物续贷",C36&amp;"（续贷，未扣减，详见特别提示）",C36)</f>
        <v>0</v>
      </c>
      <c r="I104" s="129"/>
    </row>
    <row r="105" spans="1:35" ht="18.75" customHeight="1" thickBot="1">
      <c r="A105" s="3731"/>
      <c r="B105" s="2590" t="s">
        <v>1434</v>
      </c>
      <c r="C105" s="2591">
        <f ca="1">I118</f>
        <v>7559</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722" t="str">
        <f>IF(项目基本情况!E8="已注销","——","3.房地产抵押价值")</f>
        <v>3.房地产抵押价值</v>
      </c>
      <c r="F107" s="3690"/>
      <c r="G107" s="1826" t="s">
        <v>1432</v>
      </c>
      <c r="H107" s="2593">
        <f ca="1">IF(E107="——","——",H101-H103)</f>
        <v>3371</v>
      </c>
      <c r="I107" s="129"/>
    </row>
    <row r="108" spans="1:35" ht="18.75" customHeight="1">
      <c r="A108" s="129"/>
      <c r="B108" s="129"/>
      <c r="C108" s="129"/>
      <c r="D108" s="129"/>
      <c r="E108" s="3722"/>
      <c r="F108" s="3690"/>
      <c r="G108" s="1826" t="s">
        <v>1434</v>
      </c>
      <c r="H108" s="2553">
        <f ca="1">IF(H107=H101,H102,ROUND(H107*10000/'数据-汇总表'!E3,0))</f>
        <v>7559</v>
      </c>
      <c r="I108" s="129"/>
    </row>
    <row r="109" spans="1:35" ht="18.75" customHeight="1">
      <c r="A109" s="129"/>
      <c r="B109" s="129"/>
      <c r="C109" s="129"/>
      <c r="D109" s="129"/>
      <c r="E109" s="3722" t="str">
        <f>IF(项目基本情况!E8="已注销及未注销","4.抵押担保权已注销时的房地产抵押价值",IF(项目基本情况!E8="已注销","3.抵押担保权已注销时的房地产抵押价值","——"))</f>
        <v>——</v>
      </c>
      <c r="F109" s="3690"/>
      <c r="G109" s="1826" t="s">
        <v>1432</v>
      </c>
      <c r="H109" s="2596" t="str">
        <f>IF(E109="——","——",H101-H105-H106)</f>
        <v>——</v>
      </c>
      <c r="I109" s="129"/>
    </row>
    <row r="110" spans="1:35" ht="18.75" customHeight="1">
      <c r="A110" s="129"/>
      <c r="B110" s="129"/>
      <c r="C110" s="129"/>
      <c r="D110" s="129"/>
      <c r="E110" s="3722"/>
      <c r="F110" s="3690"/>
      <c r="G110" s="1826" t="s">
        <v>1434</v>
      </c>
      <c r="H110" s="2553" t="str">
        <f>IF(H109="——","——",ROUND(H109*10000/'数据-汇总表'!E3,0))</f>
        <v>——</v>
      </c>
      <c r="I110" s="129"/>
    </row>
    <row r="111" spans="1:35" ht="18.75" customHeight="1">
      <c r="A111" s="129"/>
      <c r="B111" s="129"/>
      <c r="C111" s="129"/>
      <c r="D111" s="129"/>
      <c r="E111" s="3723" t="str">
        <f>IF(项目基本情况!E9="抵押净值",IF(OR(项目基本情况!E8="已注销",项目基本情况!E8="房地产抵押价值"),"4.抵押净值","5.抵押净值"),"——")</f>
        <v>——</v>
      </c>
      <c r="F111" s="3709"/>
      <c r="G111" s="1826" t="s">
        <v>1432</v>
      </c>
      <c r="H111" s="2593" t="str">
        <f>IF(E111="——","——",N59)</f>
        <v>——</v>
      </c>
      <c r="I111" s="129"/>
    </row>
    <row r="112" spans="1:35" ht="18.75" customHeight="1" thickBot="1">
      <c r="A112" s="129"/>
      <c r="B112" s="129"/>
      <c r="C112" s="129"/>
      <c r="D112" s="129"/>
      <c r="E112" s="3724"/>
      <c r="F112" s="3725"/>
      <c r="G112" s="1829" t="s">
        <v>1434</v>
      </c>
      <c r="H112" s="2597" t="str">
        <f>IF(E111="——","——",N61)</f>
        <v>——</v>
      </c>
      <c r="I112" s="129"/>
    </row>
    <row r="113" spans="1:27" ht="18.75" customHeight="1">
      <c r="A113" s="129"/>
      <c r="B113" s="129"/>
      <c r="C113" s="129"/>
      <c r="D113" s="129"/>
      <c r="E113" s="3732" t="s">
        <v>1440</v>
      </c>
      <c r="F113" s="3732"/>
      <c r="G113" s="3732"/>
      <c r="H113" s="3732"/>
      <c r="I113" s="129"/>
    </row>
    <row r="114" spans="1:27" ht="3.75" customHeight="1">
      <c r="A114" s="1746"/>
      <c r="B114" s="1746"/>
      <c r="C114" s="1746"/>
      <c r="D114" s="1746"/>
      <c r="E114" s="1808"/>
      <c r="F114" s="1808"/>
      <c r="G114" s="1808"/>
      <c r="H114" s="1808"/>
      <c r="I114" s="1746"/>
    </row>
    <row r="115" spans="1:27" ht="18.75" customHeight="1">
      <c r="A115" s="3740" t="s">
        <v>1442</v>
      </c>
      <c r="B115" s="3741"/>
      <c r="C115" s="3741"/>
      <c r="D115" s="3741"/>
      <c r="E115" s="3741"/>
      <c r="F115" s="3741"/>
      <c r="G115" s="3741"/>
      <c r="H115" s="3741"/>
      <c r="I115" s="3742"/>
    </row>
    <row r="116" spans="1:27" ht="27" customHeight="1">
      <c r="A116" s="3697" t="s">
        <v>1443</v>
      </c>
      <c r="B116" s="3701" t="s">
        <v>1444</v>
      </c>
      <c r="C116" s="3701" t="s">
        <v>1445</v>
      </c>
      <c r="D116" s="3707" t="s">
        <v>1446</v>
      </c>
      <c r="E116" s="3708"/>
      <c r="F116" s="3739" t="s">
        <v>1447</v>
      </c>
      <c r="G116" s="3739"/>
      <c r="H116" s="3697" t="s">
        <v>1448</v>
      </c>
      <c r="I116" s="3697"/>
    </row>
    <row r="117" spans="1:27" ht="18.75" customHeight="1">
      <c r="A117" s="3697"/>
      <c r="B117" s="3702"/>
      <c r="C117" s="3702"/>
      <c r="D117" s="2328" t="s">
        <v>1449</v>
      </c>
      <c r="E117" s="2328" t="s">
        <v>1450</v>
      </c>
      <c r="F117" s="2328" t="s">
        <v>1449</v>
      </c>
      <c r="G117" s="2328" t="s">
        <v>1451</v>
      </c>
      <c r="H117" s="2328" t="s">
        <v>1449</v>
      </c>
      <c r="I117" s="2328" t="s">
        <v>1451</v>
      </c>
    </row>
    <row r="118" spans="1:27" ht="24.75" customHeight="1">
      <c r="A118" s="2598" t="str">
        <f>项目基本情况!S2</f>
        <v>北京市延庆区延庆镇东街2号（北侧）-1层地下室等[2]套商业用房房地产</v>
      </c>
      <c r="B118" s="2328">
        <f>M18</f>
        <v>4460</v>
      </c>
      <c r="C118" s="2328">
        <f>M19</f>
        <v>1510.07</v>
      </c>
      <c r="D118" s="2328">
        <f ca="1">ROUND(IF(D32="总价",C34,E118*B118/10000),0)</f>
        <v>2147</v>
      </c>
      <c r="E118" s="2328">
        <f ca="1">ROUND(IF(C33="自定义",IF(D32="楼面单价",C34,D118*10000/B118),I118-G118),0)</f>
        <v>4815</v>
      </c>
      <c r="F118" s="2328">
        <f ca="1">ROUND(IF(D32="总价",C35,G118*B118/10000),0)</f>
        <v>1224</v>
      </c>
      <c r="G118" s="2328">
        <f ca="1">ROUND(IF(D32="楼面单价",C35,F118*10000/B118),0)</f>
        <v>2744</v>
      </c>
      <c r="H118" s="2328">
        <f ca="1">ROUND(IF(D32="总价",C32,I118*B118/10000),0)</f>
        <v>3371</v>
      </c>
      <c r="I118" s="2328">
        <f ca="1">ROUND(IF(D32="楼面单价",C32,H118*10000/B118),0)</f>
        <v>7559</v>
      </c>
    </row>
    <row r="119" spans="1:27" ht="18.75" customHeight="1">
      <c r="A119" s="3697" t="s">
        <v>1452</v>
      </c>
      <c r="B119" s="3697"/>
      <c r="C119" s="3697"/>
      <c r="D119" s="3703" t="str">
        <f ca="1">NUMBERSTRING(INT(D118*10000),2)&amp;"元整"</f>
        <v>贰仟壹佰肆拾柒万元整</v>
      </c>
      <c r="E119" s="3704"/>
      <c r="F119" s="3703" t="str">
        <f ca="1">NUMBERSTRING(INT(F118*10000),2)&amp;"元整"</f>
        <v>壹仟贰佰贰拾肆万元整</v>
      </c>
      <c r="G119" s="3704"/>
      <c r="H119" s="3703" t="str">
        <f ca="1">NUMBERSTRING(INT(H118*10000),2)&amp;"元整"</f>
        <v>叁仟叁佰柒拾壹万元整</v>
      </c>
      <c r="I119" s="3704"/>
    </row>
    <row r="120" spans="1:27" ht="18.75" customHeight="1">
      <c r="A120" s="3698" t="str">
        <f>IF(项目基本情况!B9="房地产市场价值","",MID(E103,3,LEN(E103)-2))</f>
        <v>估价师知悉的法定优先受偿款</v>
      </c>
      <c r="B120" s="3699"/>
      <c r="C120" s="3700"/>
      <c r="D120" s="3698">
        <f>H103</f>
        <v>0</v>
      </c>
      <c r="E120" s="3699"/>
      <c r="F120" s="3699"/>
      <c r="G120" s="3699"/>
      <c r="H120" s="3699"/>
      <c r="I120" s="370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703" t="s">
        <v>1452</v>
      </c>
      <c r="B121" s="3705"/>
      <c r="C121" s="3704"/>
      <c r="D121" s="3703" t="str">
        <f>IF(D120=0,"零元整",NUMBERSTRING(INT(D120*10000),2)&amp;"元整")</f>
        <v>零元整</v>
      </c>
      <c r="E121" s="3705"/>
      <c r="F121" s="3705"/>
      <c r="G121" s="3705"/>
      <c r="H121" s="3705"/>
      <c r="I121" s="3704"/>
      <c r="AA121" s="724"/>
    </row>
    <row r="122" spans="1:27" ht="18.75" customHeight="1">
      <c r="A122" s="3709" t="str">
        <f>IF(项目基本情况!B9="房地产市场价值","",MID(E107,3,LEN(E107)-2))</f>
        <v>房地产抵押价值</v>
      </c>
      <c r="B122" s="3709"/>
      <c r="C122" s="3709"/>
      <c r="D122" s="3698">
        <f ca="1">H107</f>
        <v>3371</v>
      </c>
      <c r="E122" s="3699"/>
      <c r="F122" s="3699"/>
      <c r="G122" s="3699"/>
      <c r="H122" s="3699"/>
      <c r="I122" s="3700"/>
      <c r="AA122" s="724"/>
    </row>
    <row r="123" spans="1:27" ht="18.75" customHeight="1">
      <c r="A123" s="3697" t="s">
        <v>1452</v>
      </c>
      <c r="B123" s="3697"/>
      <c r="C123" s="3697"/>
      <c r="D123" s="3703" t="str">
        <f ca="1">NUMBERSTRING(INT(D122*10000),2)&amp;"元整"</f>
        <v>叁仟叁佰柒拾壹万元整</v>
      </c>
      <c r="E123" s="3705"/>
      <c r="F123" s="3705"/>
      <c r="G123" s="3705"/>
      <c r="H123" s="3705"/>
      <c r="I123" s="3704"/>
      <c r="AA123" s="724"/>
    </row>
    <row r="124" spans="1:27" ht="18.75" customHeight="1">
      <c r="A124" s="3709" t="str">
        <f>IF(项目基本情况!B9="房地产市场价值","",MID(E109,3,LEN(E109)-2))</f>
        <v/>
      </c>
      <c r="B124" s="3709"/>
      <c r="C124" s="3709"/>
      <c r="D124" s="3698" t="str">
        <f>H109</f>
        <v>——</v>
      </c>
      <c r="E124" s="3699"/>
      <c r="F124" s="3699"/>
      <c r="G124" s="3699"/>
      <c r="H124" s="3699"/>
      <c r="I124" s="3700"/>
      <c r="AA124" s="724"/>
    </row>
    <row r="125" spans="1:27" ht="18.75" customHeight="1">
      <c r="A125" s="3697" t="s">
        <v>1452</v>
      </c>
      <c r="B125" s="3697"/>
      <c r="C125" s="3697"/>
      <c r="D125" s="3703" t="e">
        <f>NUMBERSTRING(INT(D124*10000),2)&amp;"元整"</f>
        <v>#VALUE!</v>
      </c>
      <c r="E125" s="3705"/>
      <c r="F125" s="3705"/>
      <c r="G125" s="3705"/>
      <c r="H125" s="3705"/>
      <c r="I125" s="3704"/>
      <c r="AA125" s="724"/>
    </row>
    <row r="126" spans="1:27" ht="18.75" customHeight="1">
      <c r="A126" s="3709" t="str">
        <f>IF(项目基本情况!B9="房地产市场价值","",MID(E111,3,LEN(E111)-2))</f>
        <v/>
      </c>
      <c r="B126" s="3709"/>
      <c r="C126" s="3709"/>
      <c r="D126" s="3698" t="str">
        <f>H111</f>
        <v>——</v>
      </c>
      <c r="E126" s="3699"/>
      <c r="F126" s="3699"/>
      <c r="G126" s="3699"/>
      <c r="H126" s="3699"/>
      <c r="I126" s="3700"/>
      <c r="AA126" s="724"/>
    </row>
    <row r="127" spans="1:27" ht="18.75" customHeight="1">
      <c r="A127" s="3697" t="s">
        <v>1452</v>
      </c>
      <c r="B127" s="3697"/>
      <c r="C127" s="3697"/>
      <c r="D127" s="3703" t="e">
        <f>NUMBERSTRING(INT(D126*10000),2)&amp;"元整"</f>
        <v>#VALUE!</v>
      </c>
      <c r="E127" s="3705"/>
      <c r="F127" s="3705"/>
      <c r="G127" s="3705"/>
      <c r="H127" s="3705"/>
      <c r="I127" s="3704"/>
      <c r="AA127" s="724"/>
    </row>
    <row r="128" spans="1:27" ht="21.75" customHeight="1">
      <c r="A128" s="3706" t="s">
        <v>1453</v>
      </c>
      <c r="B128" s="3706"/>
      <c r="C128" s="3706"/>
      <c r="D128" s="3706"/>
      <c r="E128" s="3706"/>
      <c r="F128" s="3706"/>
      <c r="G128" s="3706"/>
      <c r="H128" s="3706"/>
      <c r="I128" s="3706"/>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76" t="str">
        <f>项目基本情况!B1</f>
        <v>北京市延庆区延庆镇东街2号（北侧）-1层地下室等[2]套商业用房房地产抵押价值预评估</v>
      </c>
      <c r="C37" s="3576"/>
      <c r="D37" s="3576"/>
      <c r="E37" s="3576"/>
      <c r="F37" s="3576"/>
      <c r="G37" s="3576"/>
      <c r="H37" s="3576"/>
      <c r="I37" s="3576"/>
    </row>
    <row r="38" spans="1:9">
      <c r="A38" s="843"/>
      <c r="B38" s="843"/>
    </row>
    <row r="39" spans="1:9">
      <c r="A39" s="841" t="s">
        <v>371</v>
      </c>
      <c r="B39" s="841" t="s">
        <v>373</v>
      </c>
    </row>
    <row r="40" spans="1:9">
      <c r="A40" s="841"/>
      <c r="B40" s="1473" t="str">
        <f>项目基本情况!B5</f>
        <v>中行</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22" sqref="J2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3796</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8511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1836</v>
      </c>
      <c r="D5" s="211" t="s">
        <v>1469</v>
      </c>
      <c r="E5" s="212" t="s">
        <v>1470</v>
      </c>
      <c r="F5" s="212" t="s">
        <v>1471</v>
      </c>
      <c r="G5" s="213"/>
    </row>
    <row r="6" spans="1:9" s="214" customFormat="1" ht="13.5" customHeight="1">
      <c r="A6" s="777" t="s">
        <v>1472</v>
      </c>
      <c r="B6" s="215" t="s">
        <v>1473</v>
      </c>
      <c r="C6" s="216">
        <f>基准地价修正!V2+基准地价修正!V3+基准地价修正!V4+基准地价修正!V5+基准地价修正!E37</f>
        <v>1717</v>
      </c>
      <c r="D6" s="217"/>
      <c r="E6" s="218"/>
      <c r="F6" s="218"/>
      <c r="G6" s="219"/>
    </row>
    <row r="7" spans="1:9" s="214" customFormat="1" ht="13.5" customHeight="1">
      <c r="A7" s="777" t="s">
        <v>1474</v>
      </c>
      <c r="B7" s="215" t="s">
        <v>1475</v>
      </c>
      <c r="C7" s="220">
        <f>ROUND(C6*F7,0)</f>
        <v>52</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67</v>
      </c>
      <c r="D8" s="222"/>
      <c r="E8" s="220"/>
      <c r="F8" s="221"/>
      <c r="G8" s="1855" t="s">
        <v>3428</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100</v>
      </c>
      <c r="F9" s="221"/>
      <c r="G9" s="1856" t="s">
        <v>3778</v>
      </c>
      <c r="H9" s="1136"/>
      <c r="I9" s="1857" t="s">
        <v>1479</v>
      </c>
    </row>
    <row r="10" spans="1:9" s="214" customFormat="1" ht="13.5" customHeight="1">
      <c r="A10" s="778" t="s">
        <v>356</v>
      </c>
      <c r="B10" s="224" t="s">
        <v>1480</v>
      </c>
      <c r="C10" s="225">
        <f ca="1">ROUND(D10*E10/10000,0)</f>
        <v>67</v>
      </c>
      <c r="D10" s="844">
        <f ca="1">IF(B1="",'数据-汇总表'!E6,IF(INDIRECT("'数据-取费表'!c"&amp;$G$1)="住宅",INDIRECT("'数据-取费表'!s"&amp;$G$1),INDIRECT("'数据-取费表'!k"&amp;$G$1)+INDIRECT("'数据-取费表'!s"&amp;$G$1)))</f>
        <v>4460</v>
      </c>
      <c r="E10" s="225">
        <f>'数据-取费表'!B28</f>
        <v>150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4460</v>
      </c>
      <c r="E19" s="211">
        <f>'数据-取费表'!B31</f>
        <v>200</v>
      </c>
      <c r="F19" s="231"/>
      <c r="G19" s="1855" t="s">
        <v>3429</v>
      </c>
    </row>
    <row r="20" spans="1:7" s="214" customFormat="1" ht="13.5" customHeight="1">
      <c r="A20" s="255" t="s">
        <v>1493</v>
      </c>
      <c r="B20" s="210" t="s">
        <v>1494</v>
      </c>
      <c r="C20" s="232">
        <f ca="1">ROUND((C5+C19)*F20,0)</f>
        <v>55</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58</v>
      </c>
      <c r="D22" s="235">
        <f ca="1">C26</f>
        <v>2.9999999999999997E-4</v>
      </c>
      <c r="E22" s="236" t="s">
        <v>1498</v>
      </c>
      <c r="F22" s="237">
        <f ca="1">'数据-取费表'!B40</f>
        <v>3.1E-2</v>
      </c>
      <c r="G22" s="234" t="str">
        <f>IF('数据-取费表'!B22&lt;=1,"单利计息","复利计息")</f>
        <v>单利计息</v>
      </c>
    </row>
    <row r="23" spans="1:7" s="214" customFormat="1" ht="13.5" customHeight="1">
      <c r="A23" s="779" t="s">
        <v>1502</v>
      </c>
      <c r="B23" s="215" t="s">
        <v>1503</v>
      </c>
      <c r="C23" s="1104">
        <f ca="1">ROUND(IF('数据-取费表'!B22&lt;=1,C5*F22*'数据-取费表'!B23,C5*(POWER((1+F22),'数据-取费表'!B23)-1)),0)</f>
        <v>57</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v>
      </c>
      <c r="D25" s="238"/>
      <c r="E25" s="241"/>
      <c r="F25" s="239"/>
      <c r="G25" s="242" t="s">
        <v>1510</v>
      </c>
    </row>
    <row r="26" spans="1:7" s="214" customFormat="1">
      <c r="A26" s="779"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284</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284</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2418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1767</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1561</v>
      </c>
      <c r="D34" s="217"/>
      <c r="E34" s="220"/>
      <c r="F34" s="257">
        <f ca="1">IF('数据-取费表'!B24=0,1,IF(B1="",'数据-取费表'!N16,INDIRECT("'数据-取费表'!n"&amp;$G$1)))</f>
        <v>1</v>
      </c>
      <c r="G34" s="219" t="s">
        <v>1526</v>
      </c>
    </row>
    <row r="35" spans="1:7" ht="13.5" customHeight="1">
      <c r="A35" s="779" t="s">
        <v>351</v>
      </c>
      <c r="B35" s="215" t="s">
        <v>1527</v>
      </c>
      <c r="C35" s="220">
        <f ca="1">ROUND(C34*F35,0)</f>
        <v>78</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89</v>
      </c>
      <c r="D37" s="217">
        <f ca="1">D19</f>
        <v>4460</v>
      </c>
      <c r="E37" s="249">
        <f>'数据-取费表'!B35</f>
        <v>200</v>
      </c>
      <c r="F37" s="259"/>
      <c r="G37" s="261" t="s">
        <v>1532</v>
      </c>
    </row>
    <row r="38" spans="1:7" ht="13.5" customHeight="1">
      <c r="A38" s="779" t="s">
        <v>354</v>
      </c>
      <c r="B38" s="215" t="s">
        <v>1533</v>
      </c>
      <c r="C38" s="220">
        <f ca="1">ROUND(C34*F38,0)</f>
        <v>39</v>
      </c>
      <c r="D38" s="220"/>
      <c r="E38" s="220"/>
      <c r="F38" s="259">
        <f>'数据-取费表'!B36</f>
        <v>2.5000000000000001E-2</v>
      </c>
      <c r="G38" s="219" t="s">
        <v>1528</v>
      </c>
    </row>
    <row r="39" spans="1:7" s="214" customFormat="1" ht="13.5" customHeight="1">
      <c r="A39" s="255" t="s">
        <v>1534</v>
      </c>
      <c r="B39" s="210" t="s">
        <v>1535</v>
      </c>
      <c r="C39" s="232">
        <f ca="1">ROUND(C33*F20,0)</f>
        <v>53</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28</v>
      </c>
      <c r="D41" s="235">
        <f ca="1">C44</f>
        <v>2.9999999999999997E-4</v>
      </c>
      <c r="E41" s="236" t="s">
        <v>1539</v>
      </c>
      <c r="F41" s="237">
        <f ca="1">F22</f>
        <v>3.1E-2</v>
      </c>
      <c r="G41" s="234" t="str">
        <f>IF('数据-取费表'!B22&lt;=1,"单利计息","复利计息")</f>
        <v>单利计息</v>
      </c>
    </row>
    <row r="42" spans="1:7" ht="13.5" customHeight="1">
      <c r="A42" s="779" t="s">
        <v>346</v>
      </c>
      <c r="B42" s="215" t="s">
        <v>1543</v>
      </c>
      <c r="C42" s="238">
        <f ca="1">ROUND(IF('数据-取费表'!B22&lt;=1,C33*F22*'数据-取费表'!B21/2,C33*(POWER((1+F22),'数据-取费表'!B21/2)-1)),0)</f>
        <v>27</v>
      </c>
      <c r="D42" s="238"/>
      <c r="E42" s="238"/>
      <c r="F42" s="239"/>
      <c r="G42" s="3776" t="s">
        <v>1544</v>
      </c>
    </row>
    <row r="43" spans="1:7" ht="13.5" customHeight="1">
      <c r="A43" s="779" t="s">
        <v>347</v>
      </c>
      <c r="B43" s="215" t="s">
        <v>1545</v>
      </c>
      <c r="C43" s="238">
        <f ca="1">ROUND(IF('数据-取费表'!B22&lt;=1,C39*F22*'数据-取费表'!B21/2,C39*(POWER((1+F22),'数据-取费表'!B21/2)-1)),0)</f>
        <v>1</v>
      </c>
      <c r="D43" s="238"/>
      <c r="E43" s="238"/>
      <c r="F43" s="239"/>
      <c r="G43" s="3777"/>
    </row>
    <row r="44" spans="1:7" ht="13.5" customHeight="1">
      <c r="A44" s="779" t="s">
        <v>348</v>
      </c>
      <c r="B44" s="215" t="s">
        <v>1546</v>
      </c>
      <c r="C44" s="238">
        <f ca="1">ROUND(IF('数据-取费表'!B22&lt;=1,C40*F22*'数据-取费表'!B21/2,C40*(POWER((1+F22),'数据-取费表'!B21/2)-1)),4)</f>
        <v>2.9999999999999997E-4</v>
      </c>
      <c r="D44" s="238"/>
      <c r="E44" s="238"/>
      <c r="F44" s="239"/>
      <c r="G44" s="3778"/>
    </row>
    <row r="45" spans="1:7" s="214" customFormat="1" ht="13.5" customHeight="1">
      <c r="A45" s="255" t="s">
        <v>1547</v>
      </c>
      <c r="B45" s="244" t="s">
        <v>1513</v>
      </c>
      <c r="C45" s="245">
        <f ca="1">C46</f>
        <v>273</v>
      </c>
      <c r="D45" s="235">
        <f ca="1">C47</f>
        <v>3.0000000000000001E-3</v>
      </c>
      <c r="E45" s="236" t="s">
        <v>1539</v>
      </c>
      <c r="F45" s="246">
        <f ca="1">F27</f>
        <v>0.15</v>
      </c>
      <c r="G45" s="247" t="s">
        <v>1548</v>
      </c>
    </row>
    <row r="46" spans="1:7" s="214" customFormat="1" ht="13.5" customHeight="1">
      <c r="A46" s="779" t="s">
        <v>346</v>
      </c>
      <c r="B46" s="248" t="s">
        <v>1549</v>
      </c>
      <c r="C46" s="249">
        <f ca="1">ROUND((C33+C39)*F27,0)</f>
        <v>273</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2297</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1378</v>
      </c>
      <c r="D51" s="232"/>
      <c r="E51" s="232"/>
      <c r="F51" s="264"/>
      <c r="G51" s="234" t="s">
        <v>1560</v>
      </c>
    </row>
    <row r="52" spans="1:7" s="208" customFormat="1" ht="16.5" thickBot="1">
      <c r="A52" s="265" t="s">
        <v>1561</v>
      </c>
      <c r="B52" s="266"/>
      <c r="C52" s="267">
        <f ca="1">C31+C51</f>
        <v>3796</v>
      </c>
      <c r="D52" s="266"/>
      <c r="E52" s="266"/>
      <c r="F52" s="266"/>
      <c r="G52" s="268"/>
    </row>
    <row r="55" spans="1:7" ht="15">
      <c r="B55" s="270" t="s">
        <v>1562</v>
      </c>
      <c r="C55" s="271"/>
    </row>
    <row r="56" spans="1:7">
      <c r="B56" s="273" t="s">
        <v>802</v>
      </c>
      <c r="C56" s="275">
        <f ca="1">1-C57</f>
        <v>0.63700000000000001</v>
      </c>
    </row>
    <row r="57" spans="1:7">
      <c r="B57" s="273" t="s">
        <v>803</v>
      </c>
      <c r="C57" s="274">
        <f ca="1">ROUND(C51/C52,3)</f>
        <v>0.36299999999999999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7" zoomScaleNormal="70" zoomScaleSheetLayoutView="10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1">
        <f ca="1">ROUND(IF(D2="——",C52/10000,C52/10000-E2),4)</f>
        <v>3172.7939999999999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7114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13625613</v>
      </c>
      <c r="D5" s="211" t="s">
        <v>1469</v>
      </c>
      <c r="E5" s="212" t="s">
        <v>1470</v>
      </c>
      <c r="F5" s="212" t="s">
        <v>1471</v>
      </c>
      <c r="G5" s="213"/>
    </row>
    <row r="6" spans="1:8" s="214" customFormat="1" ht="13.5" customHeight="1">
      <c r="A6" s="777" t="s">
        <v>1472</v>
      </c>
      <c r="B6" s="215" t="s">
        <v>1473</v>
      </c>
      <c r="C6" s="216">
        <f>基准地价修正!W2+基准地价修正!W3+基准地价修正!W4</f>
        <v>12573132</v>
      </c>
      <c r="D6" s="217"/>
      <c r="E6" s="218"/>
      <c r="F6" s="218"/>
      <c r="G6" s="219"/>
    </row>
    <row r="7" spans="1:8" s="214" customFormat="1" ht="13.5" customHeight="1">
      <c r="A7" s="777" t="s">
        <v>1474</v>
      </c>
      <c r="B7" s="215" t="s">
        <v>1475</v>
      </c>
      <c r="C7" s="220">
        <f>ROUND(C6*F7,0)</f>
        <v>383481</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669000</v>
      </c>
      <c r="D8" s="222"/>
      <c r="E8" s="220"/>
      <c r="F8" s="221"/>
      <c r="G8" s="1855" t="s">
        <v>3428</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100</v>
      </c>
      <c r="F9" s="221"/>
      <c r="G9" s="226"/>
    </row>
    <row r="10" spans="1:8" s="214" customFormat="1" ht="13.5" customHeight="1">
      <c r="A10" s="778" t="s">
        <v>356</v>
      </c>
      <c r="B10" s="224" t="s">
        <v>1480</v>
      </c>
      <c r="C10" s="225">
        <f ca="1">ROUND(D10*E10,0)</f>
        <v>669000</v>
      </c>
      <c r="D10" s="844">
        <f ca="1">IF(B1="",'数据-汇总表'!E6,IF(INDIRECT("'数据-取费表'!c"&amp;$G$1)="住宅",INDIRECT("'数据-取费表'!s"&amp;$G$1),INDIRECT("'数据-取费表'!k"&amp;$G$1)+INDIRECT("'数据-取费表'!s"&amp;$G$1)))</f>
        <v>4460</v>
      </c>
      <c r="E10" s="225">
        <f>'数据-取费表'!B28</f>
        <v>150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4460</v>
      </c>
      <c r="E19" s="211">
        <f>'数据-取费表'!B31</f>
        <v>200</v>
      </c>
      <c r="F19" s="231"/>
      <c r="G19" s="1855" t="s">
        <v>3429</v>
      </c>
    </row>
    <row r="20" spans="1:7" s="214" customFormat="1" ht="13.5" customHeight="1">
      <c r="A20" s="255" t="s">
        <v>1574</v>
      </c>
      <c r="B20" s="210" t="s">
        <v>1575</v>
      </c>
      <c r="C20" s="232">
        <f ca="1">ROUND((C5+C19)*F20,0)</f>
        <v>408768</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428730</v>
      </c>
      <c r="D22" s="235">
        <f ca="1">C26</f>
        <v>2.9999999999999997E-4</v>
      </c>
      <c r="E22" s="236" t="s">
        <v>1579</v>
      </c>
      <c r="F22" s="237">
        <f ca="1">'数据-取费表'!B40</f>
        <v>3.1E-2</v>
      </c>
      <c r="G22" s="234" t="str">
        <f>IF('数据-取费表'!B22&lt;=1,"单利计息","复利计息")</f>
        <v>单利计息</v>
      </c>
    </row>
    <row r="23" spans="1:7" s="214" customFormat="1" ht="13.5" customHeight="1">
      <c r="A23" s="779" t="s">
        <v>1472</v>
      </c>
      <c r="B23" s="215" t="s">
        <v>1583</v>
      </c>
      <c r="C23" s="1127">
        <f ca="1">ROUND(IF('数据-取费表'!B22&lt;=1,C5*F22*'数据-取费表'!B22,C5*(POWER((1+F22),'数据-取费表'!B22)-1)),0)</f>
        <v>422394</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6336</v>
      </c>
      <c r="D25" s="238"/>
      <c r="E25" s="241"/>
      <c r="F25" s="239"/>
      <c r="G25" s="242" t="s">
        <v>1588</v>
      </c>
    </row>
    <row r="26" spans="1:7" s="214" customFormat="1">
      <c r="A26" s="779"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2105157</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2105157</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17942677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17672750</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15610000</v>
      </c>
      <c r="D34" s="217"/>
      <c r="E34" s="220"/>
      <c r="F34" s="257"/>
      <c r="G34" s="219"/>
    </row>
    <row r="35" spans="1:7" ht="13.5" customHeight="1">
      <c r="A35" s="779" t="s">
        <v>351</v>
      </c>
      <c r="B35" s="215" t="s">
        <v>1527</v>
      </c>
      <c r="C35" s="220">
        <f ca="1">ROUND(C34*F35,0)</f>
        <v>780500</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892000</v>
      </c>
      <c r="D37" s="217">
        <f ca="1">D19</f>
        <v>4460</v>
      </c>
      <c r="E37" s="249">
        <f>'数据-取费表'!B35</f>
        <v>200</v>
      </c>
      <c r="F37" s="259"/>
      <c r="G37" s="261"/>
    </row>
    <row r="38" spans="1:7" ht="13.5" customHeight="1">
      <c r="A38" s="779" t="s">
        <v>354</v>
      </c>
      <c r="B38" s="215" t="s">
        <v>1533</v>
      </c>
      <c r="C38" s="220">
        <f ca="1">ROUND(C34*F38,0)</f>
        <v>390250</v>
      </c>
      <c r="D38" s="220"/>
      <c r="E38" s="220"/>
      <c r="F38" s="259">
        <f>'数据-取费表'!B36</f>
        <v>2.5000000000000001E-2</v>
      </c>
      <c r="G38" s="219" t="s">
        <v>1528</v>
      </c>
    </row>
    <row r="39" spans="1:7" s="214" customFormat="1" ht="13.5" customHeight="1">
      <c r="A39" s="255" t="s">
        <v>1534</v>
      </c>
      <c r="B39" s="210" t="s">
        <v>1535</v>
      </c>
      <c r="C39" s="232">
        <f ca="1">ROUND(C33*F20,0)</f>
        <v>530183</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282146</v>
      </c>
      <c r="D41" s="235">
        <f ca="1">C44</f>
        <v>2.9999999999999997E-4</v>
      </c>
      <c r="E41" s="236" t="s">
        <v>1539</v>
      </c>
      <c r="F41" s="237">
        <f ca="1">F22</f>
        <v>3.1E-2</v>
      </c>
      <c r="G41" s="234" t="str">
        <f>IF('数据-取费表'!B22&lt;=1,"单利计息","复利计息")</f>
        <v>单利计息</v>
      </c>
    </row>
    <row r="42" spans="1:7" ht="13.5" customHeight="1">
      <c r="A42" s="779" t="s">
        <v>346</v>
      </c>
      <c r="B42" s="215" t="s">
        <v>1543</v>
      </c>
      <c r="C42" s="238">
        <f ca="1">ROUND(IF('数据-取费表'!B22&lt;=1,C33*F22*'数据-取费表'!B20/2,C33*(POWER((1+F22),'数据-取费表'!B20/2)-1)),0)</f>
        <v>273928</v>
      </c>
      <c r="D42" s="238"/>
      <c r="E42" s="238"/>
      <c r="F42" s="239"/>
      <c r="G42" s="3776" t="s">
        <v>1591</v>
      </c>
    </row>
    <row r="43" spans="1:7" ht="13.5" customHeight="1">
      <c r="A43" s="779" t="s">
        <v>347</v>
      </c>
      <c r="B43" s="215" t="s">
        <v>1545</v>
      </c>
      <c r="C43" s="238">
        <f ca="1">ROUND(IF('数据-取费表'!B22&lt;=1,C39*F22*'数据-取费表'!B20/2,C39*(POWER((1+F22),'数据-取费表'!B20/2)-1)),0)</f>
        <v>8218</v>
      </c>
      <c r="D43" s="238"/>
      <c r="E43" s="238"/>
      <c r="F43" s="239"/>
      <c r="G43" s="3777"/>
    </row>
    <row r="44" spans="1:7" ht="13.5" customHeight="1">
      <c r="A44" s="779" t="s">
        <v>348</v>
      </c>
      <c r="B44" s="215" t="s">
        <v>1546</v>
      </c>
      <c r="C44" s="238">
        <f ca="1">ROUND(IF('数据-取费表'!B22&lt;=1,C40*F22*'数据-取费表'!B20/2,C40*(POWER((1+F22),'数据-取费表'!B20/2)-1)),4)</f>
        <v>2.9999999999999997E-4</v>
      </c>
      <c r="D44" s="238"/>
      <c r="E44" s="238"/>
      <c r="F44" s="239"/>
      <c r="G44" s="3778"/>
    </row>
    <row r="45" spans="1:7" s="214" customFormat="1" ht="13.5" customHeight="1">
      <c r="A45" s="255" t="s">
        <v>1547</v>
      </c>
      <c r="B45" s="244" t="s">
        <v>1513</v>
      </c>
      <c r="C45" s="245">
        <f ca="1">C46</f>
        <v>2730440</v>
      </c>
      <c r="D45" s="235">
        <f ca="1">C47</f>
        <v>3.0000000000000001E-3</v>
      </c>
      <c r="E45" s="236" t="s">
        <v>1539</v>
      </c>
      <c r="F45" s="246">
        <f ca="1">F27</f>
        <v>0.15</v>
      </c>
      <c r="G45" s="247" t="s">
        <v>1548</v>
      </c>
    </row>
    <row r="46" spans="1:7" s="214" customFormat="1" ht="13.5" customHeight="1">
      <c r="A46" s="779" t="s">
        <v>346</v>
      </c>
      <c r="B46" s="248" t="s">
        <v>1549</v>
      </c>
      <c r="C46" s="249">
        <f ca="1">ROUND((C33+C39)*F27,0)</f>
        <v>2730440</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22975438</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13785263</v>
      </c>
      <c r="D51" s="232"/>
      <c r="E51" s="232"/>
      <c r="F51" s="264"/>
      <c r="G51" s="234" t="s">
        <v>1560</v>
      </c>
    </row>
    <row r="52" spans="1:7" s="208" customFormat="1" ht="16.5" thickBot="1">
      <c r="A52" s="265" t="s">
        <v>1561</v>
      </c>
      <c r="B52" s="266"/>
      <c r="C52" s="267">
        <f ca="1">C31+C51</f>
        <v>31727940</v>
      </c>
      <c r="D52" s="266"/>
      <c r="E52" s="266"/>
      <c r="F52" s="266"/>
      <c r="G52" s="268"/>
    </row>
    <row r="55" spans="1:7" ht="15">
      <c r="B55" s="270" t="s">
        <v>1562</v>
      </c>
      <c r="C55" s="271"/>
    </row>
    <row r="56" spans="1:7">
      <c r="B56" s="273" t="s">
        <v>802</v>
      </c>
      <c r="C56" s="275">
        <f ca="1">1-C57</f>
        <v>0.56600000000000006</v>
      </c>
    </row>
    <row r="57" spans="1:7">
      <c r="B57" s="273" t="s">
        <v>803</v>
      </c>
      <c r="C57" s="274">
        <f ca="1">ROUND(C51/C52,3)</f>
        <v>0.434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4460</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2.5000000000000001E-2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4460</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100</v>
      </c>
      <c r="F19" s="803"/>
      <c r="G19" s="12"/>
      <c r="H19" s="1188"/>
      <c r="I19" s="808"/>
      <c r="J19" s="808"/>
      <c r="K19" s="809"/>
    </row>
    <row r="20" spans="1:33" s="802" customFormat="1" ht="13.5" customHeight="1">
      <c r="A20" s="799" t="s">
        <v>361</v>
      </c>
      <c r="B20" s="800" t="s">
        <v>1627</v>
      </c>
      <c r="C20" s="21">
        <f ca="1">ROUND(D20*E20/10000,0)</f>
        <v>67</v>
      </c>
      <c r="D20" s="845">
        <f ca="1">IF(C1="",'数据-汇总表'!E6,IF(INDIRECT("'数据-取费表'!c"&amp;$K$1)="住宅",INDIRECT("'数据-取费表'!s"&amp;$K$1),INDIRECT("'数据-取费表'!k"&amp;$K$1)+INDIRECT("'数据-取费表'!s"&amp;$K$1)))</f>
        <v>4460</v>
      </c>
      <c r="E20" s="21">
        <f>'数据-取费表'!B28</f>
        <v>150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E37" activeCellId="1" sqref="V2:V5 E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932.7</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1717</v>
      </c>
      <c r="C2" s="1998" t="s">
        <v>1935</v>
      </c>
      <c r="D2" s="1999" t="s">
        <v>1936</v>
      </c>
      <c r="E2" s="3419" t="s">
        <v>673</v>
      </c>
      <c r="F2" s="1999" t="s">
        <v>1937</v>
      </c>
      <c r="G2" s="2000" t="str">
        <f>IF(E2="商业",项目基本情况!B37,IF(E2="办公",项目基本情况!C37,IF(E2="住宅",项目基本情况!D37,IF(E2="工业",项目基本情况!E37,项目基本情况!F37))))</f>
        <v>八级</v>
      </c>
      <c r="H2" s="1999" t="s">
        <v>1938</v>
      </c>
      <c r="I2" s="2000" t="str">
        <f>IF(E2="商业",项目基本情况!B38,IF(E2="办公",项目基本情况!C38,IF(E2="住宅",项目基本情况!D38,IF(E2="工业",项目基本情况!E38,项目基本情况!F38))))</f>
        <v>Ⅷ-延1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8">
        <f>ROUND(SUMPRODUCT((B106:B110=R2)*(C105:N105=G2)*(C106:N110)),4)</f>
        <v>1.5418000000000001</v>
      </c>
      <c r="T2" s="3358">
        <f t="shared" ref="T2:T16" si="0">ROUND($C$5*$C$22*$C$23*$C$24*S2*$C$28,0)</f>
        <v>5942</v>
      </c>
      <c r="U2" s="1212">
        <f>ROUND('数据-基础表'!I13/4,2)</f>
        <v>881.83</v>
      </c>
      <c r="V2" s="3358">
        <f>ROUND(T2*U2/10000,0)</f>
        <v>524</v>
      </c>
      <c r="W2" s="1215">
        <f>ROUND(U2*T2,0)</f>
        <v>5239834</v>
      </c>
      <c r="X2" s="1215"/>
      <c r="Y2" s="1215"/>
      <c r="Z2" s="1215"/>
      <c r="AA2" s="1215"/>
      <c r="AB2" s="1215"/>
      <c r="AC2" s="1216"/>
      <c r="AD2" s="1217"/>
      <c r="AE2" s="1217"/>
      <c r="AF2" s="1217"/>
      <c r="AG2" s="1217"/>
      <c r="AH2" s="1217"/>
      <c r="AI2" s="1217"/>
      <c r="AJ2" s="1218"/>
    </row>
    <row r="3" spans="1:36" ht="15.75">
      <c r="A3" s="203" t="s">
        <v>1940</v>
      </c>
      <c r="B3" s="204">
        <f>ROUND(B2*10000/D1,0)</f>
        <v>18409</v>
      </c>
      <c r="C3" s="1998" t="s">
        <v>1941</v>
      </c>
      <c r="D3" s="1999" t="s">
        <v>1942</v>
      </c>
      <c r="E3" s="3417" t="s">
        <v>2438</v>
      </c>
      <c r="F3" s="2003" t="s">
        <v>3774</v>
      </c>
      <c r="G3" s="751">
        <f>IF(F3="宗地容积率",'数据-汇总表'!I4,IF(F3="估价对象容积率",'数据-汇总表'!I6,'数据-汇总表'!I7))</f>
        <v>2.34</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1.1883999999999999</v>
      </c>
      <c r="T3" s="3358">
        <f t="shared" si="0"/>
        <v>4580</v>
      </c>
      <c r="U3" s="1212">
        <f>U2</f>
        <v>881.83</v>
      </c>
      <c r="V3" s="3358">
        <f t="shared" ref="V3:V16" si="1">ROUND(T3*U3/10000,0)</f>
        <v>404</v>
      </c>
      <c r="W3" s="1215">
        <f t="shared" ref="W3:W5" si="2">ROUND(U3*T3,0)</f>
        <v>4038781</v>
      </c>
      <c r="X3" s="1215"/>
      <c r="Y3" s="1215"/>
      <c r="Z3" s="1215"/>
      <c r="AA3" s="1215"/>
      <c r="AB3" s="1215"/>
      <c r="AC3" s="1216"/>
      <c r="AD3" s="1217"/>
      <c r="AE3" s="1217"/>
      <c r="AF3" s="1217"/>
      <c r="AG3" s="1217"/>
      <c r="AH3" s="1217"/>
      <c r="AI3" s="1217"/>
      <c r="AJ3" s="1218"/>
    </row>
    <row r="4" spans="1:36" ht="15.75">
      <c r="A4" s="3786"/>
      <c r="B4" s="3787"/>
      <c r="C4" s="3787"/>
      <c r="D4" s="3788"/>
      <c r="E4" s="3788"/>
      <c r="F4" s="3788"/>
      <c r="G4" s="3788"/>
      <c r="H4" s="3788"/>
      <c r="I4" s="3788"/>
      <c r="J4" s="378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0.96940000000000004</v>
      </c>
      <c r="T4" s="3358">
        <f t="shared" si="0"/>
        <v>3736</v>
      </c>
      <c r="U4" s="1212">
        <f>U2</f>
        <v>881.83</v>
      </c>
      <c r="V4" s="3358">
        <f t="shared" si="1"/>
        <v>329</v>
      </c>
      <c r="W4" s="1215">
        <f t="shared" si="2"/>
        <v>3294517</v>
      </c>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5895</v>
      </c>
      <c r="D5" s="1338">
        <f>ROUND(C6*C17+C20,0)</f>
        <v>5895</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0.82299999999999995</v>
      </c>
      <c r="T5" s="3358">
        <f t="shared" si="0"/>
        <v>3172</v>
      </c>
      <c r="U5" s="1212">
        <f>'数据-基础表'!I13-基准地价修正!U2-基准地价修正!U3-基准地价修正!U4</f>
        <v>881.81000000000029</v>
      </c>
      <c r="V5" s="3358">
        <f t="shared" si="1"/>
        <v>280</v>
      </c>
      <c r="W5" s="1215">
        <f t="shared" si="2"/>
        <v>2797101</v>
      </c>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5860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0.74980000000000002</v>
      </c>
      <c r="T6" s="3358">
        <f t="shared" si="0"/>
        <v>2889</v>
      </c>
      <c r="U6" s="1212"/>
      <c r="V6" s="3358">
        <f t="shared" si="1"/>
        <v>0</v>
      </c>
      <c r="W6" s="1215"/>
      <c r="X6" s="1215"/>
      <c r="Y6" s="1215"/>
      <c r="Z6" s="1215"/>
      <c r="AA6" s="1215"/>
      <c r="AB6" s="1215"/>
      <c r="AC6" s="2010"/>
      <c r="AD6" s="2011"/>
      <c r="AE6" s="2011"/>
      <c r="AF6" s="2011"/>
      <c r="AG6" s="2011"/>
      <c r="AH6" s="2011"/>
      <c r="AI6" s="2011"/>
      <c r="AJ6" s="2012"/>
    </row>
    <row r="7" spans="1:36" ht="24.75" thickBot="1">
      <c r="A7" s="3301" t="s">
        <v>3236</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6"/>
      <c r="T7" s="3358">
        <f t="shared" si="0"/>
        <v>0</v>
      </c>
      <c r="U7" s="1212"/>
      <c r="V7" s="3358">
        <f t="shared" si="1"/>
        <v>0</v>
      </c>
      <c r="W7" s="1357" t="s">
        <v>1955</v>
      </c>
      <c r="X7" s="1213" t="str">
        <f>G2</f>
        <v>八级</v>
      </c>
      <c r="Y7" s="1213" t="s">
        <v>1956</v>
      </c>
      <c r="Z7" s="1214">
        <f>G3</f>
        <v>2.34</v>
      </c>
      <c r="AA7" s="1215"/>
      <c r="AB7" s="1215"/>
      <c r="AC7" s="1216"/>
      <c r="AD7" s="1217"/>
      <c r="AE7" s="1217"/>
      <c r="AF7" s="1217"/>
      <c r="AG7" s="1217"/>
      <c r="AH7" s="1217"/>
      <c r="AI7" s="1217"/>
      <c r="AJ7" s="1218"/>
    </row>
    <row r="8" spans="1:36" ht="25.5">
      <c r="A8" s="3296"/>
      <c r="B8" s="170" t="s">
        <v>1957</v>
      </c>
      <c r="C8" s="2025" t="s">
        <v>3417</v>
      </c>
      <c r="D8" s="755" t="s">
        <v>112</v>
      </c>
      <c r="E8" s="756" t="e">
        <f>ROUND(C11/E7,4)</f>
        <v>#DIV/0!</v>
      </c>
      <c r="F8" s="2026" t="s">
        <v>1958</v>
      </c>
      <c r="G8" s="2027"/>
      <c r="H8" s="2027"/>
      <c r="I8" s="2027"/>
      <c r="J8" s="2028"/>
      <c r="K8" s="1118"/>
      <c r="L8" s="2002" t="s">
        <v>1959</v>
      </c>
      <c r="M8" s="863">
        <f>SUMPRODUCT((区片价!B234:B276=I2)*(区片价!C3:G3=E2)*(区片价!C234:G276))</f>
        <v>5860</v>
      </c>
      <c r="N8" s="865">
        <f>SUMPRODUCT((因素修正幅度!B234:B276=I2)*(因素修正幅度!C3:G3=E2)*(因素修正幅度!C234:G276))</f>
        <v>0.1</v>
      </c>
      <c r="O8" s="1118"/>
      <c r="P8" s="1118"/>
      <c r="Q8" s="1118"/>
      <c r="R8" s="1211">
        <v>7</v>
      </c>
      <c r="S8" s="1212"/>
      <c r="T8" s="3358">
        <f t="shared" si="0"/>
        <v>0</v>
      </c>
      <c r="U8" s="1212"/>
      <c r="V8" s="3358">
        <f t="shared" si="1"/>
        <v>0</v>
      </c>
      <c r="W8" s="3783" t="s">
        <v>1960</v>
      </c>
      <c r="X8" s="378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8">
        <f t="shared" si="0"/>
        <v>0</v>
      </c>
      <c r="U9" s="1212"/>
      <c r="V9" s="3358">
        <f t="shared" si="1"/>
        <v>0</v>
      </c>
      <c r="W9" s="3785"/>
      <c r="X9" s="3359" t="s">
        <v>3266</v>
      </c>
      <c r="Y9" s="3360">
        <v>6</v>
      </c>
      <c r="Z9" s="3361">
        <f>$Y$9</f>
        <v>6</v>
      </c>
      <c r="AA9" s="3361">
        <f t="shared" ref="AA9:AJ9" si="3">$Y$9</f>
        <v>6</v>
      </c>
      <c r="AB9" s="3361">
        <f t="shared" si="3"/>
        <v>6</v>
      </c>
      <c r="AC9" s="3361">
        <f t="shared" si="3"/>
        <v>6</v>
      </c>
      <c r="AD9" s="3361">
        <f t="shared" si="3"/>
        <v>6</v>
      </c>
      <c r="AE9" s="3361">
        <f t="shared" si="3"/>
        <v>6</v>
      </c>
      <c r="AF9" s="3361">
        <f t="shared" si="3"/>
        <v>6</v>
      </c>
      <c r="AG9" s="3361">
        <f t="shared" si="3"/>
        <v>6</v>
      </c>
      <c r="AH9" s="3361">
        <f t="shared" si="3"/>
        <v>6</v>
      </c>
      <c r="AI9" s="3361">
        <f t="shared" si="3"/>
        <v>6</v>
      </c>
      <c r="AJ9" s="3361">
        <f t="shared" si="3"/>
        <v>6</v>
      </c>
    </row>
    <row r="10" spans="1:36" ht="15">
      <c r="A10" s="3296"/>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8">
        <f t="shared" si="0"/>
        <v>0</v>
      </c>
      <c r="U10" s="1212"/>
      <c r="V10" s="3358">
        <f t="shared" si="1"/>
        <v>0</v>
      </c>
      <c r="W10" s="3785"/>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f t="shared" si="0"/>
        <v>0</v>
      </c>
      <c r="U11" s="1212"/>
      <c r="V11" s="3358">
        <f t="shared" si="1"/>
        <v>0</v>
      </c>
      <c r="W11" s="1215"/>
      <c r="X11" s="1215"/>
      <c r="Y11" s="1215"/>
      <c r="Z11" s="1215"/>
      <c r="AA11" s="1215"/>
      <c r="AB11" s="1215"/>
      <c r="AC11" s="1216"/>
      <c r="AD11" s="2786"/>
      <c r="AE11" s="2786"/>
      <c r="AF11" s="2786"/>
      <c r="AG11" s="2786"/>
      <c r="AH11" s="2786"/>
      <c r="AI11" s="2786"/>
      <c r="AJ11" s="2787"/>
    </row>
    <row r="12" spans="1:36" ht="25.5" thickBot="1">
      <c r="A12" s="3301" t="s">
        <v>3237</v>
      </c>
      <c r="B12" s="3302" t="s">
        <v>3238</v>
      </c>
      <c r="C12" s="3303">
        <v>1</v>
      </c>
      <c r="D12" s="3304" t="s">
        <v>3239</v>
      </c>
      <c r="E12" s="3305" t="s">
        <v>3240</v>
      </c>
      <c r="F12" s="3306"/>
      <c r="G12" s="3307"/>
      <c r="H12" s="3307"/>
      <c r="I12" s="3307"/>
      <c r="J12" s="3308"/>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f t="shared" si="0"/>
        <v>0</v>
      </c>
      <c r="U12" s="1212"/>
      <c r="V12" s="3358">
        <f t="shared" si="1"/>
        <v>0</v>
      </c>
      <c r="W12" s="1215"/>
      <c r="X12" s="1215"/>
      <c r="Y12" s="1215"/>
      <c r="Z12" s="1215"/>
      <c r="AA12" s="1215"/>
      <c r="AB12" s="1215"/>
      <c r="AC12" s="1216"/>
      <c r="AD12" s="2786"/>
      <c r="AE12" s="2786"/>
      <c r="AF12" s="2786"/>
      <c r="AG12" s="2786"/>
      <c r="AH12" s="2786"/>
      <c r="AI12" s="2786"/>
      <c r="AJ12" s="2787"/>
    </row>
    <row r="13" spans="1:36" ht="15.75" thickBot="1">
      <c r="A13" s="3301" t="s">
        <v>3241</v>
      </c>
      <c r="B13" s="2033" t="s">
        <v>1982</v>
      </c>
      <c r="C13" s="754">
        <f>ROUND(C16*D16*E16*F16*G16*H16*I16*J16,4)</f>
        <v>0</v>
      </c>
      <c r="D13" s="2034" t="s">
        <v>1983</v>
      </c>
      <c r="E13" s="2035"/>
      <c r="F13" s="2035"/>
      <c r="G13" s="2036"/>
      <c r="H13" s="2036"/>
      <c r="I13" s="2036"/>
      <c r="J13" s="2037"/>
      <c r="K13" s="1118"/>
      <c r="L13" s="3297"/>
      <c r="M13" s="3298"/>
      <c r="N13" s="3299"/>
      <c r="O13" s="1118"/>
      <c r="P13" s="1118"/>
      <c r="Q13" s="1118"/>
      <c r="R13" s="1211">
        <v>12</v>
      </c>
      <c r="S13" s="1212"/>
      <c r="T13" s="3358">
        <f t="shared" si="0"/>
        <v>0</v>
      </c>
      <c r="U13" s="1212"/>
      <c r="V13" s="3358">
        <f t="shared" si="1"/>
        <v>0</v>
      </c>
      <c r="W13" s="1215"/>
      <c r="X13" s="1215"/>
      <c r="Y13" s="1215"/>
      <c r="Z13" s="1215"/>
      <c r="AA13" s="1215"/>
      <c r="AB13" s="1215"/>
      <c r="AC13" s="1216"/>
      <c r="AD13" s="2786"/>
      <c r="AE13" s="2786"/>
      <c r="AF13" s="2786"/>
      <c r="AG13" s="2786"/>
      <c r="AH13" s="2786"/>
      <c r="AI13" s="2786"/>
      <c r="AJ13" s="2787"/>
    </row>
    <row r="14" spans="1:36" ht="15">
      <c r="A14" s="3295"/>
      <c r="B14" s="2039" t="s">
        <v>1985</v>
      </c>
      <c r="C14" s="2040" t="s">
        <v>1986</v>
      </c>
      <c r="D14" s="1349" t="s">
        <v>1987</v>
      </c>
      <c r="E14" s="27" t="s">
        <v>1988</v>
      </c>
      <c r="F14" s="3309" t="s">
        <v>3242</v>
      </c>
      <c r="G14" s="3309" t="s">
        <v>3242</v>
      </c>
      <c r="H14" s="3309" t="s">
        <v>3242</v>
      </c>
      <c r="I14" s="3309" t="s">
        <v>3242</v>
      </c>
      <c r="J14" s="3309" t="s">
        <v>3242</v>
      </c>
      <c r="K14" s="1118"/>
      <c r="L14" s="1118"/>
      <c r="M14" s="1118"/>
      <c r="N14" s="1118"/>
      <c r="O14" s="1118"/>
      <c r="P14" s="1118"/>
      <c r="Q14" s="1118"/>
      <c r="R14" s="1211">
        <v>13</v>
      </c>
      <c r="S14" s="1212"/>
      <c r="T14" s="3358">
        <f t="shared" si="0"/>
        <v>0</v>
      </c>
      <c r="U14" s="1212"/>
      <c r="V14" s="3358">
        <f t="shared" si="1"/>
        <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3243</v>
      </c>
      <c r="G15" s="3311"/>
      <c r="H15" s="3312"/>
      <c r="I15" s="3313"/>
      <c r="J15" s="3314"/>
      <c r="K15" s="1118"/>
      <c r="L15" s="1118"/>
      <c r="M15" s="1118"/>
      <c r="N15" s="1118"/>
      <c r="O15" s="1118"/>
      <c r="P15" s="1118"/>
      <c r="Q15" s="1118"/>
      <c r="R15" s="1211">
        <v>14</v>
      </c>
      <c r="S15" s="1212"/>
      <c r="T15" s="3358">
        <f t="shared" si="0"/>
        <v>0</v>
      </c>
      <c r="U15" s="1212"/>
      <c r="V15" s="3358">
        <f t="shared" si="1"/>
        <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8"/>
      <c r="L16" s="1996"/>
      <c r="M16" s="1996"/>
      <c r="N16" s="1996"/>
      <c r="O16" s="1996"/>
      <c r="P16" s="1996"/>
      <c r="Q16" s="1118"/>
      <c r="R16" s="1211">
        <v>15</v>
      </c>
      <c r="S16" s="1212"/>
      <c r="T16" s="3358">
        <f t="shared" si="0"/>
        <v>0</v>
      </c>
      <c r="U16" s="1212"/>
      <c r="V16" s="3358">
        <f t="shared" si="1"/>
        <v>0</v>
      </c>
      <c r="W16" s="1215"/>
      <c r="X16" s="1215"/>
      <c r="Y16" s="1215"/>
      <c r="Z16" s="1215"/>
      <c r="AA16" s="1215"/>
      <c r="AB16" s="1215"/>
      <c r="AC16" s="1216"/>
      <c r="AD16" s="2786"/>
      <c r="AE16" s="2786"/>
      <c r="AF16" s="2786"/>
      <c r="AG16" s="2786"/>
      <c r="AH16" s="2786"/>
      <c r="AI16" s="2786"/>
      <c r="AJ16" s="2787"/>
    </row>
    <row r="17" spans="1:37">
      <c r="A17" s="3327" t="s">
        <v>3244</v>
      </c>
      <c r="B17" s="3318" t="s">
        <v>3245</v>
      </c>
      <c r="C17" s="3328">
        <f>ROUND(IF(OR(E2="工业",E2="公共服务"),1,IF(AND(E18=0,E19=0),1,IF(AND(E18=J24,E19=G19),0.8,IF(E19=0,1+E17*(-0.2),1+E17*G17*(-0.2))))),4)</f>
        <v>1</v>
      </c>
      <c r="D17" s="3319" t="s">
        <v>3246</v>
      </c>
      <c r="E17" s="3328">
        <f>ROUND(G18/I18,2)</f>
        <v>0</v>
      </c>
      <c r="F17" s="3319" t="s">
        <v>3249</v>
      </c>
      <c r="G17" s="3328" t="e">
        <f>ROUND(E19/G19,2)</f>
        <v>#DIV/0!</v>
      </c>
      <c r="H17" s="3328"/>
      <c r="I17" s="3328"/>
      <c r="J17" s="3329"/>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0"/>
      <c r="B18" s="3007"/>
      <c r="C18" s="3325"/>
      <c r="D18" s="3320" t="s">
        <v>3247</v>
      </c>
      <c r="E18" s="3326"/>
      <c r="F18" s="3321" t="s">
        <v>3250</v>
      </c>
      <c r="G18" s="3325">
        <f>ROUND(1-(1/(POWER(1+G24,E18))),4)</f>
        <v>0</v>
      </c>
      <c r="H18" s="3321" t="s">
        <v>3252</v>
      </c>
      <c r="I18" s="3325">
        <f>ROUND(1-(1/(POWER(1+G24,J24))),4)</f>
        <v>0.88249999999999995</v>
      </c>
      <c r="J18" s="3331"/>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2"/>
      <c r="B19" s="3333"/>
      <c r="C19" s="3334"/>
      <c r="D19" s="3334" t="s">
        <v>3248</v>
      </c>
      <c r="E19" s="3335"/>
      <c r="F19" s="3336" t="s">
        <v>3251</v>
      </c>
      <c r="G19" s="3335"/>
      <c r="H19" s="3334"/>
      <c r="I19" s="3334"/>
      <c r="J19" s="3337"/>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790" t="s">
        <v>3253</v>
      </c>
      <c r="B20" s="167" t="s">
        <v>1994</v>
      </c>
      <c r="C20" s="3322">
        <f>ROUND(IF(F21="与级别开发程度一致",0,(G21-E21)/C21),0)</f>
        <v>35</v>
      </c>
      <c r="D20" s="3338" t="s">
        <v>1998</v>
      </c>
      <c r="E20" s="3339"/>
      <c r="F20" s="3796" t="s">
        <v>1995</v>
      </c>
      <c r="G20" s="3797"/>
      <c r="H20" s="3323" t="s">
        <v>3418</v>
      </c>
      <c r="I20" s="3323" t="s">
        <v>3419</v>
      </c>
      <c r="J20" s="3324" t="s">
        <v>3420</v>
      </c>
      <c r="K20" s="2046" t="s">
        <v>3421</v>
      </c>
      <c r="L20" s="2046" t="s">
        <v>3422</v>
      </c>
      <c r="M20" s="2046" t="s">
        <v>3775</v>
      </c>
      <c r="N20" s="2046" t="s">
        <v>3776</v>
      </c>
      <c r="O20" s="2047" t="s">
        <v>3423</v>
      </c>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791"/>
      <c r="B21" s="2163" t="s">
        <v>1997</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3777</v>
      </c>
      <c r="G21" s="2156">
        <f>SUM(H21:O21)</f>
        <v>255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40</v>
      </c>
      <c r="N21" s="2164">
        <f>SUMPRODUCT((七通一平=N20)*(修正!B1:M1=G2)*(修正!B8:M16))</f>
        <v>30</v>
      </c>
      <c r="O21" s="2166">
        <f>SUMPRODUCT((七通一平=O20)*(修正!B1:M1=G2)*(修正!B8:M16))</f>
        <v>10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2053" t="s">
        <v>2002</v>
      </c>
      <c r="E23" s="760">
        <v>44197</v>
      </c>
      <c r="F23" s="2053" t="s">
        <v>2003</v>
      </c>
      <c r="G23" s="761">
        <f>'数据-取费表'!B2</f>
        <v>45706</v>
      </c>
      <c r="H23" s="3340" t="s">
        <v>3254</v>
      </c>
      <c r="I23" s="3341" t="str">
        <f>IF(H23="季度增幅（自定义）",SUMIF(N25:N28,E2,O25:O28),"")</f>
        <v/>
      </c>
      <c r="J23" s="3443" t="s">
        <v>3424</v>
      </c>
      <c r="K23" s="1124"/>
      <c r="L23" s="2054" t="s">
        <v>2004</v>
      </c>
      <c r="M23" s="1327">
        <f>ROUND(SUMIF(地价!B2:G2,E2,地价!B16:G16),0)</f>
        <v>350</v>
      </c>
      <c r="N23" s="2055" t="s">
        <v>2005</v>
      </c>
      <c r="O23" s="762">
        <f>ROUNDDOWN(DATEDIF(E23,G23,"M")/3,0)</f>
        <v>16</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0.60670000000000002</v>
      </c>
      <c r="D24" s="2059" t="s">
        <v>2007</v>
      </c>
      <c r="E24" s="1334">
        <f>存贷款利率!E27/100</f>
        <v>4.3499999999999997E-2</v>
      </c>
      <c r="F24" s="2059" t="s">
        <v>1999</v>
      </c>
      <c r="G24" s="767">
        <f>SUMIF(M30:Q30,E2,M33:Q33)</f>
        <v>5.5E-2</v>
      </c>
      <c r="H24" s="2059" t="s">
        <v>2008</v>
      </c>
      <c r="I24" s="768">
        <f>SUMIF('数据-取费表'!C6:C15,E2,'数据-取费表'!F6:F15)/COUNTIF('数据-取费表'!C6:C15,E2)</f>
        <v>14.32</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3425</v>
      </c>
      <c r="C25" s="770">
        <f>IF(B25="容积率修正",IF(G3&lt;10,D26,J26),C27)</f>
        <v>0</v>
      </c>
      <c r="D25" s="2066"/>
      <c r="E25" s="2066"/>
      <c r="F25" s="2066"/>
      <c r="G25" s="2066"/>
      <c r="H25" s="2066"/>
      <c r="I25" s="2066"/>
      <c r="J25" s="2067"/>
      <c r="K25" s="1124"/>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2" t="s">
        <v>3255</v>
      </c>
      <c r="D26" s="1351">
        <f>IF(E26=G26,F26,IF(G3&lt;10,ROUND(F26+(H26-F26)*(G3-E26)/(G26-E26),4),"——"))</f>
        <v>0.96199999999999997</v>
      </c>
      <c r="E26" s="751">
        <f>ROUNDDOWN(G3,1)</f>
        <v>2.2999999999999998</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0.96609999999999996</v>
      </c>
      <c r="G26" s="751">
        <f>ROUNDUP(G3,1)</f>
        <v>2.4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0.95579999999999998</v>
      </c>
      <c r="I26" s="3342" t="s">
        <v>3256</v>
      </c>
      <c r="J26" s="771" t="str">
        <f>IF(G3&gt;=10,D115,"——")</f>
        <v>——</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1.046</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1717</v>
      </c>
      <c r="D30" s="2082"/>
      <c r="E30" s="2045"/>
      <c r="F30" s="2083"/>
      <c r="G30" s="2045"/>
      <c r="H30" s="2045"/>
      <c r="I30" s="2045"/>
      <c r="J30" s="2084"/>
      <c r="K30" s="1118"/>
      <c r="L30" s="3348" t="s">
        <v>1936</v>
      </c>
      <c r="M30" s="3349" t="s">
        <v>1990</v>
      </c>
      <c r="N30" s="3349" t="s">
        <v>1991</v>
      </c>
      <c r="O30" s="3349" t="s">
        <v>1992</v>
      </c>
      <c r="P30" s="3349" t="s">
        <v>1993</v>
      </c>
      <c r="Q30" s="3352" t="s">
        <v>3260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45</v>
      </c>
      <c r="D31" s="2086"/>
      <c r="E31" s="2087"/>
      <c r="F31" s="2088"/>
      <c r="G31" s="2087"/>
      <c r="H31" s="2087"/>
      <c r="I31" s="2087"/>
      <c r="J31" s="2089"/>
      <c r="K31" s="1118"/>
      <c r="L31" s="3350" t="s">
        <v>1996</v>
      </c>
      <c r="M31" s="1999">
        <v>0.25</v>
      </c>
      <c r="N31" s="1999">
        <v>0.2</v>
      </c>
      <c r="O31" s="1999">
        <v>0.15</v>
      </c>
      <c r="P31" s="1999">
        <v>0.1</v>
      </c>
      <c r="Q31" s="3345">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1" t="s">
        <v>1999</v>
      </c>
      <c r="M32" s="2568">
        <f>ROUND($E$24*(1+M31),3)</f>
        <v>5.3999999999999999E-2</v>
      </c>
      <c r="N32" s="2568">
        <f>ROUND($E$24*(1+N31),3)</f>
        <v>5.1999999999999998E-2</v>
      </c>
      <c r="O32" s="2568">
        <f>ROUND($E$24*(1+O31),3)</f>
        <v>0.05</v>
      </c>
      <c r="P32" s="2568">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0</v>
      </c>
      <c r="D33" s="2097"/>
      <c r="E33" s="772">
        <f>ROUND(C33*D33/10000,0)</f>
        <v>0</v>
      </c>
      <c r="F33" s="3343" t="s">
        <v>3258</v>
      </c>
      <c r="G33" s="2098"/>
      <c r="H33" s="2098"/>
      <c r="I33" s="2098"/>
      <c r="J33" s="2099"/>
      <c r="K33" s="1118"/>
      <c r="L33" s="3346" t="s">
        <v>3261</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6" t="s">
        <v>3262</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4" t="s">
        <v>3259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4" t="s">
        <v>3263</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94"/>
      <c r="B37" s="2112" t="s">
        <v>2036</v>
      </c>
      <c r="C37" s="175">
        <f>ROUND(D5*C22*C23*C24*C28*F37,0)</f>
        <v>1927</v>
      </c>
      <c r="D37" s="2097">
        <f>'数据-汇总表'!G19</f>
        <v>932.7</v>
      </c>
      <c r="E37" s="171">
        <f>ROUND(C37*D37/10000,0)</f>
        <v>180</v>
      </c>
      <c r="F37" s="171">
        <f>SUMIF(修正!A57:A68,G2,修正!B57:B68)</f>
        <v>0.5</v>
      </c>
      <c r="G37" s="171">
        <f>ROUND(IF(E2="工业",C37*$M$42,C37*$M$41),0)</f>
        <v>482</v>
      </c>
      <c r="H37" s="171">
        <f>D37</f>
        <v>932.7</v>
      </c>
      <c r="I37" s="171">
        <f>ROUND(G37*H37/10000,0)</f>
        <v>45</v>
      </c>
      <c r="J37" s="3009"/>
      <c r="K37" s="3356" t="s">
        <v>3264</v>
      </c>
      <c r="L37" s="3354">
        <f ca="1">L36+K38</f>
        <v>3.5999999999999997E-2</v>
      </c>
      <c r="M37" s="3355">
        <f ca="1">ROUND($L$37*(1+M31),3)</f>
        <v>4.4999999999999998E-2</v>
      </c>
      <c r="N37" s="3355">
        <f t="shared" ref="N37:Q37" ca="1" si="4">ROUND($L$37*(1+N31),3)</f>
        <v>4.2999999999999997E-2</v>
      </c>
      <c r="O37" s="3355">
        <f t="shared" ca="1" si="4"/>
        <v>4.1000000000000002E-2</v>
      </c>
      <c r="P37" s="3355">
        <f t="shared" ca="1" si="4"/>
        <v>0.04</v>
      </c>
      <c r="Q37" s="3355">
        <f t="shared" ca="1" si="4"/>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95"/>
      <c r="B38" s="2040" t="s">
        <v>2037</v>
      </c>
      <c r="C38" s="175">
        <f>ROUND(D5*C22*C23*C24*C28*F38,0)</f>
        <v>771</v>
      </c>
      <c r="D38" s="2097"/>
      <c r="E38" s="171">
        <f t="shared" ref="E38:E42" si="5">ROUND(C38*D38/10000,0)</f>
        <v>0</v>
      </c>
      <c r="F38" s="171">
        <f>SUMIF(修正!A57:A68,G2,修正!C57:C68)</f>
        <v>0.2</v>
      </c>
      <c r="G38" s="171">
        <f>ROUND(IF(E2="工业",C38*$M$42,C38*$M$41),0)</f>
        <v>193</v>
      </c>
      <c r="H38" s="171">
        <f t="shared" ref="H38:H42" si="6">D38</f>
        <v>0</v>
      </c>
      <c r="I38" s="171">
        <f t="shared" ref="I38:I42" si="7">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795"/>
      <c r="B39" s="2040" t="s">
        <v>3257</v>
      </c>
      <c r="C39" s="175">
        <f>ROUND(D5*C22*C23*C24*C28*F39,0)</f>
        <v>771</v>
      </c>
      <c r="D39" s="2097"/>
      <c r="E39" s="171">
        <f t="shared" si="5"/>
        <v>0</v>
      </c>
      <c r="F39" s="171">
        <f>SUMIF(修正!A57:A68,G2,修正!D57:D68)</f>
        <v>0.2</v>
      </c>
      <c r="G39" s="171">
        <f>ROUND(IF(E2="工业",C39*$M$42,C39*$M$41),0)</f>
        <v>193</v>
      </c>
      <c r="H39" s="171">
        <f t="shared" si="6"/>
        <v>0</v>
      </c>
      <c r="I39" s="171">
        <f t="shared" si="7"/>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771</v>
      </c>
      <c r="D40" s="2097"/>
      <c r="E40" s="171">
        <f t="shared" si="5"/>
        <v>0</v>
      </c>
      <c r="F40" s="175">
        <f>SUMIF(修正!A57:A68,G2,修正!E57:E68)</f>
        <v>0.2</v>
      </c>
      <c r="G40" s="171">
        <f>ROUND(IF(E2="工业",C40*$M$42,C40*$M$41),0)</f>
        <v>193</v>
      </c>
      <c r="H40" s="171">
        <f t="shared" si="6"/>
        <v>0</v>
      </c>
      <c r="I40" s="171">
        <f t="shared" si="7"/>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730</v>
      </c>
      <c r="D41" s="2097"/>
      <c r="E41" s="171">
        <f t="shared" si="5"/>
        <v>0</v>
      </c>
      <c r="F41" s="175">
        <f>SUMIF(修正!A57:A68,G2,修正!F57:F68)</f>
        <v>0.2</v>
      </c>
      <c r="G41" s="171">
        <f>ROUND(IF(E2="工业",C41*$M$42,C41*$M$41),0)</f>
        <v>183</v>
      </c>
      <c r="H41" s="171">
        <f t="shared" si="6"/>
        <v>0</v>
      </c>
      <c r="I41" s="171">
        <f t="shared" si="7"/>
        <v>0</v>
      </c>
      <c r="J41" s="2113"/>
      <c r="L41" s="3357" t="s">
        <v>3265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365</v>
      </c>
      <c r="D42" s="2102"/>
      <c r="E42" s="187">
        <f t="shared" si="5"/>
        <v>0</v>
      </c>
      <c r="F42" s="766">
        <f>SUMIF(修正!A57:A68,G2,修正!G57:G68)</f>
        <v>0.1</v>
      </c>
      <c r="G42" s="187">
        <f>ROUND(IF(E2="工业",C42*$M$42,C42*$M$41),0)</f>
        <v>91</v>
      </c>
      <c r="H42" s="187">
        <f t="shared" si="6"/>
        <v>0</v>
      </c>
      <c r="I42" s="187">
        <f t="shared" si="7"/>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0.57499999999999996</v>
      </c>
      <c r="D44" s="171" t="s">
        <v>1999</v>
      </c>
      <c r="E44" s="2152">
        <f>G24</f>
        <v>5.5E-2</v>
      </c>
      <c r="F44" s="171" t="s">
        <v>2008</v>
      </c>
      <c r="G44" s="183">
        <f>项目基本情况!D15</f>
        <v>14.32</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1.046</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3426</v>
      </c>
      <c r="D50" s="1064">
        <f t="shared" ref="D50:D58" si="8">SUMIF($J$49:$N$49,C50,J50:N50)</f>
        <v>1.4999999999999999E-2</v>
      </c>
      <c r="E50" s="743">
        <f>ROUND(SUM(D50:D58),4)</f>
        <v>4.5999999999999999E-2</v>
      </c>
      <c r="F50" s="1813">
        <f>IF(E2="商业",SUMIF(L1:L12,G2,N1:N12),"——")</f>
        <v>0.1</v>
      </c>
      <c r="G50" s="1062">
        <f>H50</f>
        <v>1.4999999999999999E-2</v>
      </c>
      <c r="H50" s="1065">
        <f t="shared" ref="H50:H58" si="9">IFERROR(ROUNDDOWN($F$50*I50/2,4),"——")</f>
        <v>1.4999999999999999E-2</v>
      </c>
      <c r="I50" s="3364">
        <v>0.3</v>
      </c>
      <c r="J50" s="1063">
        <f t="shared" ref="J50:J58" si="10">K50+$G50</f>
        <v>0.03</v>
      </c>
      <c r="K50" s="1063">
        <f t="shared" ref="K50:K58" si="11">$L50+$G50</f>
        <v>1.4999999999999999E-2</v>
      </c>
      <c r="L50" s="1063">
        <v>0</v>
      </c>
      <c r="M50" s="1063">
        <f t="shared" ref="M50:N58" si="12">L50-$G50</f>
        <v>-1.4999999999999999E-2</v>
      </c>
      <c r="N50" s="1063">
        <f t="shared" si="12"/>
        <v>-0.03</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3426</v>
      </c>
      <c r="D51" s="1064">
        <f t="shared" si="8"/>
        <v>1.0999999999999999E-2</v>
      </c>
      <c r="E51" s="744"/>
      <c r="F51" s="1813"/>
      <c r="G51" s="1062">
        <f t="shared" ref="G51:G58" si="13">H51</f>
        <v>1.0999999999999999E-2</v>
      </c>
      <c r="H51" s="1065">
        <f t="shared" si="9"/>
        <v>1.0999999999999999E-2</v>
      </c>
      <c r="I51" s="3364">
        <v>0.22</v>
      </c>
      <c r="J51" s="1063">
        <f t="shared" si="10"/>
        <v>2.1999999999999999E-2</v>
      </c>
      <c r="K51" s="1063">
        <f t="shared" si="11"/>
        <v>1.0999999999999999E-2</v>
      </c>
      <c r="L51" s="1063">
        <v>0</v>
      </c>
      <c r="M51" s="1063">
        <f t="shared" si="12"/>
        <v>-1.0999999999999999E-2</v>
      </c>
      <c r="N51" s="1063">
        <f t="shared" si="12"/>
        <v>-2.1999999999999999E-2</v>
      </c>
      <c r="AA51" s="1119"/>
      <c r="AB51" s="1119"/>
      <c r="AC51" s="1119"/>
      <c r="AD51" s="1119"/>
      <c r="AE51" s="1119"/>
      <c r="AF51" s="1119"/>
      <c r="AG51" s="1119"/>
      <c r="AH51" s="1119"/>
      <c r="AI51" s="1119"/>
      <c r="AJ51" s="1119"/>
      <c r="AK51" s="1119"/>
    </row>
    <row r="52" spans="1:37" s="1118" customFormat="1" ht="36">
      <c r="A52" s="3366" t="s">
        <v>3267</v>
      </c>
      <c r="B52" s="2133">
        <f>估价对象房地状况!C19</f>
        <v>0</v>
      </c>
      <c r="C52" s="2043" t="s">
        <v>3426</v>
      </c>
      <c r="D52" s="1064">
        <f t="shared" si="8"/>
        <v>6.0000000000000001E-3</v>
      </c>
      <c r="E52" s="744"/>
      <c r="F52" s="1813"/>
      <c r="G52" s="1062">
        <f t="shared" si="13"/>
        <v>6.0000000000000001E-3</v>
      </c>
      <c r="H52" s="1065">
        <f t="shared" si="9"/>
        <v>6.0000000000000001E-3</v>
      </c>
      <c r="I52" s="3364">
        <v>0.12</v>
      </c>
      <c r="J52" s="1063">
        <f t="shared" si="10"/>
        <v>1.2E-2</v>
      </c>
      <c r="K52" s="1063">
        <f t="shared" si="11"/>
        <v>6.0000000000000001E-3</v>
      </c>
      <c r="L52" s="1063">
        <v>0</v>
      </c>
      <c r="M52" s="1063">
        <f t="shared" si="12"/>
        <v>-6.0000000000000001E-3</v>
      </c>
      <c r="N52" s="1063">
        <f t="shared" si="12"/>
        <v>-1.2E-2</v>
      </c>
      <c r="AA52" s="1119"/>
      <c r="AB52" s="1119"/>
      <c r="AC52" s="1119"/>
      <c r="AD52" s="1119"/>
      <c r="AE52" s="1119"/>
      <c r="AF52" s="1119"/>
      <c r="AG52" s="1119"/>
      <c r="AH52" s="1119"/>
      <c r="AI52" s="1119"/>
      <c r="AJ52" s="1119"/>
      <c r="AK52" s="1119"/>
    </row>
    <row r="53" spans="1:37" s="1118" customFormat="1" ht="36.75">
      <c r="A53" s="2129" t="s">
        <v>2054</v>
      </c>
      <c r="B53" s="2134" t="s">
        <v>2055</v>
      </c>
      <c r="C53" s="2043" t="s">
        <v>3426</v>
      </c>
      <c r="D53" s="1064">
        <f t="shared" si="8"/>
        <v>2.5000000000000001E-3</v>
      </c>
      <c r="E53" s="744"/>
      <c r="F53" s="1813"/>
      <c r="G53" s="1062">
        <f t="shared" si="13"/>
        <v>2.5000000000000001E-3</v>
      </c>
      <c r="H53" s="1065">
        <f t="shared" si="9"/>
        <v>2.5000000000000001E-3</v>
      </c>
      <c r="I53" s="3364">
        <v>0.05</v>
      </c>
      <c r="J53" s="1063">
        <f t="shared" si="10"/>
        <v>5.0000000000000001E-3</v>
      </c>
      <c r="K53" s="1063">
        <f t="shared" si="11"/>
        <v>2.5000000000000001E-3</v>
      </c>
      <c r="L53" s="1063">
        <v>0</v>
      </c>
      <c r="M53" s="1063">
        <f t="shared" si="12"/>
        <v>-2.5000000000000001E-3</v>
      </c>
      <c r="N53" s="1063">
        <f t="shared" si="12"/>
        <v>-5.0000000000000001E-3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3427</v>
      </c>
      <c r="D54" s="1064">
        <f t="shared" si="8"/>
        <v>0</v>
      </c>
      <c r="E54" s="744"/>
      <c r="F54" s="1813"/>
      <c r="G54" s="1062">
        <f t="shared" si="13"/>
        <v>4.0000000000000001E-3</v>
      </c>
      <c r="H54" s="1065">
        <f t="shared" si="9"/>
        <v>4.0000000000000001E-3</v>
      </c>
      <c r="I54" s="3364">
        <v>0.08</v>
      </c>
      <c r="J54" s="1063">
        <f t="shared" si="10"/>
        <v>8.0000000000000002E-3</v>
      </c>
      <c r="K54" s="1063">
        <f t="shared" si="11"/>
        <v>4.0000000000000001E-3</v>
      </c>
      <c r="L54" s="1063">
        <v>0</v>
      </c>
      <c r="M54" s="1063">
        <f t="shared" si="12"/>
        <v>-4.0000000000000001E-3</v>
      </c>
      <c r="N54" s="1063">
        <f t="shared" si="12"/>
        <v>-8.0000000000000002E-3</v>
      </c>
      <c r="AA54" s="1119"/>
      <c r="AB54" s="1119"/>
      <c r="AC54" s="1119"/>
      <c r="AD54" s="1119"/>
      <c r="AE54" s="1119"/>
      <c r="AF54" s="1119"/>
      <c r="AG54" s="1119"/>
      <c r="AH54" s="1119"/>
      <c r="AI54" s="1119"/>
      <c r="AJ54" s="1119"/>
      <c r="AK54" s="1119"/>
    </row>
    <row r="55" spans="1:37" s="1118" customFormat="1" ht="24">
      <c r="A55" s="2129" t="s">
        <v>2057</v>
      </c>
      <c r="B55" s="2135" t="s">
        <v>2058</v>
      </c>
      <c r="C55" s="2043" t="s">
        <v>3426</v>
      </c>
      <c r="D55" s="1064">
        <f t="shared" si="8"/>
        <v>2.5000000000000001E-3</v>
      </c>
      <c r="E55" s="744"/>
      <c r="F55" s="1813"/>
      <c r="G55" s="1062">
        <f t="shared" si="13"/>
        <v>2.5000000000000001E-3</v>
      </c>
      <c r="H55" s="1065">
        <f t="shared" si="9"/>
        <v>2.5000000000000001E-3</v>
      </c>
      <c r="I55" s="3364">
        <v>0.05</v>
      </c>
      <c r="J55" s="1063">
        <f t="shared" si="10"/>
        <v>5.0000000000000001E-3</v>
      </c>
      <c r="K55" s="1063">
        <f t="shared" si="11"/>
        <v>2.5000000000000001E-3</v>
      </c>
      <c r="L55" s="1063">
        <v>0</v>
      </c>
      <c r="M55" s="1063">
        <f t="shared" si="12"/>
        <v>-2.5000000000000001E-3</v>
      </c>
      <c r="N55" s="1063">
        <f t="shared" si="12"/>
        <v>-5.0000000000000001E-3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3426</v>
      </c>
      <c r="D56" s="1064">
        <f t="shared" si="8"/>
        <v>2.5000000000000001E-3</v>
      </c>
      <c r="E56" s="744"/>
      <c r="F56" s="1813"/>
      <c r="G56" s="1062">
        <f t="shared" si="13"/>
        <v>2.5000000000000001E-3</v>
      </c>
      <c r="H56" s="1065">
        <f t="shared" si="9"/>
        <v>2.5000000000000001E-3</v>
      </c>
      <c r="I56" s="3364">
        <v>0.05</v>
      </c>
      <c r="J56" s="1063">
        <f t="shared" si="10"/>
        <v>5.0000000000000001E-3</v>
      </c>
      <c r="K56" s="1063">
        <f t="shared" si="11"/>
        <v>2.5000000000000001E-3</v>
      </c>
      <c r="L56" s="1063">
        <v>0</v>
      </c>
      <c r="M56" s="1063">
        <f t="shared" si="12"/>
        <v>-2.5000000000000001E-3</v>
      </c>
      <c r="N56" s="1063">
        <f t="shared" si="12"/>
        <v>-5.0000000000000001E-3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3426</v>
      </c>
      <c r="D57" s="1064">
        <f t="shared" si="8"/>
        <v>4.0000000000000001E-3</v>
      </c>
      <c r="E57" s="744"/>
      <c r="F57" s="1813"/>
      <c r="G57" s="1062">
        <f t="shared" si="13"/>
        <v>4.0000000000000001E-3</v>
      </c>
      <c r="H57" s="1065">
        <f t="shared" si="9"/>
        <v>4.0000000000000001E-3</v>
      </c>
      <c r="I57" s="3364">
        <v>0.08</v>
      </c>
      <c r="J57" s="1063">
        <f t="shared" si="10"/>
        <v>8.0000000000000002E-3</v>
      </c>
      <c r="K57" s="1063">
        <f t="shared" si="11"/>
        <v>4.0000000000000001E-3</v>
      </c>
      <c r="L57" s="1063">
        <v>0</v>
      </c>
      <c r="M57" s="1063">
        <f t="shared" si="12"/>
        <v>-4.0000000000000001E-3</v>
      </c>
      <c r="N57" s="1063">
        <f t="shared" si="12"/>
        <v>-8.0000000000000002E-3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3426</v>
      </c>
      <c r="D58" s="1064">
        <f t="shared" si="8"/>
        <v>2.5000000000000001E-3</v>
      </c>
      <c r="E58" s="745"/>
      <c r="F58" s="1813"/>
      <c r="G58" s="1062">
        <f t="shared" si="13"/>
        <v>2.5000000000000001E-3</v>
      </c>
      <c r="H58" s="1065">
        <f t="shared" si="9"/>
        <v>2.5000000000000001E-3</v>
      </c>
      <c r="I58" s="3365">
        <v>0.05</v>
      </c>
      <c r="J58" s="1063">
        <f t="shared" si="10"/>
        <v>5.0000000000000001E-3</v>
      </c>
      <c r="K58" s="1063">
        <f t="shared" si="11"/>
        <v>2.5000000000000001E-3</v>
      </c>
      <c r="L58" s="1063">
        <v>0</v>
      </c>
      <c r="M58" s="1063">
        <f t="shared" si="12"/>
        <v>-2.5000000000000001E-3</v>
      </c>
      <c r="N58" s="1063">
        <f t="shared" si="12"/>
        <v>-5.0000000000000001E-3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4">SUMIF($J$60:$N$60,C61,J61:N61)</f>
        <v>0</v>
      </c>
      <c r="E61" s="743">
        <f>ROUND(SUM(D61:D69),4)</f>
        <v>0</v>
      </c>
      <c r="F61" s="1813" t="str">
        <f>IF(E2="办公",SUMIF(L1:L12,G2,N1:N12),"——")</f>
        <v>——</v>
      </c>
      <c r="G61" s="1062"/>
      <c r="H61" s="1065" t="str">
        <f t="shared" ref="H61:H69" si="15">IFERROR(ROUNDDOWN($F$61*I61/2,4),"——")</f>
        <v>——</v>
      </c>
      <c r="I61" s="3364">
        <v>0.25</v>
      </c>
      <c r="J61" s="1063">
        <f t="shared" ref="J61:J69" si="16">K61+$G61</f>
        <v>0</v>
      </c>
      <c r="K61" s="1063">
        <f t="shared" ref="K61:K69" si="17">$L61+$G61</f>
        <v>0</v>
      </c>
      <c r="L61" s="1063">
        <v>0</v>
      </c>
      <c r="M61" s="1063">
        <f t="shared" ref="M61:N69" si="18">L61-$G61</f>
        <v>0</v>
      </c>
      <c r="N61" s="1063">
        <f t="shared" si="18"/>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4"/>
        <v>0</v>
      </c>
      <c r="E62" s="744"/>
      <c r="F62" s="1813"/>
      <c r="G62" s="1062"/>
      <c r="H62" s="1065" t="str">
        <f t="shared" si="15"/>
        <v>——</v>
      </c>
      <c r="I62" s="3364">
        <v>0.26</v>
      </c>
      <c r="J62" s="1063">
        <f t="shared" si="16"/>
        <v>0</v>
      </c>
      <c r="K62" s="1063">
        <f t="shared" si="17"/>
        <v>0</v>
      </c>
      <c r="L62" s="1063">
        <v>0</v>
      </c>
      <c r="M62" s="1063">
        <f t="shared" si="18"/>
        <v>0</v>
      </c>
      <c r="N62" s="1063">
        <f t="shared" si="18"/>
        <v>0</v>
      </c>
      <c r="AA62" s="1119"/>
      <c r="AB62" s="1119"/>
      <c r="AC62" s="1119"/>
      <c r="AD62" s="1119"/>
      <c r="AE62" s="1119"/>
      <c r="AF62" s="1119"/>
      <c r="AG62" s="1119"/>
      <c r="AH62" s="1119"/>
      <c r="AI62" s="1119"/>
      <c r="AJ62" s="1119"/>
      <c r="AK62" s="1119"/>
    </row>
    <row r="63" spans="1:37" s="1118" customFormat="1" ht="36">
      <c r="A63" s="3366" t="s">
        <v>3267</v>
      </c>
      <c r="B63" s="2133">
        <f>估价对象房地状况!C19</f>
        <v>0</v>
      </c>
      <c r="C63" s="2043"/>
      <c r="D63" s="1064">
        <f t="shared" si="14"/>
        <v>0</v>
      </c>
      <c r="E63" s="744"/>
      <c r="F63" s="1813"/>
      <c r="G63" s="1062"/>
      <c r="H63" s="1065" t="str">
        <f t="shared" si="15"/>
        <v>——</v>
      </c>
      <c r="I63" s="3364">
        <v>0.11</v>
      </c>
      <c r="J63" s="1063">
        <f t="shared" si="16"/>
        <v>0</v>
      </c>
      <c r="K63" s="1063">
        <f t="shared" si="17"/>
        <v>0</v>
      </c>
      <c r="L63" s="1063">
        <v>0</v>
      </c>
      <c r="M63" s="1063">
        <f t="shared" si="18"/>
        <v>0</v>
      </c>
      <c r="N63" s="1063">
        <f t="shared" si="18"/>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4"/>
        <v>0</v>
      </c>
      <c r="E64" s="744"/>
      <c r="F64" s="1813"/>
      <c r="G64" s="1062"/>
      <c r="H64" s="1065" t="str">
        <f t="shared" si="15"/>
        <v>——</v>
      </c>
      <c r="I64" s="3364">
        <v>0.05</v>
      </c>
      <c r="J64" s="1063">
        <f t="shared" si="16"/>
        <v>0</v>
      </c>
      <c r="K64" s="1063">
        <f t="shared" si="17"/>
        <v>0</v>
      </c>
      <c r="L64" s="1063">
        <v>0</v>
      </c>
      <c r="M64" s="1063">
        <f t="shared" si="18"/>
        <v>0</v>
      </c>
      <c r="N64" s="1063">
        <f t="shared" si="18"/>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4"/>
        <v>0</v>
      </c>
      <c r="E65" s="744"/>
      <c r="F65" s="1813"/>
      <c r="G65" s="1062"/>
      <c r="H65" s="1065" t="str">
        <f t="shared" si="15"/>
        <v>——</v>
      </c>
      <c r="I65" s="3364">
        <v>0.05</v>
      </c>
      <c r="J65" s="1063">
        <f t="shared" si="16"/>
        <v>0</v>
      </c>
      <c r="K65" s="1063">
        <f t="shared" si="17"/>
        <v>0</v>
      </c>
      <c r="L65" s="1063">
        <v>0</v>
      </c>
      <c r="M65" s="1063">
        <f t="shared" si="18"/>
        <v>0</v>
      </c>
      <c r="N65" s="1063">
        <f t="shared" si="18"/>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4"/>
        <v>0</v>
      </c>
      <c r="E66" s="744"/>
      <c r="F66" s="1813"/>
      <c r="G66" s="1062"/>
      <c r="H66" s="1065" t="str">
        <f t="shared" si="15"/>
        <v>——</v>
      </c>
      <c r="I66" s="3364">
        <v>0.06</v>
      </c>
      <c r="J66" s="1063">
        <f t="shared" si="16"/>
        <v>0</v>
      </c>
      <c r="K66" s="1063">
        <f t="shared" si="17"/>
        <v>0</v>
      </c>
      <c r="L66" s="1063">
        <v>0</v>
      </c>
      <c r="M66" s="1063">
        <f t="shared" si="18"/>
        <v>0</v>
      </c>
      <c r="N66" s="1063">
        <f t="shared" si="18"/>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4"/>
        <v>0</v>
      </c>
      <c r="E67" s="744"/>
      <c r="F67" s="1813"/>
      <c r="G67" s="1062"/>
      <c r="H67" s="1065" t="str">
        <f t="shared" si="15"/>
        <v>——</v>
      </c>
      <c r="I67" s="3364">
        <v>0.06</v>
      </c>
      <c r="J67" s="1063">
        <f t="shared" si="16"/>
        <v>0</v>
      </c>
      <c r="K67" s="1063">
        <f t="shared" si="17"/>
        <v>0</v>
      </c>
      <c r="L67" s="1063">
        <v>0</v>
      </c>
      <c r="M67" s="1063">
        <f t="shared" si="18"/>
        <v>0</v>
      </c>
      <c r="N67" s="1063">
        <f t="shared" si="18"/>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4"/>
        <v>0</v>
      </c>
      <c r="E68" s="744"/>
      <c r="F68" s="1813"/>
      <c r="G68" s="1062"/>
      <c r="H68" s="1065" t="str">
        <f t="shared" si="15"/>
        <v>——</v>
      </c>
      <c r="I68" s="3364">
        <v>0.09</v>
      </c>
      <c r="J68" s="1063">
        <f t="shared" si="16"/>
        <v>0</v>
      </c>
      <c r="K68" s="1063">
        <f t="shared" si="17"/>
        <v>0</v>
      </c>
      <c r="L68" s="1063">
        <v>0</v>
      </c>
      <c r="M68" s="1063">
        <f t="shared" si="18"/>
        <v>0</v>
      </c>
      <c r="N68" s="1063">
        <f t="shared" si="18"/>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4"/>
        <v>0</v>
      </c>
      <c r="E69" s="745"/>
      <c r="F69" s="1813"/>
      <c r="G69" s="1062"/>
      <c r="H69" s="1065" t="str">
        <f t="shared" si="15"/>
        <v>——</v>
      </c>
      <c r="I69" s="3365">
        <v>7.0000000000000007E-2</v>
      </c>
      <c r="J69" s="1063">
        <f t="shared" si="16"/>
        <v>0</v>
      </c>
      <c r="K69" s="1063">
        <f t="shared" si="17"/>
        <v>0</v>
      </c>
      <c r="L69" s="1063">
        <v>0</v>
      </c>
      <c r="M69" s="1063">
        <f t="shared" si="18"/>
        <v>0</v>
      </c>
      <c r="N69" s="1063">
        <f t="shared" si="18"/>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9">SUMIF($J$71:$N$71,C72,J72:N72)</f>
        <v>0</v>
      </c>
      <c r="E72" s="743">
        <f>ROUND(SUM(D72:D80),4)</f>
        <v>0</v>
      </c>
      <c r="F72" s="1813" t="str">
        <f>IF(E2="住宅",SUMIF(L1:L12,G2,N1:N12),"——")</f>
        <v>——</v>
      </c>
      <c r="G72" s="1062"/>
      <c r="H72" s="1065" t="str">
        <f t="shared" ref="H72:H80" si="20">IFERROR(ROUNDDOWN($F$72*I72/2,4),"——")</f>
        <v>——</v>
      </c>
      <c r="I72" s="3364">
        <v>0.2</v>
      </c>
      <c r="J72" s="1063">
        <f t="shared" ref="J72:J80" si="21">K72+$G72</f>
        <v>0</v>
      </c>
      <c r="K72" s="1063">
        <f t="shared" ref="K72:K80" si="22">$L72+$G72</f>
        <v>0</v>
      </c>
      <c r="L72" s="1063">
        <v>0</v>
      </c>
      <c r="M72" s="1063">
        <f t="shared" ref="M72:N80" si="23">L72-$G72</f>
        <v>0</v>
      </c>
      <c r="N72" s="1063">
        <f t="shared" si="23"/>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9"/>
        <v>0</v>
      </c>
      <c r="E73" s="746"/>
      <c r="F73" s="1813"/>
      <c r="G73" s="1062"/>
      <c r="H73" s="1065" t="str">
        <f t="shared" si="20"/>
        <v>——</v>
      </c>
      <c r="I73" s="3364">
        <v>0.26</v>
      </c>
      <c r="J73" s="1063">
        <f t="shared" si="21"/>
        <v>0</v>
      </c>
      <c r="K73" s="1063">
        <f t="shared" si="22"/>
        <v>0</v>
      </c>
      <c r="L73" s="1063">
        <v>0</v>
      </c>
      <c r="M73" s="1063">
        <f t="shared" si="23"/>
        <v>0</v>
      </c>
      <c r="N73" s="1063">
        <f t="shared" si="23"/>
        <v>0</v>
      </c>
      <c r="AA73" s="1119"/>
      <c r="AB73" s="1119"/>
      <c r="AC73" s="1119"/>
      <c r="AD73" s="1119"/>
      <c r="AE73" s="1119"/>
      <c r="AF73" s="1119"/>
      <c r="AG73" s="1119"/>
      <c r="AH73" s="1119"/>
      <c r="AI73" s="1119"/>
      <c r="AJ73" s="1119"/>
      <c r="AK73" s="1119"/>
    </row>
    <row r="74" spans="1:37" s="1996" customFormat="1" ht="36">
      <c r="A74" s="3366" t="s">
        <v>3267</v>
      </c>
      <c r="B74" s="2133">
        <f>估价对象房地状况!C19</f>
        <v>0</v>
      </c>
      <c r="C74" s="2043"/>
      <c r="D74" s="1064">
        <f t="shared" si="19"/>
        <v>0</v>
      </c>
      <c r="E74" s="746"/>
      <c r="F74" s="1813"/>
      <c r="G74" s="1062"/>
      <c r="H74" s="1065" t="str">
        <f t="shared" si="20"/>
        <v>——</v>
      </c>
      <c r="I74" s="3364">
        <v>0.1</v>
      </c>
      <c r="J74" s="1063">
        <f t="shared" si="21"/>
        <v>0</v>
      </c>
      <c r="K74" s="1063">
        <f t="shared" si="22"/>
        <v>0</v>
      </c>
      <c r="L74" s="1063">
        <v>0</v>
      </c>
      <c r="M74" s="1063">
        <f t="shared" si="23"/>
        <v>0</v>
      </c>
      <c r="N74" s="1063">
        <f t="shared" si="23"/>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9"/>
        <v>0</v>
      </c>
      <c r="E75" s="746"/>
      <c r="F75" s="1813"/>
      <c r="G75" s="1062"/>
      <c r="H75" s="1065" t="str">
        <f t="shared" si="20"/>
        <v>——</v>
      </c>
      <c r="I75" s="3364">
        <v>0.05</v>
      </c>
      <c r="J75" s="1063">
        <f t="shared" si="21"/>
        <v>0</v>
      </c>
      <c r="K75" s="1063">
        <f t="shared" si="22"/>
        <v>0</v>
      </c>
      <c r="L75" s="1063">
        <v>0</v>
      </c>
      <c r="M75" s="1063">
        <f t="shared" si="23"/>
        <v>0</v>
      </c>
      <c r="N75" s="1063">
        <f t="shared" si="23"/>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9"/>
        <v>0</v>
      </c>
      <c r="E76" s="746"/>
      <c r="F76" s="1813"/>
      <c r="G76" s="1062"/>
      <c r="H76" s="1065" t="str">
        <f t="shared" si="20"/>
        <v>——</v>
      </c>
      <c r="I76" s="3364">
        <v>0.08</v>
      </c>
      <c r="J76" s="1063">
        <f t="shared" si="21"/>
        <v>0</v>
      </c>
      <c r="K76" s="1063">
        <f t="shared" si="22"/>
        <v>0</v>
      </c>
      <c r="L76" s="1063">
        <v>0</v>
      </c>
      <c r="M76" s="1063">
        <f t="shared" si="23"/>
        <v>0</v>
      </c>
      <c r="N76" s="1063">
        <f t="shared" si="23"/>
        <v>0</v>
      </c>
      <c r="O76" s="1118"/>
      <c r="P76" s="1118"/>
      <c r="Z76" s="1997"/>
      <c r="AA76" s="2052"/>
      <c r="AG76" s="1120"/>
      <c r="AK76" s="2052"/>
    </row>
    <row r="77" spans="1:37" ht="25.5">
      <c r="A77" s="2129" t="s">
        <v>2060</v>
      </c>
      <c r="B77" s="1325" t="str">
        <f>估价对象房地状况!C22</f>
        <v>估价对象所在区域基础设施水平</v>
      </c>
      <c r="C77" s="2043"/>
      <c r="D77" s="1064">
        <f t="shared" si="19"/>
        <v>0</v>
      </c>
      <c r="E77" s="746"/>
      <c r="F77" s="1813"/>
      <c r="G77" s="1062"/>
      <c r="H77" s="1065" t="str">
        <f t="shared" si="20"/>
        <v>——</v>
      </c>
      <c r="I77" s="3364">
        <v>0.09</v>
      </c>
      <c r="J77" s="1063">
        <f t="shared" si="21"/>
        <v>0</v>
      </c>
      <c r="K77" s="1063">
        <f t="shared" si="22"/>
        <v>0</v>
      </c>
      <c r="L77" s="1063">
        <v>0</v>
      </c>
      <c r="M77" s="1063">
        <f t="shared" si="23"/>
        <v>0</v>
      </c>
      <c r="N77" s="1063">
        <f t="shared" si="23"/>
        <v>0</v>
      </c>
      <c r="O77" s="1118"/>
      <c r="P77" s="1118"/>
      <c r="Z77" s="1997"/>
      <c r="AA77" s="2052"/>
      <c r="AG77" s="1120"/>
      <c r="AK77" s="2052"/>
    </row>
    <row r="78" spans="1:37" ht="24">
      <c r="A78" s="2129" t="s">
        <v>2057</v>
      </c>
      <c r="B78" s="2135" t="s">
        <v>2058</v>
      </c>
      <c r="C78" s="2043"/>
      <c r="D78" s="1064">
        <f t="shared" si="19"/>
        <v>0</v>
      </c>
      <c r="E78" s="746"/>
      <c r="F78" s="1813"/>
      <c r="G78" s="1062"/>
      <c r="H78" s="1065" t="str">
        <f t="shared" si="20"/>
        <v>——</v>
      </c>
      <c r="I78" s="3364">
        <v>0.05</v>
      </c>
      <c r="J78" s="1063">
        <f t="shared" si="21"/>
        <v>0</v>
      </c>
      <c r="K78" s="1063">
        <f t="shared" si="22"/>
        <v>0</v>
      </c>
      <c r="L78" s="1063">
        <v>0</v>
      </c>
      <c r="M78" s="1063">
        <f t="shared" si="23"/>
        <v>0</v>
      </c>
      <c r="N78" s="1063">
        <f t="shared" si="23"/>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9"/>
        <v>0</v>
      </c>
      <c r="E79" s="746"/>
      <c r="F79" s="1813"/>
      <c r="G79" s="1062"/>
      <c r="H79" s="1065" t="str">
        <f t="shared" si="20"/>
        <v>——</v>
      </c>
      <c r="I79" s="3364">
        <v>0.12</v>
      </c>
      <c r="J79" s="1063">
        <f t="shared" si="21"/>
        <v>0</v>
      </c>
      <c r="K79" s="1063">
        <f t="shared" si="22"/>
        <v>0</v>
      </c>
      <c r="L79" s="1063">
        <v>0</v>
      </c>
      <c r="M79" s="1063">
        <f t="shared" si="23"/>
        <v>0</v>
      </c>
      <c r="N79" s="1063">
        <f t="shared" si="23"/>
        <v>0</v>
      </c>
      <c r="Z79" s="1997"/>
      <c r="AA79" s="2052"/>
      <c r="AG79" s="1120"/>
      <c r="AK79" s="2052"/>
    </row>
    <row r="80" spans="1:37" ht="24.75" thickBot="1">
      <c r="A80" s="2137" t="s">
        <v>2068</v>
      </c>
      <c r="B80" s="2141"/>
      <c r="C80" s="2043"/>
      <c r="D80" s="1064">
        <f t="shared" si="19"/>
        <v>0</v>
      </c>
      <c r="E80" s="747"/>
      <c r="F80" s="1813"/>
      <c r="G80" s="1062"/>
      <c r="H80" s="1065" t="str">
        <f t="shared" si="20"/>
        <v>——</v>
      </c>
      <c r="I80" s="3365">
        <v>0.05</v>
      </c>
      <c r="J80" s="1063">
        <f t="shared" si="21"/>
        <v>0</v>
      </c>
      <c r="K80" s="1063">
        <f t="shared" si="22"/>
        <v>0</v>
      </c>
      <c r="L80" s="1063">
        <v>0</v>
      </c>
      <c r="M80" s="1063">
        <f t="shared" si="23"/>
        <v>0</v>
      </c>
      <c r="N80" s="1063">
        <f t="shared" si="23"/>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4">SUMIF($J$82:$N$82,C83,J83:N83)</f>
        <v>0</v>
      </c>
      <c r="E83" s="743">
        <f>ROUND(SUM(D83:D90),4)</f>
        <v>0</v>
      </c>
      <c r="F83" s="1813" t="str">
        <f>IF(E2="工业",SUMIF(L1:L12,G2,N1:N12),"——")</f>
        <v>——</v>
      </c>
      <c r="G83" s="1062"/>
      <c r="H83" s="1065" t="str">
        <f t="shared" ref="H83:H90" si="25">IFERROR(ROUNDDOWN($F$83*I83/2,4),"——")</f>
        <v>——</v>
      </c>
      <c r="I83" s="3364">
        <v>0.26</v>
      </c>
      <c r="J83" s="1063">
        <f t="shared" ref="J83:J90" si="26">K83+$G83</f>
        <v>0</v>
      </c>
      <c r="K83" s="1063">
        <f t="shared" ref="K83:K90" si="27">$L83+$G83</f>
        <v>0</v>
      </c>
      <c r="L83" s="1063">
        <v>0</v>
      </c>
      <c r="M83" s="1063">
        <f t="shared" ref="M83:N90" si="28">L83-$G83</f>
        <v>0</v>
      </c>
      <c r="N83" s="1063">
        <f t="shared" si="28"/>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4"/>
        <v>0</v>
      </c>
      <c r="E84" s="746"/>
      <c r="F84" s="1813"/>
      <c r="G84" s="1062"/>
      <c r="H84" s="1065" t="str">
        <f t="shared" si="25"/>
        <v>——</v>
      </c>
      <c r="I84" s="3364">
        <v>0.3</v>
      </c>
      <c r="J84" s="1063">
        <f t="shared" si="26"/>
        <v>0</v>
      </c>
      <c r="K84" s="1063">
        <f t="shared" si="27"/>
        <v>0</v>
      </c>
      <c r="L84" s="1063">
        <v>0</v>
      </c>
      <c r="M84" s="1063">
        <f t="shared" si="28"/>
        <v>0</v>
      </c>
      <c r="N84" s="1063">
        <f t="shared" si="28"/>
        <v>0</v>
      </c>
      <c r="Z84" s="1997"/>
      <c r="AA84" s="2052"/>
      <c r="AG84" s="1120"/>
      <c r="AK84" s="2052"/>
    </row>
    <row r="85" spans="1:37" ht="36">
      <c r="A85" s="3366" t="s">
        <v>3268</v>
      </c>
      <c r="B85" s="2133">
        <f>估价对象房地状况!G17</f>
        <v>0</v>
      </c>
      <c r="C85" s="2043"/>
      <c r="D85" s="1064">
        <f t="shared" si="24"/>
        <v>0</v>
      </c>
      <c r="E85" s="746"/>
      <c r="F85" s="1813"/>
      <c r="G85" s="1062"/>
      <c r="H85" s="1065" t="str">
        <f t="shared" si="25"/>
        <v>——</v>
      </c>
      <c r="I85" s="3364">
        <v>0.1</v>
      </c>
      <c r="J85" s="1063">
        <f t="shared" si="26"/>
        <v>0</v>
      </c>
      <c r="K85" s="1063">
        <f t="shared" si="27"/>
        <v>0</v>
      </c>
      <c r="L85" s="1063">
        <v>0</v>
      </c>
      <c r="M85" s="1063">
        <f t="shared" si="28"/>
        <v>0</v>
      </c>
      <c r="N85" s="1063">
        <f t="shared" si="28"/>
        <v>0</v>
      </c>
      <c r="Z85" s="1997"/>
      <c r="AA85" s="2052"/>
      <c r="AG85" s="1120"/>
      <c r="AK85" s="2052"/>
    </row>
    <row r="86" spans="1:37" ht="14.25">
      <c r="A86" s="2129" t="s">
        <v>2067</v>
      </c>
      <c r="B86" s="2133">
        <f>估价对象房地状况!G22</f>
        <v>0</v>
      </c>
      <c r="C86" s="2043"/>
      <c r="D86" s="1064">
        <f t="shared" si="24"/>
        <v>0</v>
      </c>
      <c r="E86" s="746"/>
      <c r="F86" s="1813"/>
      <c r="G86" s="1062"/>
      <c r="H86" s="1065" t="str">
        <f t="shared" si="25"/>
        <v>——</v>
      </c>
      <c r="I86" s="3364">
        <v>0.05</v>
      </c>
      <c r="J86" s="1063">
        <f t="shared" si="26"/>
        <v>0</v>
      </c>
      <c r="K86" s="1063">
        <f t="shared" si="27"/>
        <v>0</v>
      </c>
      <c r="L86" s="1063">
        <v>0</v>
      </c>
      <c r="M86" s="1063">
        <f t="shared" si="28"/>
        <v>0</v>
      </c>
      <c r="N86" s="1063">
        <f t="shared" si="28"/>
        <v>0</v>
      </c>
      <c r="Z86" s="1997"/>
      <c r="AA86" s="2052"/>
      <c r="AG86" s="1120"/>
      <c r="AK86" s="2052"/>
    </row>
    <row r="87" spans="1:37" ht="25.5">
      <c r="A87" s="2129" t="s">
        <v>2059</v>
      </c>
      <c r="B87" s="1325" t="str">
        <f>估价对象房地状况!G19</f>
        <v>估价对象所在区域公共配套设施齐备情况</v>
      </c>
      <c r="C87" s="2043"/>
      <c r="D87" s="1064">
        <f t="shared" si="24"/>
        <v>0</v>
      </c>
      <c r="E87" s="746"/>
      <c r="F87" s="1813"/>
      <c r="G87" s="1062"/>
      <c r="H87" s="1065" t="str">
        <f t="shared" si="25"/>
        <v>——</v>
      </c>
      <c r="I87" s="3364">
        <v>0.06</v>
      </c>
      <c r="J87" s="1063">
        <f t="shared" si="26"/>
        <v>0</v>
      </c>
      <c r="K87" s="1063">
        <f t="shared" si="27"/>
        <v>0</v>
      </c>
      <c r="L87" s="1063">
        <v>0</v>
      </c>
      <c r="M87" s="1063">
        <f t="shared" si="28"/>
        <v>0</v>
      </c>
      <c r="N87" s="1063">
        <f t="shared" si="28"/>
        <v>0</v>
      </c>
    </row>
    <row r="88" spans="1:37" ht="25.5">
      <c r="A88" s="2129" t="s">
        <v>2060</v>
      </c>
      <c r="B88" s="1325" t="str">
        <f>估价对象房地状况!G20</f>
        <v>估价对象所在区域基础设施水平</v>
      </c>
      <c r="C88" s="2043"/>
      <c r="D88" s="1064">
        <f t="shared" si="24"/>
        <v>0</v>
      </c>
      <c r="E88" s="746"/>
      <c r="F88" s="1813"/>
      <c r="G88" s="1062"/>
      <c r="H88" s="1065" t="str">
        <f t="shared" si="25"/>
        <v>——</v>
      </c>
      <c r="I88" s="3364">
        <v>0.12</v>
      </c>
      <c r="J88" s="1063">
        <f t="shared" si="26"/>
        <v>0</v>
      </c>
      <c r="K88" s="1063">
        <f t="shared" si="27"/>
        <v>0</v>
      </c>
      <c r="L88" s="1063">
        <v>0</v>
      </c>
      <c r="M88" s="1063">
        <f t="shared" si="28"/>
        <v>0</v>
      </c>
      <c r="N88" s="1063">
        <f t="shared" si="28"/>
        <v>0</v>
      </c>
    </row>
    <row r="89" spans="1:37" ht="24">
      <c r="A89" s="2129" t="s">
        <v>2057</v>
      </c>
      <c r="B89" s="2135" t="s">
        <v>2071</v>
      </c>
      <c r="C89" s="2043"/>
      <c r="D89" s="1064">
        <f t="shared" si="24"/>
        <v>0</v>
      </c>
      <c r="E89" s="746"/>
      <c r="F89" s="1813"/>
      <c r="G89" s="1062"/>
      <c r="H89" s="1065" t="str">
        <f t="shared" si="25"/>
        <v>——</v>
      </c>
      <c r="I89" s="3364">
        <v>0.06</v>
      </c>
      <c r="J89" s="1063">
        <f t="shared" si="26"/>
        <v>0</v>
      </c>
      <c r="K89" s="1063">
        <f t="shared" si="27"/>
        <v>0</v>
      </c>
      <c r="L89" s="1063">
        <v>0</v>
      </c>
      <c r="M89" s="1063">
        <f t="shared" si="28"/>
        <v>0</v>
      </c>
      <c r="N89" s="1063">
        <f t="shared" si="28"/>
        <v>0</v>
      </c>
    </row>
    <row r="90" spans="1:37" ht="39" thickBot="1">
      <c r="A90" s="2137" t="s">
        <v>2072</v>
      </c>
      <c r="B90" s="2142" t="str">
        <f>估价对象房地状况!G18</f>
        <v>该园区内是否有污染型企业，绿化情况，卫生条件，整体环境状况判断</v>
      </c>
      <c r="C90" s="2043"/>
      <c r="D90" s="1064">
        <f t="shared" si="24"/>
        <v>0</v>
      </c>
      <c r="E90" s="747"/>
      <c r="F90" s="1813"/>
      <c r="G90" s="1062"/>
      <c r="H90" s="1065" t="str">
        <f t="shared" si="25"/>
        <v>——</v>
      </c>
      <c r="I90" s="3365">
        <v>0.05</v>
      </c>
      <c r="J90" s="1063">
        <f t="shared" si="26"/>
        <v>0</v>
      </c>
      <c r="K90" s="1063">
        <f t="shared" si="27"/>
        <v>0</v>
      </c>
      <c r="L90" s="1063">
        <v>0</v>
      </c>
      <c r="M90" s="1063">
        <f t="shared" si="28"/>
        <v>0</v>
      </c>
      <c r="N90" s="1063">
        <f t="shared" si="28"/>
        <v>0</v>
      </c>
    </row>
    <row r="91" spans="1:37" ht="15">
      <c r="A91" s="3374" t="s">
        <v>2611</v>
      </c>
      <c r="B91" s="3375">
        <f>1+E93</f>
        <v>1</v>
      </c>
      <c r="C91" s="3368"/>
      <c r="D91" s="3369"/>
      <c r="E91" s="1813"/>
      <c r="F91" s="1813"/>
      <c r="G91" s="3370"/>
      <c r="H91" s="3371"/>
      <c r="I91" s="3372"/>
      <c r="J91" s="3373"/>
      <c r="K91" s="3373"/>
      <c r="L91" s="3373"/>
      <c r="M91" s="3373"/>
      <c r="N91" s="3373"/>
    </row>
    <row r="92" spans="1:37" ht="24.75">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4">
      <c r="A93" s="3366" t="s">
        <v>3270</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29">K93+$G93</f>
        <v>0</v>
      </c>
      <c r="K93" s="3342">
        <f t="shared" ref="K93:K101" si="30">$L93+$G93</f>
        <v>0</v>
      </c>
      <c r="L93" s="3342">
        <v>0</v>
      </c>
      <c r="M93" s="3342">
        <f t="shared" ref="M93:N101" si="31">L93-$G93</f>
        <v>0</v>
      </c>
      <c r="N93" s="3342">
        <f t="shared" si="31"/>
        <v>0</v>
      </c>
    </row>
    <row r="94" spans="1:37" ht="38.25">
      <c r="A94" s="3376" t="s">
        <v>3271</v>
      </c>
      <c r="B94" s="3367" t="str">
        <f>估价对象房地状况!C18</f>
        <v>估价对象周边道路状况、公共交通通达情况、停车便捷程度，综合评价交通便捷度较好</v>
      </c>
      <c r="C94" s="2043"/>
      <c r="D94" s="3363">
        <f t="shared" ref="D94:D101" si="32">SUMIF($J$60:$N$60,C94,J94:N94)</f>
        <v>0</v>
      </c>
      <c r="E94" s="3380"/>
      <c r="F94" s="1813"/>
      <c r="G94" s="3370"/>
      <c r="H94" s="3418" t="str">
        <f>IFERROR(ROUNDDOWN($F$93*I94/2,4),"——")</f>
        <v>——</v>
      </c>
      <c r="I94" s="3364">
        <v>0.26</v>
      </c>
      <c r="J94" s="3342">
        <f t="shared" si="29"/>
        <v>0</v>
      </c>
      <c r="K94" s="3342">
        <f t="shared" si="30"/>
        <v>0</v>
      </c>
      <c r="L94" s="3342">
        <v>0</v>
      </c>
      <c r="M94" s="3342">
        <f t="shared" si="31"/>
        <v>0</v>
      </c>
      <c r="N94" s="3342">
        <f t="shared" si="31"/>
        <v>0</v>
      </c>
    </row>
    <row r="95" spans="1:37" ht="36">
      <c r="A95" s="3366" t="s">
        <v>3267</v>
      </c>
      <c r="B95" s="3367">
        <f>估价对象房地状况!C19</f>
        <v>0</v>
      </c>
      <c r="C95" s="2043"/>
      <c r="D95" s="3363">
        <f t="shared" si="32"/>
        <v>0</v>
      </c>
      <c r="E95" s="3380"/>
      <c r="F95" s="1813"/>
      <c r="G95" s="3370"/>
      <c r="H95" s="3418" t="str">
        <f t="shared" ref="H95:H101" si="33">IFERROR(ROUNDDOWN($F$93*I95/2,4),"——")</f>
        <v>——</v>
      </c>
      <c r="I95" s="3364">
        <v>0.11</v>
      </c>
      <c r="J95" s="3342">
        <f t="shared" si="29"/>
        <v>0</v>
      </c>
      <c r="K95" s="3342">
        <f t="shared" si="30"/>
        <v>0</v>
      </c>
      <c r="L95" s="3342">
        <v>0</v>
      </c>
      <c r="M95" s="3342">
        <f t="shared" si="31"/>
        <v>0</v>
      </c>
      <c r="N95" s="3342">
        <f t="shared" si="31"/>
        <v>0</v>
      </c>
    </row>
    <row r="96" spans="1:37" ht="36.75">
      <c r="A96" s="3376" t="s">
        <v>3272</v>
      </c>
      <c r="B96" s="3382" t="s">
        <v>3283</v>
      </c>
      <c r="C96" s="2043"/>
      <c r="D96" s="3363">
        <f t="shared" si="32"/>
        <v>0</v>
      </c>
      <c r="E96" s="3380"/>
      <c r="F96" s="1813"/>
      <c r="G96" s="3370"/>
      <c r="H96" s="3418" t="str">
        <f t="shared" si="33"/>
        <v>——</v>
      </c>
      <c r="I96" s="3364">
        <v>0.05</v>
      </c>
      <c r="J96" s="3342">
        <f t="shared" si="29"/>
        <v>0</v>
      </c>
      <c r="K96" s="3342">
        <f t="shared" si="30"/>
        <v>0</v>
      </c>
      <c r="L96" s="3342">
        <v>0</v>
      </c>
      <c r="M96" s="3342">
        <f t="shared" si="31"/>
        <v>0</v>
      </c>
      <c r="N96" s="3342">
        <f t="shared" si="31"/>
        <v>0</v>
      </c>
    </row>
    <row r="97" spans="1:14" ht="24">
      <c r="A97" s="3376" t="s">
        <v>3273</v>
      </c>
      <c r="B97" s="3367">
        <f>估价对象房地状况!C24</f>
        <v>0</v>
      </c>
      <c r="C97" s="2043"/>
      <c r="D97" s="3363">
        <f t="shared" si="32"/>
        <v>0</v>
      </c>
      <c r="E97" s="3380"/>
      <c r="F97" s="1813"/>
      <c r="G97" s="3370"/>
      <c r="H97" s="3418" t="str">
        <f t="shared" si="33"/>
        <v>——</v>
      </c>
      <c r="I97" s="3364">
        <v>0.05</v>
      </c>
      <c r="J97" s="3342">
        <f t="shared" si="29"/>
        <v>0</v>
      </c>
      <c r="K97" s="3342">
        <f t="shared" si="30"/>
        <v>0</v>
      </c>
      <c r="L97" s="3342">
        <v>0</v>
      </c>
      <c r="M97" s="3342">
        <f t="shared" si="31"/>
        <v>0</v>
      </c>
      <c r="N97" s="3342">
        <f t="shared" si="31"/>
        <v>0</v>
      </c>
    </row>
    <row r="98" spans="1:14" ht="24">
      <c r="A98" s="3376" t="s">
        <v>3274</v>
      </c>
      <c r="B98" s="3383" t="s">
        <v>3284</v>
      </c>
      <c r="C98" s="2043"/>
      <c r="D98" s="3363">
        <f t="shared" si="32"/>
        <v>0</v>
      </c>
      <c r="E98" s="3380"/>
      <c r="F98" s="1813"/>
      <c r="G98" s="3370"/>
      <c r="H98" s="3418" t="str">
        <f t="shared" si="33"/>
        <v>——</v>
      </c>
      <c r="I98" s="3364">
        <v>0.06</v>
      </c>
      <c r="J98" s="3342">
        <f t="shared" si="29"/>
        <v>0</v>
      </c>
      <c r="K98" s="3342">
        <f t="shared" si="30"/>
        <v>0</v>
      </c>
      <c r="L98" s="3342">
        <v>0</v>
      </c>
      <c r="M98" s="3342">
        <f t="shared" si="31"/>
        <v>0</v>
      </c>
      <c r="N98" s="3342">
        <f t="shared" si="31"/>
        <v>0</v>
      </c>
    </row>
    <row r="99" spans="1:14" ht="25.5">
      <c r="A99" s="3376" t="s">
        <v>3275</v>
      </c>
      <c r="B99" s="3367" t="str">
        <f>估价对象房地状况!C21</f>
        <v>估价对象所在区域公共配套设施齐备情况</v>
      </c>
      <c r="C99" s="2043"/>
      <c r="D99" s="3363">
        <f t="shared" si="32"/>
        <v>0</v>
      </c>
      <c r="E99" s="3380"/>
      <c r="F99" s="1813"/>
      <c r="G99" s="3370"/>
      <c r="H99" s="3418" t="str">
        <f t="shared" si="33"/>
        <v>——</v>
      </c>
      <c r="I99" s="3364">
        <v>0.06</v>
      </c>
      <c r="J99" s="3342">
        <f t="shared" si="29"/>
        <v>0</v>
      </c>
      <c r="K99" s="3342">
        <f t="shared" si="30"/>
        <v>0</v>
      </c>
      <c r="L99" s="3342">
        <v>0</v>
      </c>
      <c r="M99" s="3342">
        <f t="shared" si="31"/>
        <v>0</v>
      </c>
      <c r="N99" s="3342">
        <f t="shared" si="31"/>
        <v>0</v>
      </c>
    </row>
    <row r="100" spans="1:14" ht="25.5">
      <c r="A100" s="3376" t="s">
        <v>3276</v>
      </c>
      <c r="B100" s="3367" t="str">
        <f>估价对象房地状况!C22</f>
        <v>估价对象所在区域基础设施水平</v>
      </c>
      <c r="C100" s="2043"/>
      <c r="D100" s="3363">
        <f t="shared" si="32"/>
        <v>0</v>
      </c>
      <c r="E100" s="3380"/>
      <c r="F100" s="1813"/>
      <c r="G100" s="3370"/>
      <c r="H100" s="3418" t="str">
        <f t="shared" si="33"/>
        <v>——</v>
      </c>
      <c r="I100" s="3364">
        <v>0.09</v>
      </c>
      <c r="J100" s="3342">
        <f t="shared" si="29"/>
        <v>0</v>
      </c>
      <c r="K100" s="3342">
        <f t="shared" si="30"/>
        <v>0</v>
      </c>
      <c r="L100" s="3342">
        <v>0</v>
      </c>
      <c r="M100" s="3342">
        <f t="shared" si="31"/>
        <v>0</v>
      </c>
      <c r="N100" s="3342">
        <f t="shared" si="31"/>
        <v>0</v>
      </c>
    </row>
    <row r="101" spans="1:14" ht="26.25" thickBot="1">
      <c r="A101" s="3377" t="s">
        <v>3277</v>
      </c>
      <c r="B101" s="3384" t="str">
        <f>估价对象房地状况!C20</f>
        <v>区域自然环境：；人文环境；综合评价环境状况一般</v>
      </c>
      <c r="C101" s="2043"/>
      <c r="D101" s="3363">
        <f t="shared" si="32"/>
        <v>0</v>
      </c>
      <c r="E101" s="3381"/>
      <c r="F101" s="1813"/>
      <c r="G101" s="3370"/>
      <c r="H101" s="3418" t="str">
        <f t="shared" si="33"/>
        <v>——</v>
      </c>
      <c r="I101" s="3365">
        <v>7.0000000000000007E-2</v>
      </c>
      <c r="J101" s="3342">
        <f t="shared" si="29"/>
        <v>0</v>
      </c>
      <c r="K101" s="3342">
        <f t="shared" si="30"/>
        <v>0</v>
      </c>
      <c r="L101" s="3342">
        <v>0</v>
      </c>
      <c r="M101" s="3342">
        <f t="shared" si="31"/>
        <v>0</v>
      </c>
      <c r="N101" s="3342">
        <f t="shared" si="31"/>
        <v>0</v>
      </c>
    </row>
    <row r="103" spans="1:14">
      <c r="A103" s="3792" t="s">
        <v>3292</v>
      </c>
      <c r="B103" s="3792"/>
      <c r="C103" s="3792"/>
      <c r="D103" s="3792"/>
      <c r="E103" s="3792"/>
      <c r="F103" s="3792"/>
      <c r="G103" s="3792"/>
      <c r="H103" s="3792"/>
      <c r="I103" s="3792"/>
      <c r="J103" s="3792"/>
      <c r="K103" s="3387"/>
      <c r="L103" s="3387"/>
      <c r="M103" s="3387"/>
      <c r="N103" s="3387"/>
    </row>
    <row r="104" spans="1:14">
      <c r="A104" s="3793" t="s">
        <v>3293</v>
      </c>
      <c r="B104" s="3793" t="s">
        <v>3294</v>
      </c>
      <c r="C104" s="3388" t="s">
        <v>3295</v>
      </c>
      <c r="D104" s="3389"/>
      <c r="E104" s="3389"/>
      <c r="F104" s="3389"/>
      <c r="G104" s="3389"/>
      <c r="H104" s="3389"/>
      <c r="I104" s="3389"/>
      <c r="J104" s="3390"/>
      <c r="K104" s="3391"/>
      <c r="L104" s="3391"/>
      <c r="M104" s="3391"/>
      <c r="N104" s="3391"/>
    </row>
    <row r="105" spans="1:14">
      <c r="A105" s="3793"/>
      <c r="B105" s="3793"/>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3779"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80"/>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80"/>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80"/>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80"/>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80"/>
      <c r="B111" s="3392" t="s">
        <v>3266</v>
      </c>
      <c r="C111" s="3393">
        <f>$I$3</f>
        <v>0</v>
      </c>
      <c r="D111" s="3393">
        <f t="shared" ref="D111:M111" si="34">$I$3</f>
        <v>0</v>
      </c>
      <c r="E111" s="3393">
        <f t="shared" si="34"/>
        <v>0</v>
      </c>
      <c r="F111" s="3393">
        <f t="shared" si="34"/>
        <v>0</v>
      </c>
      <c r="G111" s="3393">
        <f t="shared" si="34"/>
        <v>0</v>
      </c>
      <c r="H111" s="3393">
        <f t="shared" si="34"/>
        <v>0</v>
      </c>
      <c r="I111" s="3393">
        <f t="shared" si="34"/>
        <v>0</v>
      </c>
      <c r="J111" s="3393">
        <f t="shared" si="34"/>
        <v>0</v>
      </c>
      <c r="K111" s="3393">
        <f t="shared" si="34"/>
        <v>0</v>
      </c>
      <c r="L111" s="3393">
        <f t="shared" si="34"/>
        <v>0</v>
      </c>
      <c r="M111" s="3393">
        <f t="shared" si="34"/>
        <v>0</v>
      </c>
      <c r="N111" s="3393">
        <f>$I$3</f>
        <v>0</v>
      </c>
    </row>
    <row r="112" spans="1:14">
      <c r="A112" s="3781"/>
      <c r="B112" s="3392">
        <v>6</v>
      </c>
      <c r="C112" s="3385">
        <f>(-0.5556*(C111^2)-0.2719*C111+8944)*(10^(-4))</f>
        <v>0.89440000000000008</v>
      </c>
      <c r="D112" s="3385">
        <f>(-0.5556*(D111^2)-0.2719*D111+8944)*(10^(-4))</f>
        <v>0.89440000000000008</v>
      </c>
      <c r="E112" s="3385">
        <f>(-0.7912*(E111^2)-11.3794*E111+8482)*(10^(-4))</f>
        <v>0.84820000000000007</v>
      </c>
      <c r="F112" s="3385">
        <f t="shared" ref="F112:I112" si="35">(-0.7912*(F111^2)-11.3794*F111+8482)*(10^(-4))</f>
        <v>0.84820000000000007</v>
      </c>
      <c r="G112" s="3385">
        <f t="shared" si="35"/>
        <v>0.84820000000000007</v>
      </c>
      <c r="H112" s="3385">
        <f t="shared" si="35"/>
        <v>0.84820000000000007</v>
      </c>
      <c r="I112" s="3385">
        <f t="shared" si="35"/>
        <v>0.84820000000000007</v>
      </c>
      <c r="J112" s="3385">
        <f>(-0.989*(J111^2)-63.78*J111+7771)*(10^(-4))</f>
        <v>0.77710000000000001</v>
      </c>
      <c r="K112" s="3385">
        <f t="shared" ref="K112:N112" si="36">(-0.989*(K111^2)-63.78*K111+7771)*(10^(-4))</f>
        <v>0.77710000000000001</v>
      </c>
      <c r="L112" s="3385">
        <f t="shared" si="36"/>
        <v>0.77710000000000001</v>
      </c>
      <c r="M112" s="3385">
        <f t="shared" si="36"/>
        <v>0.77710000000000001</v>
      </c>
      <c r="N112" s="3385">
        <f t="shared" si="36"/>
        <v>0.77710000000000001</v>
      </c>
    </row>
    <row r="113" spans="1:14">
      <c r="A113" s="3782" t="s">
        <v>3309</v>
      </c>
      <c r="B113" s="3782"/>
      <c r="C113" s="3782"/>
      <c r="D113" s="3782"/>
      <c r="E113" s="3782"/>
      <c r="F113" s="3782"/>
      <c r="G113" s="3782"/>
      <c r="H113" s="3782"/>
      <c r="I113" s="3782"/>
      <c r="J113" s="3782"/>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3310</v>
      </c>
      <c r="B116" s="3413">
        <f>G3</f>
        <v>2.34</v>
      </c>
      <c r="C116" s="3397" t="s">
        <v>3311</v>
      </c>
      <c r="D116" s="3398">
        <f>SUMPRODUCT((A118:A122=F116)*(B117:M117=H116)*B118:M122)</f>
        <v>0.80649999999999999</v>
      </c>
      <c r="E116" s="1999" t="s">
        <v>3312</v>
      </c>
      <c r="F116" s="3399" t="str">
        <f>E2</f>
        <v>商业</v>
      </c>
      <c r="G116" s="1999" t="s">
        <v>3313</v>
      </c>
      <c r="H116" s="3399" t="str">
        <f>G2</f>
        <v>八级</v>
      </c>
      <c r="I116" s="1999"/>
      <c r="J116" s="3400"/>
      <c r="K116" s="3400"/>
      <c r="L116" s="3400"/>
      <c r="M116" s="3400"/>
      <c r="N116" s="3395"/>
    </row>
    <row r="117" spans="1:14">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c r="A118" s="3407" t="s">
        <v>3326</v>
      </c>
      <c r="B118" s="3385">
        <f>ROUND(0.9968-0.011*B116,4)</f>
        <v>0.97109999999999996</v>
      </c>
      <c r="C118" s="3385">
        <f>B118</f>
        <v>0.97109999999999996</v>
      </c>
      <c r="D118" s="3385">
        <f>ROUND(0.949-0.014*B116,4)</f>
        <v>0.91620000000000001</v>
      </c>
      <c r="E118" s="3385">
        <f>D118</f>
        <v>0.91620000000000001</v>
      </c>
      <c r="F118" s="3385">
        <f>E118</f>
        <v>0.91620000000000001</v>
      </c>
      <c r="G118" s="3385">
        <f>F118</f>
        <v>0.91620000000000001</v>
      </c>
      <c r="H118" s="3385">
        <f>G118</f>
        <v>0.91620000000000001</v>
      </c>
      <c r="I118" s="3385">
        <f>ROUND(0.8486-0.018*B116,4)</f>
        <v>0.80649999999999999</v>
      </c>
      <c r="J118" s="3385">
        <f t="shared" ref="J118:M122" si="37">I118</f>
        <v>0.80649999999999999</v>
      </c>
      <c r="K118" s="3385">
        <f t="shared" si="37"/>
        <v>0.80649999999999999</v>
      </c>
      <c r="L118" s="3385">
        <f t="shared" si="37"/>
        <v>0.80649999999999999</v>
      </c>
      <c r="M118" s="3408">
        <f t="shared" si="37"/>
        <v>0.80649999999999999</v>
      </c>
      <c r="N118" s="3395"/>
    </row>
    <row r="119" spans="1:14">
      <c r="A119" s="3407" t="s">
        <v>3327</v>
      </c>
      <c r="B119" s="3385">
        <f>ROUND(0.993-0.0112*B116,4)</f>
        <v>0.96679999999999999</v>
      </c>
      <c r="C119" s="3385">
        <f>B119</f>
        <v>0.96679999999999999</v>
      </c>
      <c r="D119" s="3385">
        <f>ROUND(0.9415-0.0142*B116,4)</f>
        <v>0.9083</v>
      </c>
      <c r="E119" s="3385">
        <f t="shared" ref="E119:H120" si="38">D119</f>
        <v>0.9083</v>
      </c>
      <c r="F119" s="3385">
        <f t="shared" si="38"/>
        <v>0.9083</v>
      </c>
      <c r="G119" s="3385">
        <f t="shared" si="38"/>
        <v>0.9083</v>
      </c>
      <c r="H119" s="3385">
        <f t="shared" si="38"/>
        <v>0.9083</v>
      </c>
      <c r="I119" s="3385">
        <f>ROUND(0.838-0.0182*B116,4)</f>
        <v>0.7954</v>
      </c>
      <c r="J119" s="3385">
        <f t="shared" si="37"/>
        <v>0.7954</v>
      </c>
      <c r="K119" s="3385">
        <f t="shared" si="37"/>
        <v>0.7954</v>
      </c>
      <c r="L119" s="3385">
        <f t="shared" si="37"/>
        <v>0.7954</v>
      </c>
      <c r="M119" s="3408">
        <f t="shared" si="37"/>
        <v>0.7954</v>
      </c>
      <c r="N119" s="3395"/>
    </row>
    <row r="120" spans="1:14">
      <c r="A120" s="3407" t="s">
        <v>3328</v>
      </c>
      <c r="B120" s="3385">
        <f>ROUND(0.9448-0.0115*B116,4)</f>
        <v>0.91790000000000005</v>
      </c>
      <c r="C120" s="3385">
        <f>B120</f>
        <v>0.91790000000000005</v>
      </c>
      <c r="D120" s="3385">
        <f>ROUND(0.937-0.0145*B116,4)</f>
        <v>0.90310000000000001</v>
      </c>
      <c r="E120" s="3385">
        <f t="shared" si="38"/>
        <v>0.90310000000000001</v>
      </c>
      <c r="F120" s="3385">
        <f t="shared" si="38"/>
        <v>0.90310000000000001</v>
      </c>
      <c r="G120" s="3385">
        <f t="shared" si="38"/>
        <v>0.90310000000000001</v>
      </c>
      <c r="H120" s="3385">
        <f t="shared" si="38"/>
        <v>0.90310000000000001</v>
      </c>
      <c r="I120" s="3385">
        <f>ROUND(0.7965-0.0185*B116,4)</f>
        <v>0.75319999999999998</v>
      </c>
      <c r="J120" s="3385">
        <f t="shared" si="37"/>
        <v>0.75319999999999998</v>
      </c>
      <c r="K120" s="3385">
        <f t="shared" si="37"/>
        <v>0.75319999999999998</v>
      </c>
      <c r="L120" s="3385">
        <f t="shared" si="37"/>
        <v>0.75319999999999998</v>
      </c>
      <c r="M120" s="3408">
        <f t="shared" si="37"/>
        <v>0.75319999999999998</v>
      </c>
      <c r="N120" s="3395"/>
    </row>
    <row r="121" spans="1:14" ht="13.5" thickBot="1">
      <c r="A121" s="3409" t="s">
        <v>3329</v>
      </c>
      <c r="B121" s="3410">
        <f>ROUND(0.7836-0.012*B116,4)</f>
        <v>0.75549999999999995</v>
      </c>
      <c r="C121" s="3410">
        <f>B121</f>
        <v>0.75549999999999995</v>
      </c>
      <c r="D121" s="3410">
        <f>ROUND(0.753-0.015*B116,4)</f>
        <v>0.71789999999999998</v>
      </c>
      <c r="E121" s="3410">
        <f>D121</f>
        <v>0.71789999999999998</v>
      </c>
      <c r="F121" s="3410">
        <f>E121</f>
        <v>0.71789999999999998</v>
      </c>
      <c r="G121" s="3410">
        <f>ROUND(0.6612-0.018*B116,4)</f>
        <v>0.61909999999999998</v>
      </c>
      <c r="H121" s="3410">
        <f>G121</f>
        <v>0.61909999999999998</v>
      </c>
      <c r="I121" s="3410">
        <f>ROUND(0.5905-0.019*B116,4)</f>
        <v>0.54600000000000004</v>
      </c>
      <c r="J121" s="3410">
        <f t="shared" si="37"/>
        <v>0.54600000000000004</v>
      </c>
      <c r="K121" s="3410">
        <f t="shared" si="37"/>
        <v>0.54600000000000004</v>
      </c>
      <c r="L121" s="3410">
        <f t="shared" si="37"/>
        <v>0.54600000000000004</v>
      </c>
      <c r="M121" s="3411">
        <f t="shared" si="37"/>
        <v>0.54600000000000004</v>
      </c>
      <c r="N121" s="3395"/>
    </row>
    <row r="122" spans="1:14">
      <c r="A122" s="3412" t="s">
        <v>2611</v>
      </c>
      <c r="B122" s="3385">
        <f>ROUND(0.9404-0.0106*B116,4)</f>
        <v>0.91559999999999997</v>
      </c>
      <c r="C122" s="3385">
        <f>B122</f>
        <v>0.91559999999999997</v>
      </c>
      <c r="D122" s="3385">
        <f>ROUND(0.8955-0.0135*B116,4)</f>
        <v>0.8639</v>
      </c>
      <c r="E122" s="3385">
        <f t="shared" ref="E122:H122" si="39">D122</f>
        <v>0.8639</v>
      </c>
      <c r="F122" s="3385">
        <f t="shared" si="39"/>
        <v>0.8639</v>
      </c>
      <c r="G122" s="3385">
        <f t="shared" si="39"/>
        <v>0.8639</v>
      </c>
      <c r="H122" s="3385">
        <f t="shared" si="39"/>
        <v>0.8639</v>
      </c>
      <c r="I122" s="3385">
        <f>ROUND(0.7632-0.0166*B116,4)</f>
        <v>0.72440000000000004</v>
      </c>
      <c r="J122" s="3385">
        <f t="shared" si="37"/>
        <v>0.72440000000000004</v>
      </c>
      <c r="K122" s="3385">
        <f t="shared" si="37"/>
        <v>0.72440000000000004</v>
      </c>
      <c r="L122" s="3385">
        <f t="shared" si="37"/>
        <v>0.72440000000000004</v>
      </c>
      <c r="M122" s="3408">
        <f t="shared" si="37"/>
        <v>0.72440000000000004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G6" sqref="G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3529</v>
      </c>
      <c r="D1" s="1361" t="s">
        <v>43</v>
      </c>
      <c r="E1" s="1362" t="s">
        <v>678</v>
      </c>
      <c r="F1" s="1061">
        <f ca="1">J53</f>
        <v>14.32</v>
      </c>
      <c r="G1" s="1377">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2734</v>
      </c>
      <c r="C2" s="1386" t="s">
        <v>805</v>
      </c>
      <c r="D2" s="1386"/>
      <c r="E2" s="1387"/>
      <c r="F2" s="1388"/>
      <c r="G2" s="2703"/>
      <c r="H2" s="2692"/>
      <c r="I2" s="2692"/>
      <c r="J2" s="2692"/>
      <c r="K2" s="2693"/>
      <c r="L2" s="2692"/>
      <c r="M2" s="2692"/>
    </row>
    <row r="3" spans="1:37" ht="18" customHeight="1" thickBot="1">
      <c r="A3" s="1389" t="s">
        <v>806</v>
      </c>
      <c r="B3" s="1390">
        <f ca="1">IF(ISERROR(B2*10000/F43),0,ROUND(B2*10000/F43,0))</f>
        <v>6130</v>
      </c>
      <c r="C3" s="1386" t="s">
        <v>807</v>
      </c>
      <c r="D3" s="1386"/>
      <c r="E3" s="1387"/>
      <c r="F3" s="1388"/>
      <c r="G3" s="2703"/>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278</v>
      </c>
      <c r="D5" s="1363" t="s">
        <v>693</v>
      </c>
      <c r="E5" s="1070"/>
      <c r="F5" s="1071"/>
      <c r="G5" s="1383"/>
      <c r="H5" s="299">
        <v>1</v>
      </c>
      <c r="I5" s="300" t="s">
        <v>692</v>
      </c>
      <c r="J5" s="1069">
        <f ca="1">J6+J10+J12</f>
        <v>0</v>
      </c>
      <c r="K5" s="1363" t="s">
        <v>693</v>
      </c>
      <c r="L5" s="1070"/>
      <c r="M5" s="1071"/>
    </row>
    <row r="6" spans="1:37" ht="18" customHeight="1">
      <c r="A6" s="1068" t="s">
        <v>398</v>
      </c>
      <c r="B6" s="3800" t="s">
        <v>694</v>
      </c>
      <c r="C6" s="1073">
        <f ca="1">ROUND(F6*F8*F7*(1-F9)/10000,0)</f>
        <v>278</v>
      </c>
      <c r="D6" s="155" t="s">
        <v>2108</v>
      </c>
      <c r="E6" s="302" t="s">
        <v>696</v>
      </c>
      <c r="F6" s="303">
        <f ca="1">INDIRECT("'数据-取费表'!u"&amp;$G$1)</f>
        <v>1.9</v>
      </c>
      <c r="G6" s="1383"/>
      <c r="H6" s="1068" t="s">
        <v>398</v>
      </c>
      <c r="I6" s="3800" t="s">
        <v>694</v>
      </c>
      <c r="J6" s="301">
        <f ca="1">ROUND(M6*M8*M7*(1-M9)/10000,0)</f>
        <v>0</v>
      </c>
      <c r="K6" s="155" t="s">
        <v>2107</v>
      </c>
      <c r="L6" s="302" t="s">
        <v>696</v>
      </c>
      <c r="M6" s="303">
        <f ca="1">INDIRECT("'数据-取费表'!z"&amp;$G$1)</f>
        <v>0</v>
      </c>
    </row>
    <row r="7" spans="1:37" ht="18" customHeight="1">
      <c r="A7" s="1072"/>
      <c r="B7" s="3801"/>
      <c r="C7" s="1074"/>
      <c r="D7" s="307"/>
      <c r="E7" s="1075" t="s">
        <v>697</v>
      </c>
      <c r="F7" s="303">
        <f ca="1">IF(INDIRECT("'数据-取费表'!ah"&amp;$G$1)="",INDIRECT("'数据-取费表'!k"&amp;$G$1),INDIRECT("'数据-取费表'!ah"&amp;$G$1))</f>
        <v>4460</v>
      </c>
      <c r="G7" s="1383"/>
      <c r="H7" s="304"/>
      <c r="I7" s="3801"/>
      <c r="J7" s="306"/>
      <c r="K7" s="307"/>
      <c r="L7" s="302" t="s">
        <v>697</v>
      </c>
      <c r="M7" s="303">
        <f ca="1">F7</f>
        <v>4460</v>
      </c>
    </row>
    <row r="8" spans="1:37" ht="18" customHeight="1">
      <c r="A8" s="304"/>
      <c r="B8" s="3801"/>
      <c r="C8" s="306"/>
      <c r="D8" s="307"/>
      <c r="E8" s="302" t="s">
        <v>698</v>
      </c>
      <c r="F8" s="303">
        <f ca="1">INDIRECT("'数据-取费表'!ai"&amp;$G$1)</f>
        <v>365</v>
      </c>
      <c r="G8" s="1383"/>
      <c r="H8" s="304"/>
      <c r="I8" s="3801"/>
      <c r="J8" s="306"/>
      <c r="K8" s="307"/>
      <c r="L8" s="302" t="s">
        <v>698</v>
      </c>
      <c r="M8" s="303">
        <f ca="1">INDIRECT("'数据-取费表'!ai"&amp;$G$1)</f>
        <v>365</v>
      </c>
    </row>
    <row r="9" spans="1:37" ht="18" customHeight="1">
      <c r="A9" s="304"/>
      <c r="B9" s="3802"/>
      <c r="C9" s="306"/>
      <c r="D9" s="307"/>
      <c r="E9" s="302" t="s">
        <v>699</v>
      </c>
      <c r="F9" s="312">
        <f ca="1">INDIRECT("'数据-取费表'!w"&amp;$G$1)</f>
        <v>0.1</v>
      </c>
      <c r="G9" s="1383"/>
      <c r="H9" s="304"/>
      <c r="I9" s="3802"/>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t="s">
        <v>3416</v>
      </c>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1378</v>
      </c>
      <c r="D13" s="1080" t="s">
        <v>705</v>
      </c>
      <c r="E13" s="1080" t="s">
        <v>706</v>
      </c>
      <c r="F13" s="1081">
        <f ca="1">INDIRECT("'数据-取费表'!y"&amp;$G$1)</f>
        <v>0.6</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1561</v>
      </c>
      <c r="D14" s="1344" t="s">
        <v>708</v>
      </c>
      <c r="E14" s="1341"/>
      <c r="F14" s="319"/>
      <c r="G14" s="1383"/>
      <c r="H14" s="981" t="s">
        <v>398</v>
      </c>
      <c r="I14" s="302" t="s">
        <v>709</v>
      </c>
      <c r="J14" s="21">
        <f ca="1">C29</f>
        <v>2297</v>
      </c>
      <c r="K14" s="12"/>
      <c r="L14" s="806"/>
      <c r="M14" s="807"/>
    </row>
    <row r="15" spans="1:37" s="1396" customFormat="1" ht="18" customHeight="1" thickBot="1">
      <c r="A15" s="981" t="s">
        <v>399</v>
      </c>
      <c r="B15" s="302" t="s">
        <v>710</v>
      </c>
      <c r="C15" s="21">
        <f ca="1">ROUND(C14*F15,0)</f>
        <v>78</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7</v>
      </c>
      <c r="K16" s="1086" t="s">
        <v>715</v>
      </c>
      <c r="L16" s="1087"/>
      <c r="M16" s="1071"/>
    </row>
    <row r="17" spans="1:37" s="1396" customFormat="1" ht="18" customHeight="1">
      <c r="A17" s="981" t="s">
        <v>681</v>
      </c>
      <c r="B17" s="302" t="s">
        <v>716</v>
      </c>
      <c r="C17" s="21">
        <f ca="1">ROUND(F17*(F43+INDIRECT("'数据-取费表'!S"&amp;$G$1))/10000,0)</f>
        <v>89</v>
      </c>
      <c r="D17" s="302" t="s">
        <v>717</v>
      </c>
      <c r="E17" s="302" t="s">
        <v>718</v>
      </c>
      <c r="F17" s="23">
        <f>'数据-取费表'!B35</f>
        <v>200</v>
      </c>
      <c r="G17" s="1395"/>
      <c r="H17" s="981" t="s">
        <v>398</v>
      </c>
      <c r="I17" s="302" t="s">
        <v>719</v>
      </c>
      <c r="J17" s="2315">
        <f ca="1">ROUND(IF(AND(项目基本情况!B11="自然人",项目基本情况!B10="北京市"),J6*M17/(1+'数据-取费表'!C42),J18+J19+J20),2)</f>
        <v>0.23</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39</v>
      </c>
      <c r="D18" s="302" t="s">
        <v>711</v>
      </c>
      <c r="E18" s="302" t="s">
        <v>712</v>
      </c>
      <c r="F18" s="322">
        <f>'数据-取费表'!B36</f>
        <v>2.5000000000000001E-2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1767</v>
      </c>
      <c r="D19" s="131" t="s">
        <v>726</v>
      </c>
      <c r="E19" s="1359"/>
      <c r="F19" s="23"/>
      <c r="G19" s="1383"/>
      <c r="H19" s="981"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1" t="s">
        <v>402</v>
      </c>
      <c r="B20" s="302" t="s">
        <v>728</v>
      </c>
      <c r="C20" s="21">
        <f ca="1">ROUND(C19*F20,0)</f>
        <v>53</v>
      </c>
      <c r="D20" s="323" t="s">
        <v>729</v>
      </c>
      <c r="E20" s="302" t="s">
        <v>712</v>
      </c>
      <c r="F20" s="322">
        <f>'数据-取费表'!B37</f>
        <v>0.03</v>
      </c>
      <c r="G20" s="1395"/>
      <c r="H20" s="981" t="s">
        <v>680</v>
      </c>
      <c r="I20" s="155" t="s">
        <v>730</v>
      </c>
      <c r="J20" s="22">
        <f ca="1">ROUND(M20*M21/10000,2)</f>
        <v>0.23</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1510.07</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ROUND(J14*M22,2)</f>
        <v>6.89</v>
      </c>
      <c r="K22" s="1343" t="s">
        <v>739</v>
      </c>
      <c r="L22" s="302" t="s">
        <v>712</v>
      </c>
      <c r="M22" s="328">
        <f ca="1">INDIRECT("'数据-取费表'!Ak"&amp;$G$1)</f>
        <v>3.0000000000000001E-3</v>
      </c>
    </row>
    <row r="23" spans="1:37" s="1396" customFormat="1" ht="18" customHeight="1">
      <c r="A23" s="981" t="s">
        <v>397</v>
      </c>
      <c r="B23" s="302" t="s">
        <v>740</v>
      </c>
      <c r="C23" s="21">
        <f ca="1">IF('数据-取费表'!B22&lt;=1,ROUND(C19*F24*F23/2,0)+ROUND(C20*F24*F23/2,0),ROUND(C19*(POWER((1+F24),F23/2)-1),0)+ROUND(C20*(POWER((1+F24),F23/2)-1),0))</f>
        <v>28</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-7</v>
      </c>
      <c r="K25" s="1094" t="s">
        <v>753</v>
      </c>
      <c r="L25" s="1095"/>
      <c r="M25" s="1096"/>
    </row>
    <row r="26" spans="1:37">
      <c r="A26" s="981" t="s">
        <v>397</v>
      </c>
      <c r="B26" s="302" t="s">
        <v>754</v>
      </c>
      <c r="C26" s="21">
        <f ca="1">ROUND((C19+C20)*F26,0)</f>
        <v>273</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2297</v>
      </c>
      <c r="D29" s="1091"/>
      <c r="E29" s="1089"/>
      <c r="F29" s="1092"/>
      <c r="G29" s="1395"/>
      <c r="H29" s="334" t="s">
        <v>396</v>
      </c>
      <c r="I29" s="335" t="s">
        <v>768</v>
      </c>
      <c r="J29" s="336">
        <f ca="1">ROUND(J26/(1+F40)^F41,0)</f>
        <v>0</v>
      </c>
      <c r="K29" s="337" t="s">
        <v>769</v>
      </c>
      <c r="L29" s="338"/>
      <c r="M29" s="339">
        <f ca="1">INDIRECT("'数据-取费表'!k"&amp;$G$1)</f>
        <v>4460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58</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ROUND(IF(AND(项目基本情况!B11="自然人",项目基本情况!B10="北京市"),C6*F31/(1+'数据-取费表'!C42),C32+C33+C34),2)</f>
        <v>46.83</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IF(项目基本情况!B11="自然人","——",ROUND(C6*F32/(1+'数据-取费表'!C42),2))</f>
        <v>14.83</v>
      </c>
      <c r="D32" s="1343" t="s">
        <v>724</v>
      </c>
      <c r="E32" s="302" t="s">
        <v>712</v>
      </c>
      <c r="F32" s="331">
        <f>'数据-取费表'!B41</f>
        <v>5.6000000000000001E-2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31.77</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IF(项目基本情况!B11="自然人","——",ROUND(F34*F35/10000,2))</f>
        <v>0.23</v>
      </c>
      <c r="D34" s="324" t="s">
        <v>731</v>
      </c>
      <c r="E34" s="302" t="s">
        <v>732</v>
      </c>
      <c r="F34" s="325">
        <f>'数据-取费表'!B52</f>
        <v>1.5</v>
      </c>
      <c r="G34" s="1383"/>
      <c r="H34" s="2694"/>
      <c r="I34" s="1397"/>
      <c r="J34" s="1398"/>
      <c r="K34" s="2699"/>
      <c r="L34" s="2700"/>
      <c r="M34" s="2700"/>
    </row>
    <row r="35" spans="1:18" ht="18" customHeight="1">
      <c r="A35" s="1102"/>
      <c r="B35" s="1100"/>
      <c r="C35" s="26"/>
      <c r="D35" s="327"/>
      <c r="E35" s="302" t="s">
        <v>736</v>
      </c>
      <c r="F35" s="303">
        <f ca="1">INDIRECT("'数据-取费表'!r"&amp;$G$1)</f>
        <v>1510.07</v>
      </c>
      <c r="G35" s="1383"/>
      <c r="H35" s="2694"/>
      <c r="I35" s="1397"/>
      <c r="J35" s="1398"/>
      <c r="K35" s="2698"/>
      <c r="L35" s="2697"/>
      <c r="M35" s="2697"/>
    </row>
    <row r="36" spans="1:18" ht="18" customHeight="1">
      <c r="A36" s="1101" t="s">
        <v>402</v>
      </c>
      <c r="B36" s="302" t="s">
        <v>738</v>
      </c>
      <c r="C36" s="21">
        <f ca="1">ROUND(C29*F36,2)</f>
        <v>6.89</v>
      </c>
      <c r="D36" s="1343" t="s">
        <v>771</v>
      </c>
      <c r="E36" s="302" t="s">
        <v>712</v>
      </c>
      <c r="F36" s="328">
        <f ca="1">INDIRECT("'数据-取费表'!Ak"&amp;$G$1)</f>
        <v>3.0000000000000001E-3</v>
      </c>
      <c r="G36" s="1383"/>
      <c r="H36" s="2697"/>
      <c r="I36" s="1397"/>
      <c r="J36" s="1398"/>
      <c r="K36" s="2542"/>
      <c r="L36" s="2697"/>
      <c r="M36" s="2697"/>
    </row>
    <row r="37" spans="1:18" ht="18" customHeight="1">
      <c r="A37" s="981" t="s">
        <v>437</v>
      </c>
      <c r="B37" s="302" t="s">
        <v>742</v>
      </c>
      <c r="C37" s="21">
        <f ca="1">ROUND(C13*F37,2)</f>
        <v>1.38</v>
      </c>
      <c r="D37" s="1343" t="s">
        <v>743</v>
      </c>
      <c r="E37" s="302" t="s">
        <v>744</v>
      </c>
      <c r="F37" s="330">
        <f ca="1">INDIRECT("'数据-取费表'!Al"&amp;$G$1)</f>
        <v>1E-3</v>
      </c>
      <c r="G37" s="1383"/>
      <c r="H37" s="2697"/>
      <c r="I37" s="1397"/>
      <c r="J37" s="1398"/>
      <c r="K37" s="2542"/>
      <c r="L37" s="2697"/>
      <c r="M37" s="2697"/>
    </row>
    <row r="38" spans="1:18" ht="18" customHeight="1" thickBot="1">
      <c r="A38" s="1088" t="s">
        <v>684</v>
      </c>
      <c r="B38" s="1089" t="s">
        <v>728</v>
      </c>
      <c r="C38" s="1090">
        <f ca="1">ROUND(C5*F38,2)</f>
        <v>2.78</v>
      </c>
      <c r="D38" s="1091" t="s">
        <v>748</v>
      </c>
      <c r="E38" s="1089" t="s">
        <v>744</v>
      </c>
      <c r="F38" s="1085">
        <f ca="1">INDIRECT("'数据-取费表'!Am"&amp;$G$1)</f>
        <v>0.01</v>
      </c>
      <c r="G38" s="1383"/>
      <c r="H38" s="2697"/>
      <c r="I38" s="1397"/>
      <c r="J38" s="1398"/>
      <c r="K38" s="2701"/>
      <c r="L38" s="2697"/>
      <c r="M38" s="2697"/>
    </row>
    <row r="39" spans="1:18" ht="24.6" customHeight="1" thickTop="1">
      <c r="A39" s="1078" t="s">
        <v>394</v>
      </c>
      <c r="B39" s="1093" t="s">
        <v>772</v>
      </c>
      <c r="C39" s="310">
        <f ca="1">C5-C30</f>
        <v>220</v>
      </c>
      <c r="D39" s="1094" t="s">
        <v>773</v>
      </c>
      <c r="E39" s="1095"/>
      <c r="F39" s="1096"/>
      <c r="G39" s="1383"/>
      <c r="H39" s="2697"/>
      <c r="I39" s="1397"/>
      <c r="J39" s="1398"/>
      <c r="K39" s="2701"/>
      <c r="L39" s="2697"/>
      <c r="M39" s="2697"/>
    </row>
    <row r="40" spans="1:18" ht="18" customHeight="1">
      <c r="A40" s="299" t="s">
        <v>395</v>
      </c>
      <c r="B40" s="300" t="s">
        <v>774</v>
      </c>
      <c r="C40" s="301">
        <f ca="1">ROUND(C39*(1-((1+F42)/(1+F40))^F41)/(F40-F42),0)</f>
        <v>2408</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14.32</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ROUND(C40*10000/F43,0)</f>
        <v>5399</v>
      </c>
      <c r="D43" s="337" t="s">
        <v>777</v>
      </c>
      <c r="E43" s="338" t="s">
        <v>778</v>
      </c>
      <c r="F43" s="339">
        <f ca="1">INDIRECT("'数据-取费表'!k"&amp;$G$1)</f>
        <v>4460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2" t="s">
        <v>808</v>
      </c>
      <c r="P45" s="1460"/>
      <c r="Q45" s="1460"/>
      <c r="R45" s="1460"/>
    </row>
    <row r="46" spans="1:18" s="1383" customFormat="1" ht="13.5" thickBot="1">
      <c r="A46" s="1403" t="s">
        <v>809</v>
      </c>
      <c r="C46" s="1404">
        <f ca="1">C68-C40</f>
        <v>-2486</v>
      </c>
      <c r="D46" s="1405" t="str">
        <f>C2</f>
        <v>万元</v>
      </c>
      <c r="E46" s="1399"/>
      <c r="F46" s="1399"/>
      <c r="I46" s="1406" t="s">
        <v>810</v>
      </c>
      <c r="J46" s="1407"/>
      <c r="K46" s="1408"/>
      <c r="L46" s="1409">
        <f ca="1">IF(M47="住宅",0,IF(L48&gt;J51,L60,J60))</f>
        <v>326</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3780</v>
      </c>
      <c r="K47" s="1415" t="s">
        <v>816</v>
      </c>
      <c r="L47" s="1416">
        <f ca="1">INDIRECT("'数据-取费表'!d"&amp;$G$1)</f>
        <v>40</v>
      </c>
      <c r="M47" s="1379" t="str">
        <f>IF(ISNUMBER(FIND("住宅",C1)),"住宅","非住宅")</f>
        <v>非住宅</v>
      </c>
      <c r="O47" s="1417" t="s">
        <v>403</v>
      </c>
      <c r="P47" s="1418" t="s">
        <v>817</v>
      </c>
      <c r="Q47" s="1419">
        <f ca="1">C40+J29</f>
        <v>2408</v>
      </c>
      <c r="R47" s="1419" t="s">
        <v>818</v>
      </c>
    </row>
    <row r="48" spans="1:18" s="1383" customFormat="1" ht="28.5" thickBot="1">
      <c r="A48" s="1109" t="s">
        <v>438</v>
      </c>
      <c r="B48" s="300" t="s">
        <v>692</v>
      </c>
      <c r="C48" s="1358">
        <f ca="1">C49+C53+C55</f>
        <v>0</v>
      </c>
      <c r="D48" s="1111"/>
      <c r="E48" s="1112"/>
      <c r="F48" s="961"/>
      <c r="G48" s="721"/>
      <c r="H48" s="722"/>
      <c r="I48" s="1420" t="s">
        <v>819</v>
      </c>
      <c r="J48" s="1421" t="s">
        <v>3415</v>
      </c>
      <c r="K48" s="1422" t="s">
        <v>820</v>
      </c>
      <c r="L48" s="1423">
        <f ca="1">INDIRECT("'数据-取费表'!f"&amp;$G$1)</f>
        <v>14.32</v>
      </c>
      <c r="O48" s="1417" t="s">
        <v>404</v>
      </c>
      <c r="P48" s="1418" t="s">
        <v>821</v>
      </c>
      <c r="Q48" s="1419">
        <f ca="1">J60</f>
        <v>326</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f>'数据-取费表'!N18</f>
        <v>1992</v>
      </c>
      <c r="K49" s="1422" t="s">
        <v>824</v>
      </c>
      <c r="L49" s="1426"/>
      <c r="O49" s="1427" t="s">
        <v>405</v>
      </c>
      <c r="P49" s="1418" t="s">
        <v>825</v>
      </c>
      <c r="Q49" s="1419">
        <f ca="1">C29</f>
        <v>2297</v>
      </c>
      <c r="R49" s="1419" t="s">
        <v>818</v>
      </c>
    </row>
    <row r="50" spans="1:18" s="1383" customFormat="1" ht="13.5" thickBot="1">
      <c r="A50" s="975"/>
      <c r="B50" s="978"/>
      <c r="C50" s="1117"/>
      <c r="D50" s="952"/>
      <c r="E50" s="1055" t="s">
        <v>697</v>
      </c>
      <c r="F50" s="1056">
        <f ca="1">F7</f>
        <v>4460</v>
      </c>
      <c r="H50" s="722"/>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17</v>
      </c>
      <c r="K51" s="1433" t="s">
        <v>830</v>
      </c>
      <c r="L51" s="1434">
        <f ca="1">ROUND(-PV(INDIRECT("'数据-取费表'!h"&amp;$G$1),J51,(C39-C13*C76),0),0)</f>
        <v>1393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14.32</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14.32</v>
      </c>
      <c r="K53" s="3798" t="s">
        <v>837</v>
      </c>
      <c r="L53" s="3799"/>
      <c r="O53" s="1417" t="s">
        <v>409</v>
      </c>
      <c r="P53" s="1418" t="s">
        <v>838</v>
      </c>
      <c r="Q53" s="1419">
        <f ca="1">Q47+Q48</f>
        <v>2734</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7.2999999999999995E-2</v>
      </c>
      <c r="K55" s="1444" t="s">
        <v>841</v>
      </c>
      <c r="L55" s="1445"/>
      <c r="O55" s="1410" t="s">
        <v>811</v>
      </c>
      <c r="P55" s="1411" t="s">
        <v>812</v>
      </c>
      <c r="Q55" s="1412" t="s">
        <v>813</v>
      </c>
      <c r="R55" s="1412" t="s">
        <v>814</v>
      </c>
    </row>
    <row r="56" spans="1:18" s="1383" customFormat="1" ht="25.5" thickTop="1" thickBot="1">
      <c r="A56" s="956">
        <v>2</v>
      </c>
      <c r="B56" s="957" t="s">
        <v>704</v>
      </c>
      <c r="C56" s="232">
        <f ca="1">C13</f>
        <v>1378</v>
      </c>
      <c r="D56" s="1446"/>
      <c r="E56" s="1447"/>
      <c r="F56" s="1439"/>
      <c r="I56" s="1448" t="s">
        <v>842</v>
      </c>
      <c r="J56" s="1449" t="s">
        <v>3407</v>
      </c>
      <c r="K56" s="1420" t="s">
        <v>843</v>
      </c>
      <c r="L56" s="1423" t="str">
        <f ca="1">IF(L48&lt;J51,"——",L48-J53)</f>
        <v>——</v>
      </c>
      <c r="O56" s="1417" t="s">
        <v>403</v>
      </c>
      <c r="P56" s="1418" t="s">
        <v>817</v>
      </c>
      <c r="Q56" s="1419">
        <f ca="1">C40+J29</f>
        <v>2408</v>
      </c>
      <c r="R56" s="1419" t="s">
        <v>818</v>
      </c>
    </row>
    <row r="57" spans="1:18" s="1383" customFormat="1" ht="24.75" thickBot="1">
      <c r="A57" s="1450"/>
      <c r="B57" s="949" t="s">
        <v>767</v>
      </c>
      <c r="C57" s="238">
        <f ca="1">C29</f>
        <v>2297</v>
      </c>
      <c r="D57" s="1451"/>
      <c r="E57" s="1452"/>
      <c r="F57" s="1453"/>
      <c r="I57" s="1454" t="s">
        <v>844</v>
      </c>
      <c r="J57" s="1455">
        <f ca="1">IF(OR(M47="住宅",J51&lt;L48,J56="是"),"——",J51-L48)</f>
        <v>2.6799999999999997</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8</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919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f ca="1">IF(OR(M47="住宅",J51&lt;L48,J56="是"),"0",ROUND(J59/(1+J52)^J53,0))</f>
        <v>326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0.23</v>
      </c>
      <c r="D62" s="964" t="s">
        <v>786</v>
      </c>
      <c r="E62" s="949" t="s">
        <v>787</v>
      </c>
      <c r="F62" s="325">
        <f t="shared" si="0"/>
        <v>1.5</v>
      </c>
      <c r="I62" s="1461" t="s">
        <v>858</v>
      </c>
      <c r="J62" s="1462" t="s">
        <v>859</v>
      </c>
      <c r="K62" s="1462" t="s">
        <v>860</v>
      </c>
      <c r="L62" s="1462" t="s">
        <v>861</v>
      </c>
      <c r="M62" s="1463" t="s">
        <v>862</v>
      </c>
      <c r="O62" s="1417" t="s">
        <v>409</v>
      </c>
      <c r="P62" s="1418" t="s">
        <v>863</v>
      </c>
      <c r="Q62" s="1419">
        <f ca="1">Q56+Q57</f>
        <v>2408</v>
      </c>
      <c r="R62" s="1419" t="s">
        <v>410</v>
      </c>
    </row>
    <row r="63" spans="1:18" s="1383" customFormat="1" ht="13.5" thickBot="1">
      <c r="A63" s="326"/>
      <c r="B63" s="955"/>
      <c r="C63" s="26"/>
      <c r="D63" s="965"/>
      <c r="E63" s="949" t="s">
        <v>788</v>
      </c>
      <c r="F63" s="303">
        <f t="shared" ca="1" si="0"/>
        <v>1510.07</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6.89</v>
      </c>
      <c r="D64" s="963" t="s">
        <v>791</v>
      </c>
      <c r="E64" s="949"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1.38</v>
      </c>
      <c r="D65" s="963" t="s">
        <v>743</v>
      </c>
      <c r="E65" s="949" t="s">
        <v>744</v>
      </c>
      <c r="F65" s="330">
        <f t="shared" ca="1" si="0"/>
        <v>1E-3</v>
      </c>
      <c r="I65" s="1461" t="s">
        <v>867</v>
      </c>
      <c r="J65" s="1462">
        <v>40</v>
      </c>
      <c r="K65" s="1462">
        <v>30</v>
      </c>
      <c r="L65" s="1462">
        <v>50</v>
      </c>
      <c r="M65" s="1464">
        <v>0.02</v>
      </c>
      <c r="O65" s="1417" t="s">
        <v>403</v>
      </c>
      <c r="P65" s="1418" t="s">
        <v>868</v>
      </c>
      <c r="Q65" s="1419">
        <f ca="1">C40+J29</f>
        <v>2408</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-8</v>
      </c>
      <c r="D67" s="962" t="s">
        <v>753</v>
      </c>
      <c r="E67" s="967"/>
      <c r="F67" s="968"/>
      <c r="O67" s="1427" t="s">
        <v>405</v>
      </c>
      <c r="P67" s="1418" t="s">
        <v>850</v>
      </c>
      <c r="Q67" s="1465">
        <f ca="1">L51</f>
        <v>1393</v>
      </c>
      <c r="R67" s="1419" t="s">
        <v>870</v>
      </c>
    </row>
    <row r="68" spans="1:18" s="1383" customFormat="1" ht="16.5" thickBot="1">
      <c r="A68" s="946" t="s">
        <v>395</v>
      </c>
      <c r="B68" s="947" t="s">
        <v>774</v>
      </c>
      <c r="C68" s="301">
        <f ca="1">ROUND(C67*(1-((1+F70)/(1+F68))^F69)/(F68-F70),0)</f>
        <v>-78</v>
      </c>
      <c r="D68" s="964" t="s">
        <v>758</v>
      </c>
      <c r="E68" s="949" t="s">
        <v>759</v>
      </c>
      <c r="F68" s="312">
        <f ca="1">F40</f>
        <v>5.5E-2</v>
      </c>
      <c r="O68" s="1427" t="s">
        <v>406</v>
      </c>
      <c r="P68" s="1466" t="s">
        <v>871</v>
      </c>
      <c r="Q68" s="1419">
        <f ca="1">ROUND(Q69-Q70*Q71,0)</f>
        <v>124</v>
      </c>
      <c r="R68" s="1419" t="s">
        <v>414</v>
      </c>
    </row>
    <row r="69" spans="1:18" s="1383" customFormat="1" ht="13.5" thickBot="1">
      <c r="A69" s="950"/>
      <c r="B69" s="951"/>
      <c r="C69" s="306"/>
      <c r="D69" s="969" t="s">
        <v>762</v>
      </c>
      <c r="E69" s="949" t="s">
        <v>763</v>
      </c>
      <c r="F69" s="333">
        <f ca="1">F41</f>
        <v>14.32</v>
      </c>
      <c r="O69" s="1427" t="s">
        <v>411</v>
      </c>
      <c r="P69" s="1466" t="s">
        <v>872</v>
      </c>
      <c r="Q69" s="1419">
        <f ca="1">C39</f>
        <v>220</v>
      </c>
      <c r="R69" s="1419" t="s">
        <v>818</v>
      </c>
    </row>
    <row r="70" spans="1:18" s="1383" customFormat="1" ht="13.5" thickBot="1">
      <c r="A70" s="953"/>
      <c r="B70" s="954"/>
      <c r="C70" s="310"/>
      <c r="D70" s="965"/>
      <c r="E70" s="949" t="s">
        <v>766</v>
      </c>
      <c r="F70" s="1053"/>
      <c r="O70" s="1427" t="s">
        <v>412</v>
      </c>
      <c r="P70" s="1466" t="s">
        <v>873</v>
      </c>
      <c r="Q70" s="1419">
        <f ca="1">C13</f>
        <v>1378</v>
      </c>
      <c r="R70" s="1419" t="s">
        <v>818</v>
      </c>
    </row>
    <row r="71" spans="1:18" s="1383" customFormat="1" ht="13.5" thickBot="1">
      <c r="A71" s="970" t="s">
        <v>396</v>
      </c>
      <c r="B71" s="971" t="s">
        <v>776</v>
      </c>
      <c r="C71" s="336">
        <f ca="1">ROUND(C68*10000/F71,0)</f>
        <v>-175</v>
      </c>
      <c r="D71" s="972" t="s">
        <v>777</v>
      </c>
      <c r="E71" s="973" t="s">
        <v>778</v>
      </c>
      <c r="F71" s="339">
        <f ca="1">F43</f>
        <v>4460</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96</v>
      </c>
      <c r="D75" s="1383"/>
      <c r="E75" s="1383"/>
      <c r="F75" s="1383"/>
      <c r="K75" s="1401"/>
      <c r="L75" s="1383"/>
      <c r="O75" s="1417" t="s">
        <v>409</v>
      </c>
      <c r="P75" s="1418" t="s">
        <v>838</v>
      </c>
      <c r="Q75" s="1419">
        <f ca="1">Q65+Q66</f>
        <v>2408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0.56400000000000006</v>
      </c>
    </row>
    <row r="80" spans="1:18">
      <c r="B80" s="340" t="s">
        <v>800</v>
      </c>
      <c r="C80" s="274">
        <f ca="1">ROUND(C75/C39,3)</f>
        <v>0.436</v>
      </c>
    </row>
    <row r="81" spans="2:3">
      <c r="B81" s="270" t="s">
        <v>801</v>
      </c>
      <c r="C81" s="238"/>
    </row>
    <row r="82" spans="2:3">
      <c r="B82" s="273" t="s">
        <v>802</v>
      </c>
      <c r="C82" s="275">
        <f ca="1">1-C83</f>
        <v>0.42800000000000005</v>
      </c>
    </row>
    <row r="83" spans="2:3">
      <c r="B83" s="273" t="s">
        <v>803</v>
      </c>
      <c r="C83" s="274">
        <f ca="1">ROUND(C13/C40,3)</f>
        <v>0.57199999999999995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0" priority="56">
      <formula>$L$48&gt;$J$51</formula>
    </cfRule>
  </conditionalFormatting>
  <conditionalFormatting sqref="I55 I60">
    <cfRule type="expression" dxfId="179" priority="57">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E15" sqref="E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3488</v>
      </c>
      <c r="E1" s="3430" t="s">
        <v>3432</v>
      </c>
      <c r="F1" s="1878" t="s">
        <v>3433</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24883</v>
      </c>
      <c r="C3" s="354" t="s">
        <v>1768</v>
      </c>
      <c r="D3" s="353">
        <f>IF(D1="",'数据-汇总表'!E3,SUMIF('数据-汇总表'!$C19:$C33,D1,'数据-汇总表'!$E19:$E33))</f>
        <v>0</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824" t="s">
        <v>1770</v>
      </c>
      <c r="D4" s="3825"/>
      <c r="E4" s="3826" t="s">
        <v>1771</v>
      </c>
      <c r="F4" s="3827"/>
      <c r="G4" s="3824" t="s">
        <v>1772</v>
      </c>
      <c r="H4" s="3825"/>
      <c r="I4" s="3824" t="s">
        <v>1773</v>
      </c>
      <c r="J4" s="3825"/>
      <c r="K4" s="559" t="s">
        <v>1774</v>
      </c>
      <c r="L4" s="2712"/>
      <c r="M4" s="2713"/>
      <c r="N4" s="2713"/>
      <c r="O4" s="2713"/>
      <c r="P4" s="3828" t="s">
        <v>1775</v>
      </c>
      <c r="Q4" s="3829"/>
      <c r="R4" s="3808" t="s">
        <v>1771</v>
      </c>
      <c r="S4" s="3809"/>
      <c r="T4" s="3808" t="s">
        <v>1772</v>
      </c>
      <c r="U4" s="3809"/>
      <c r="V4" s="3836" t="s">
        <v>1773</v>
      </c>
      <c r="W4" s="3836"/>
      <c r="X4" s="1957"/>
      <c r="Y4" s="3808" t="s">
        <v>1775</v>
      </c>
      <c r="Z4" s="3809"/>
      <c r="AA4" s="3803" t="s">
        <v>1771</v>
      </c>
      <c r="AB4" s="3803" t="s">
        <v>1772</v>
      </c>
      <c r="AC4" s="3821" t="s">
        <v>1773</v>
      </c>
    </row>
    <row r="5" spans="1:29" ht="15">
      <c r="A5" s="358"/>
      <c r="B5" s="359"/>
      <c r="C5" s="3814" t="s">
        <v>3512</v>
      </c>
      <c r="D5" s="3815"/>
      <c r="E5" s="3812" t="s">
        <v>3518</v>
      </c>
      <c r="F5" s="3813"/>
      <c r="G5" s="3814" t="s">
        <v>3520</v>
      </c>
      <c r="H5" s="3815"/>
      <c r="I5" s="3814" t="s">
        <v>3524</v>
      </c>
      <c r="J5" s="3815"/>
      <c r="K5" s="559"/>
      <c r="L5" s="2712"/>
      <c r="M5" s="2713"/>
      <c r="N5" s="2713"/>
      <c r="O5" s="2713"/>
      <c r="P5" s="3830"/>
      <c r="Q5" s="3831"/>
      <c r="R5" s="3810"/>
      <c r="S5" s="3811"/>
      <c r="T5" s="3810"/>
      <c r="U5" s="3811"/>
      <c r="V5" s="3837"/>
      <c r="W5" s="3837"/>
      <c r="X5" s="1354"/>
      <c r="Y5" s="3810"/>
      <c r="Z5" s="3811"/>
      <c r="AA5" s="3804"/>
      <c r="AB5" s="3804"/>
      <c r="AC5" s="3822"/>
    </row>
    <row r="6" spans="1:29" ht="15.75" thickBot="1">
      <c r="A6" s="360"/>
      <c r="B6" s="361"/>
      <c r="C6" s="3816" t="s">
        <v>1677</v>
      </c>
      <c r="D6" s="3817"/>
      <c r="E6" s="3818" t="s">
        <v>1677</v>
      </c>
      <c r="F6" s="3819"/>
      <c r="G6" s="3816" t="s">
        <v>1677</v>
      </c>
      <c r="H6" s="3817"/>
      <c r="I6" s="3816" t="s">
        <v>1677</v>
      </c>
      <c r="J6" s="3817"/>
      <c r="K6" s="559" t="s">
        <v>1678</v>
      </c>
      <c r="L6" s="2712"/>
      <c r="M6" s="2713"/>
      <c r="N6" s="2713"/>
      <c r="O6" s="2713"/>
      <c r="P6" s="3832"/>
      <c r="Q6" s="3833"/>
      <c r="R6" s="3810"/>
      <c r="S6" s="3811"/>
      <c r="T6" s="3834"/>
      <c r="U6" s="3835"/>
      <c r="V6" s="3837"/>
      <c r="W6" s="3837"/>
      <c r="X6" s="1354"/>
      <c r="Y6" s="3834"/>
      <c r="Z6" s="3835"/>
      <c r="AA6" s="3805"/>
      <c r="AB6" s="3805"/>
      <c r="AC6" s="3823"/>
    </row>
    <row r="7" spans="1:29" s="108" customFormat="1" ht="15.75" thickBot="1">
      <c r="A7" s="362" t="s">
        <v>1679</v>
      </c>
      <c r="B7" s="363"/>
      <c r="C7" s="364">
        <f>'数据-取费表'!B2</f>
        <v>45706</v>
      </c>
      <c r="D7" s="365">
        <v>100</v>
      </c>
      <c r="E7" s="366">
        <f>C7</f>
        <v>45706</v>
      </c>
      <c r="F7" s="367">
        <f>SUMIF(59:59,YEAR(E7)&amp;"-"&amp;MONTH(E7),60:60)</f>
        <v>100</v>
      </c>
      <c r="G7" s="366">
        <f>C7</f>
        <v>45706</v>
      </c>
      <c r="H7" s="365">
        <f>SUMIF(59:59,YEAR(G7)&amp;"-"&amp;MONTH(G7),60:60)</f>
        <v>100</v>
      </c>
      <c r="I7" s="366">
        <f>C7</f>
        <v>45706</v>
      </c>
      <c r="J7" s="365">
        <f>SUMIF(59:59,YEAR(I7)&amp;"-"&amp;MONTH(I7),60:60)</f>
        <v>100</v>
      </c>
      <c r="K7" s="560"/>
      <c r="L7" s="2714"/>
      <c r="M7" s="2715"/>
      <c r="N7" s="2715"/>
      <c r="O7" s="2715"/>
      <c r="P7" s="3838" t="s">
        <v>1680</v>
      </c>
      <c r="Q7" s="3839"/>
      <c r="R7" s="700" t="s">
        <v>14</v>
      </c>
      <c r="S7" s="701">
        <f t="shared" ref="S7:S15" si="0">F7</f>
        <v>100</v>
      </c>
      <c r="T7" s="700" t="s">
        <v>14</v>
      </c>
      <c r="U7" s="701">
        <f t="shared" ref="U7:U15" si="1">H7</f>
        <v>100</v>
      </c>
      <c r="V7" s="700" t="s">
        <v>14</v>
      </c>
      <c r="W7" s="701">
        <f t="shared" ref="W7:W15" si="2">J7</f>
        <v>100</v>
      </c>
      <c r="X7" s="702"/>
      <c r="Y7" s="3806" t="s">
        <v>1680</v>
      </c>
      <c r="Z7" s="3807"/>
      <c r="AA7" s="703">
        <f>D7/F7</f>
        <v>1</v>
      </c>
      <c r="AB7" s="703">
        <f>D7/H7</f>
        <v>1</v>
      </c>
      <c r="AC7" s="1958">
        <f>D7/J7</f>
        <v>1</v>
      </c>
    </row>
    <row r="8" spans="1:29" s="108" customFormat="1" ht="15.75" thickBot="1">
      <c r="A8" s="362" t="s">
        <v>1681</v>
      </c>
      <c r="B8" s="363"/>
      <c r="C8" s="368" t="s">
        <v>3434</v>
      </c>
      <c r="D8" s="365">
        <v>100</v>
      </c>
      <c r="E8" s="368" t="s">
        <v>3435</v>
      </c>
      <c r="F8" s="367">
        <f>SUMIF(62:62,E8,63:63)-SUMIF(62:62,C8,63:63)+100</f>
        <v>103</v>
      </c>
      <c r="G8" s="368" t="s">
        <v>3434</v>
      </c>
      <c r="H8" s="365">
        <f>SUMIF(62:62,G8,63:63)-SUMIF(62:62,C8,63:63)+100</f>
        <v>100</v>
      </c>
      <c r="I8" s="368" t="s">
        <v>3435</v>
      </c>
      <c r="J8" s="365">
        <f>SUMIF(62:62,I8,63:63)-SUMIF(62:62,C8,63:63)+100</f>
        <v>103</v>
      </c>
      <c r="K8" s="560"/>
      <c r="L8" s="2714"/>
      <c r="M8" s="2715"/>
      <c r="N8" s="2715"/>
      <c r="O8" s="2715"/>
      <c r="P8" s="3838" t="s">
        <v>1683</v>
      </c>
      <c r="Q8" s="3807"/>
      <c r="R8" s="700" t="s">
        <v>14</v>
      </c>
      <c r="S8" s="701">
        <f t="shared" si="0"/>
        <v>103</v>
      </c>
      <c r="T8" s="700" t="s">
        <v>14</v>
      </c>
      <c r="U8" s="701">
        <f t="shared" si="1"/>
        <v>100</v>
      </c>
      <c r="V8" s="700" t="s">
        <v>14</v>
      </c>
      <c r="W8" s="701">
        <f t="shared" si="2"/>
        <v>103</v>
      </c>
      <c r="X8" s="702"/>
      <c r="Y8" s="3806" t="s">
        <v>1683</v>
      </c>
      <c r="Z8" s="3807"/>
      <c r="AA8" s="703">
        <f t="shared" ref="AA8:AA47" si="3">D8/F8</f>
        <v>0.970873786407767</v>
      </c>
      <c r="AB8" s="703">
        <f t="shared" ref="AB8:AB47" si="4">D8/H8</f>
        <v>1</v>
      </c>
      <c r="AC8" s="1958">
        <f t="shared" ref="AC8:AC47" si="5">D8/J8</f>
        <v>0.970873786407767</v>
      </c>
    </row>
    <row r="9" spans="1:29" s="108" customFormat="1">
      <c r="A9" s="369" t="s">
        <v>1684</v>
      </c>
      <c r="B9" s="63" t="s">
        <v>1685</v>
      </c>
      <c r="C9" s="3461" t="s">
        <v>3491</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820" t="s">
        <v>1686</v>
      </c>
      <c r="Q9" s="1342" t="str">
        <f t="shared" ref="Q9:Q15" si="6">B9</f>
        <v>用途</v>
      </c>
      <c r="R9" s="700" t="s">
        <v>14</v>
      </c>
      <c r="S9" s="701">
        <f t="shared" si="0"/>
        <v>100</v>
      </c>
      <c r="T9" s="700" t="s">
        <v>14</v>
      </c>
      <c r="U9" s="701">
        <f t="shared" si="1"/>
        <v>100</v>
      </c>
      <c r="V9" s="700" t="s">
        <v>14</v>
      </c>
      <c r="W9" s="701">
        <f t="shared" si="2"/>
        <v>100</v>
      </c>
      <c r="X9" s="702"/>
      <c r="Y9" s="3752" t="s">
        <v>1687</v>
      </c>
      <c r="Z9" s="52" t="str">
        <f t="shared" ref="Z9:Z15" si="7">Q9</f>
        <v>用途</v>
      </c>
      <c r="AA9" s="703">
        <f t="shared" si="3"/>
        <v>1</v>
      </c>
      <c r="AB9" s="703">
        <f t="shared" si="4"/>
        <v>1</v>
      </c>
      <c r="AC9" s="1958">
        <f t="shared" si="5"/>
        <v>1</v>
      </c>
    </row>
    <row r="10" spans="1:29" s="378" customFormat="1" ht="27">
      <c r="A10" s="374"/>
      <c r="B10" s="375" t="s">
        <v>1688</v>
      </c>
      <c r="C10" s="3431" t="str">
        <f>E66</f>
        <v>30（含）-20</v>
      </c>
      <c r="D10" s="127">
        <v>100</v>
      </c>
      <c r="E10" s="3431" t="str">
        <f>E66</f>
        <v>30（含）-20</v>
      </c>
      <c r="F10" s="127">
        <f>SUMIF(66:66,E10,67:67)-SUMIF(66:66,C10,67:67)+100</f>
        <v>100</v>
      </c>
      <c r="G10" s="3432" t="str">
        <f>E66</f>
        <v>30（含）-20</v>
      </c>
      <c r="H10" s="127">
        <f>SUMIF(66:66,G10,67:67)-SUMIF(66:66,C10,67:67)+100</f>
        <v>100</v>
      </c>
      <c r="I10" s="3431" t="str">
        <f>D66</f>
        <v>40（含）-30</v>
      </c>
      <c r="J10" s="127">
        <f>SUMIF(66:66,I10,67:67)-SUMIF(66:66,C10,67:67)+100</f>
        <v>102</v>
      </c>
      <c r="K10" s="560"/>
      <c r="L10" s="2716"/>
      <c r="M10" s="2717"/>
      <c r="N10" s="2717"/>
      <c r="O10" s="2717"/>
      <c r="P10" s="3820"/>
      <c r="Q10" s="1342" t="str">
        <f t="shared" si="6"/>
        <v>土地使用年限（年）</v>
      </c>
      <c r="R10" s="700" t="s">
        <v>14</v>
      </c>
      <c r="S10" s="701">
        <f t="shared" si="0"/>
        <v>100</v>
      </c>
      <c r="T10" s="700" t="s">
        <v>14</v>
      </c>
      <c r="U10" s="701">
        <f t="shared" si="1"/>
        <v>100</v>
      </c>
      <c r="V10" s="700" t="s">
        <v>14</v>
      </c>
      <c r="W10" s="701">
        <f t="shared" si="2"/>
        <v>102</v>
      </c>
      <c r="X10" s="702"/>
      <c r="Y10" s="3752"/>
      <c r="Z10" s="52" t="str">
        <f t="shared" si="7"/>
        <v>土地使用年限（年）</v>
      </c>
      <c r="AA10" s="703">
        <f t="shared" si="3"/>
        <v>1</v>
      </c>
      <c r="AB10" s="703">
        <f t="shared" si="4"/>
        <v>1</v>
      </c>
      <c r="AC10" s="1958">
        <f t="shared" si="5"/>
        <v>0.98039215686274506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20"/>
      <c r="Q11" s="1342" t="str">
        <f t="shared" si="6"/>
        <v>容积率</v>
      </c>
      <c r="R11" s="700" t="s">
        <v>14</v>
      </c>
      <c r="S11" s="701">
        <f t="shared" si="0"/>
        <v>100</v>
      </c>
      <c r="T11" s="700" t="s">
        <v>14</v>
      </c>
      <c r="U11" s="701">
        <f t="shared" si="1"/>
        <v>100</v>
      </c>
      <c r="V11" s="700" t="s">
        <v>14</v>
      </c>
      <c r="W11" s="701">
        <f t="shared" si="2"/>
        <v>100</v>
      </c>
      <c r="X11" s="702"/>
      <c r="Y11" s="375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820"/>
      <c r="Q12" s="1342">
        <f t="shared" si="6"/>
        <v>111</v>
      </c>
      <c r="R12" s="700" t="s">
        <v>14</v>
      </c>
      <c r="S12" s="701">
        <f t="shared" si="0"/>
        <v>100</v>
      </c>
      <c r="T12" s="700" t="s">
        <v>14</v>
      </c>
      <c r="U12" s="701">
        <f t="shared" si="1"/>
        <v>100</v>
      </c>
      <c r="V12" s="700" t="s">
        <v>14</v>
      </c>
      <c r="W12" s="701">
        <f t="shared" si="2"/>
        <v>100</v>
      </c>
      <c r="X12" s="702"/>
      <c r="Y12" s="375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820"/>
      <c r="Q13" s="1342">
        <f t="shared" si="6"/>
        <v>111</v>
      </c>
      <c r="R13" s="700" t="s">
        <v>14</v>
      </c>
      <c r="S13" s="701">
        <f t="shared" si="0"/>
        <v>100</v>
      </c>
      <c r="T13" s="700" t="s">
        <v>14</v>
      </c>
      <c r="U13" s="701">
        <f t="shared" si="1"/>
        <v>100</v>
      </c>
      <c r="V13" s="700" t="s">
        <v>14</v>
      </c>
      <c r="W13" s="701">
        <f t="shared" si="2"/>
        <v>100</v>
      </c>
      <c r="X13" s="702"/>
      <c r="Y13" s="3752"/>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820"/>
      <c r="Q14" s="1342">
        <f t="shared" si="6"/>
        <v>111</v>
      </c>
      <c r="R14" s="700" t="s">
        <v>14</v>
      </c>
      <c r="S14" s="701">
        <f t="shared" si="0"/>
        <v>100</v>
      </c>
      <c r="T14" s="700" t="s">
        <v>14</v>
      </c>
      <c r="U14" s="701">
        <f t="shared" si="1"/>
        <v>100</v>
      </c>
      <c r="V14" s="700" t="s">
        <v>14</v>
      </c>
      <c r="W14" s="701">
        <f t="shared" si="2"/>
        <v>100</v>
      </c>
      <c r="X14" s="702"/>
      <c r="Y14" s="3752"/>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40" t="s">
        <v>1691</v>
      </c>
      <c r="Q15" s="1351" t="str">
        <f t="shared" si="6"/>
        <v>办公集聚程度</v>
      </c>
      <c r="R15" s="704" t="s">
        <v>14</v>
      </c>
      <c r="S15" s="705">
        <f t="shared" si="0"/>
        <v>100</v>
      </c>
      <c r="T15" s="704" t="s">
        <v>14</v>
      </c>
      <c r="U15" s="705">
        <f t="shared" si="1"/>
        <v>100</v>
      </c>
      <c r="V15" s="704" t="s">
        <v>14</v>
      </c>
      <c r="W15" s="705">
        <f t="shared" si="2"/>
        <v>100</v>
      </c>
      <c r="X15" s="1354"/>
      <c r="Y15" s="3842"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9"/>
      <c r="M16" s="2713"/>
      <c r="N16" s="2713"/>
      <c r="O16" s="2713"/>
      <c r="P16" s="3841"/>
      <c r="Q16" s="1351"/>
      <c r="R16" s="704"/>
      <c r="S16" s="705"/>
      <c r="T16" s="704"/>
      <c r="U16" s="705"/>
      <c r="V16" s="704"/>
      <c r="W16" s="705"/>
      <c r="X16" s="1354"/>
      <c r="Y16" s="3843"/>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41"/>
      <c r="Q17" s="1351" t="str">
        <f>B17</f>
        <v>交通便捷度</v>
      </c>
      <c r="R17" s="704" t="s">
        <v>14</v>
      </c>
      <c r="S17" s="705">
        <f>F17</f>
        <v>100</v>
      </c>
      <c r="T17" s="704" t="s">
        <v>14</v>
      </c>
      <c r="U17" s="705">
        <f>H17</f>
        <v>100</v>
      </c>
      <c r="V17" s="704" t="s">
        <v>14</v>
      </c>
      <c r="W17" s="705">
        <f>J17</f>
        <v>100</v>
      </c>
      <c r="X17" s="1354"/>
      <c r="Y17" s="3843"/>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9"/>
      <c r="M18" s="2713"/>
      <c r="N18" s="2713"/>
      <c r="O18" s="2713"/>
      <c r="P18" s="3841"/>
      <c r="Q18" s="1351"/>
      <c r="R18" s="704"/>
      <c r="S18" s="705"/>
      <c r="T18" s="704"/>
      <c r="U18" s="705"/>
      <c r="V18" s="704"/>
      <c r="W18" s="705"/>
      <c r="X18" s="1354"/>
      <c r="Y18" s="3843"/>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41"/>
      <c r="Q19" s="1351" t="str">
        <f>B19</f>
        <v>公共配套设施</v>
      </c>
      <c r="R19" s="704" t="s">
        <v>14</v>
      </c>
      <c r="S19" s="705">
        <f>F19</f>
        <v>100</v>
      </c>
      <c r="T19" s="704" t="s">
        <v>14</v>
      </c>
      <c r="U19" s="705">
        <f>H19</f>
        <v>100</v>
      </c>
      <c r="V19" s="704" t="s">
        <v>14</v>
      </c>
      <c r="W19" s="705">
        <f>J19</f>
        <v>100</v>
      </c>
      <c r="X19" s="1354"/>
      <c r="Y19" s="3843"/>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9"/>
      <c r="M20" s="2713"/>
      <c r="N20" s="2713"/>
      <c r="O20" s="2713"/>
      <c r="P20" s="3841"/>
      <c r="Q20" s="1351"/>
      <c r="R20" s="704"/>
      <c r="S20" s="705"/>
      <c r="T20" s="704"/>
      <c r="U20" s="705"/>
      <c r="V20" s="704"/>
      <c r="W20" s="705"/>
      <c r="X20" s="1354"/>
      <c r="Y20" s="3843"/>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41"/>
      <c r="Q21" s="1351" t="str">
        <f>B21</f>
        <v>基础设施水平</v>
      </c>
      <c r="R21" s="704" t="s">
        <v>14</v>
      </c>
      <c r="S21" s="705">
        <f>F21</f>
        <v>100</v>
      </c>
      <c r="T21" s="704" t="s">
        <v>14</v>
      </c>
      <c r="U21" s="705">
        <f>H21</f>
        <v>100</v>
      </c>
      <c r="V21" s="704" t="s">
        <v>14</v>
      </c>
      <c r="W21" s="705">
        <f>J21</f>
        <v>100</v>
      </c>
      <c r="X21" s="1354"/>
      <c r="Y21" s="3843"/>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19"/>
      <c r="M22" s="2713"/>
      <c r="N22" s="2713"/>
      <c r="O22" s="2713"/>
      <c r="P22" s="3841"/>
      <c r="Q22" s="1351"/>
      <c r="R22" s="704"/>
      <c r="S22" s="705"/>
      <c r="T22" s="704"/>
      <c r="U22" s="705"/>
      <c r="V22" s="704"/>
      <c r="W22" s="705"/>
      <c r="X22" s="1354"/>
      <c r="Y22" s="3843"/>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41"/>
      <c r="Q23" s="1351" t="str">
        <f>B23</f>
        <v>环境质量</v>
      </c>
      <c r="R23" s="704" t="s">
        <v>14</v>
      </c>
      <c r="S23" s="705">
        <f>F23</f>
        <v>100</v>
      </c>
      <c r="T23" s="704" t="s">
        <v>14</v>
      </c>
      <c r="U23" s="705">
        <f>H23</f>
        <v>100</v>
      </c>
      <c r="V23" s="704" t="s">
        <v>14</v>
      </c>
      <c r="W23" s="705">
        <f>J23</f>
        <v>100</v>
      </c>
      <c r="X23" s="1354"/>
      <c r="Y23" s="3843"/>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9"/>
      <c r="M24" s="2713"/>
      <c r="N24" s="2713"/>
      <c r="O24" s="2713"/>
      <c r="P24" s="3841"/>
      <c r="Q24" s="1351"/>
      <c r="R24" s="704"/>
      <c r="S24" s="705"/>
      <c r="T24" s="704"/>
      <c r="U24" s="705"/>
      <c r="V24" s="704"/>
      <c r="W24" s="705"/>
      <c r="X24" s="1354"/>
      <c r="Y24" s="3843"/>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841"/>
      <c r="Q25" s="1351" t="str">
        <f>B25</f>
        <v>毗邻道路的类型与等级</v>
      </c>
      <c r="R25" s="704" t="s">
        <v>14</v>
      </c>
      <c r="S25" s="705">
        <f>F25</f>
        <v>100</v>
      </c>
      <c r="T25" s="704" t="s">
        <v>14</v>
      </c>
      <c r="U25" s="705">
        <f>H25</f>
        <v>100</v>
      </c>
      <c r="V25" s="704" t="s">
        <v>14</v>
      </c>
      <c r="W25" s="705">
        <f>J25</f>
        <v>100</v>
      </c>
      <c r="X25" s="1354"/>
      <c r="Y25" s="3843"/>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841"/>
      <c r="Q26" s="1351"/>
      <c r="R26" s="704"/>
      <c r="S26" s="705"/>
      <c r="T26" s="704"/>
      <c r="U26" s="705"/>
      <c r="V26" s="704"/>
      <c r="W26" s="705"/>
      <c r="X26" s="1354"/>
      <c r="Y26" s="3843"/>
      <c r="Z26" s="1355"/>
      <c r="AA26" s="1352">
        <v>1</v>
      </c>
      <c r="AB26" s="1352">
        <v>1</v>
      </c>
      <c r="AC26" s="1961">
        <v>1</v>
      </c>
    </row>
    <row r="27" spans="1:29" ht="15">
      <c r="A27" s="379"/>
      <c r="B27" s="580" t="s">
        <v>1783</v>
      </c>
      <c r="C27" s="582" t="s">
        <v>3495</v>
      </c>
      <c r="D27" s="386">
        <v>100</v>
      </c>
      <c r="E27" s="565" t="s">
        <v>3495</v>
      </c>
      <c r="F27" s="386">
        <f>SUMIF(89:89,E27,90:90)-SUMIF(89:89,C27,90:90)+100</f>
        <v>100</v>
      </c>
      <c r="G27" s="582" t="s">
        <v>3492</v>
      </c>
      <c r="H27" s="386">
        <f>SUMIF(89:89,G27,90:90)-SUMIF(89:89,C27,90:90)+100</f>
        <v>104</v>
      </c>
      <c r="I27" s="565" t="s">
        <v>3492</v>
      </c>
      <c r="J27" s="386">
        <f>SUMIF(89:89,I27,90:90)-SUMIF(89:89,C27,90:90)+100</f>
        <v>104</v>
      </c>
      <c r="K27" s="561">
        <v>2</v>
      </c>
      <c r="L27" s="2719"/>
      <c r="M27" s="2713"/>
      <c r="N27" s="2713"/>
      <c r="O27" s="2713"/>
      <c r="P27" s="3841"/>
      <c r="Q27" s="1351" t="str">
        <f t="shared" ref="Q27:Q47" si="11">B27</f>
        <v>楼层</v>
      </c>
      <c r="R27" s="704" t="s">
        <v>14</v>
      </c>
      <c r="S27" s="705">
        <f>F27</f>
        <v>100</v>
      </c>
      <c r="T27" s="704" t="s">
        <v>14</v>
      </c>
      <c r="U27" s="705">
        <f>H27</f>
        <v>104</v>
      </c>
      <c r="V27" s="704" t="s">
        <v>14</v>
      </c>
      <c r="W27" s="705">
        <f>J27</f>
        <v>104</v>
      </c>
      <c r="X27" s="1354"/>
      <c r="Y27" s="3843"/>
      <c r="Z27" s="1355" t="str">
        <f>Q27</f>
        <v>楼层</v>
      </c>
      <c r="AA27" s="1352">
        <f t="shared" si="3"/>
        <v>1</v>
      </c>
      <c r="AB27" s="1352">
        <f t="shared" si="4"/>
        <v>0.96153846153846156</v>
      </c>
      <c r="AC27" s="1961">
        <f t="shared" si="5"/>
        <v>0.96153846153846156</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841"/>
      <c r="Q28" s="1342" t="str">
        <f t="shared" si="11"/>
        <v>朝向</v>
      </c>
      <c r="R28" s="700" t="s">
        <v>14</v>
      </c>
      <c r="S28" s="701">
        <f>F28</f>
        <v>100</v>
      </c>
      <c r="T28" s="700" t="s">
        <v>14</v>
      </c>
      <c r="U28" s="701">
        <f>H28</f>
        <v>100</v>
      </c>
      <c r="V28" s="700" t="s">
        <v>14</v>
      </c>
      <c r="W28" s="701">
        <f>J28</f>
        <v>100</v>
      </c>
      <c r="X28" s="702"/>
      <c r="Y28" s="3843"/>
      <c r="Z28" s="52" t="str">
        <f>Q28</f>
        <v>朝向</v>
      </c>
      <c r="AA28" s="1352">
        <f>D28/F28</f>
        <v>1</v>
      </c>
      <c r="AB28" s="1352">
        <f>D28/H28</f>
        <v>1</v>
      </c>
      <c r="AC28" s="1961">
        <f>D28/J28</f>
        <v>1</v>
      </c>
    </row>
    <row r="29" spans="1:29" ht="15">
      <c r="A29" s="379"/>
      <c r="B29" s="3478" t="s">
        <v>3516</v>
      </c>
      <c r="C29" s="1907" t="s">
        <v>3517</v>
      </c>
      <c r="D29" s="386">
        <v>100</v>
      </c>
      <c r="E29" s="3479" t="s">
        <v>3519</v>
      </c>
      <c r="F29" s="386">
        <f>SUMIF(93:93,E29,94:94)-SUMIF(93:93,C29,94:94)+100</f>
        <v>102</v>
      </c>
      <c r="G29" s="3480" t="s">
        <v>3519</v>
      </c>
      <c r="H29" s="386">
        <f>SUMIF(93:93,G29,94:94)-SUMIF(93:93,C29,94:94)+100</f>
        <v>102</v>
      </c>
      <c r="I29" s="383" t="s">
        <v>3525</v>
      </c>
      <c r="J29" s="386">
        <f>SUMIF(93:93,I29,94:94)-SUMIF(93:93,C29,94:94)+100</f>
        <v>98</v>
      </c>
      <c r="K29" s="562"/>
      <c r="L29" s="2719"/>
      <c r="M29" s="2713"/>
      <c r="N29" s="2713"/>
      <c r="O29" s="2713"/>
      <c r="P29" s="3841"/>
      <c r="Q29" s="1351" t="str">
        <f t="shared" si="11"/>
        <v>环线位置</v>
      </c>
      <c r="R29" s="704" t="s">
        <v>14</v>
      </c>
      <c r="S29" s="705">
        <f t="shared" ref="S29:S47" si="12">F29</f>
        <v>102</v>
      </c>
      <c r="T29" s="704" t="s">
        <v>14</v>
      </c>
      <c r="U29" s="705">
        <f t="shared" ref="U29:U47" si="13">H29</f>
        <v>102</v>
      </c>
      <c r="V29" s="704" t="s">
        <v>14</v>
      </c>
      <c r="W29" s="705">
        <f t="shared" ref="W29:W47" si="14">J29</f>
        <v>98</v>
      </c>
      <c r="X29" s="1354"/>
      <c r="Y29" s="3843"/>
      <c r="Z29" s="1355" t="str">
        <f t="shared" ref="Z29:Z47" si="15">Q29</f>
        <v>环线位置</v>
      </c>
      <c r="AA29" s="1352">
        <f t="shared" si="3"/>
        <v>0.98039215686274506</v>
      </c>
      <c r="AB29" s="1352">
        <f t="shared" si="4"/>
        <v>0.98039215686274506</v>
      </c>
      <c r="AC29" s="1961">
        <f t="shared" si="5"/>
        <v>1.0204081632653061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841"/>
      <c r="Q30" s="1351">
        <f t="shared" si="11"/>
        <v>111</v>
      </c>
      <c r="R30" s="704" t="s">
        <v>14</v>
      </c>
      <c r="S30" s="705">
        <f t="shared" si="12"/>
        <v>100</v>
      </c>
      <c r="T30" s="704" t="s">
        <v>14</v>
      </c>
      <c r="U30" s="705">
        <f t="shared" si="13"/>
        <v>100</v>
      </c>
      <c r="V30" s="704" t="s">
        <v>14</v>
      </c>
      <c r="W30" s="705">
        <f t="shared" si="14"/>
        <v>100</v>
      </c>
      <c r="X30" s="1354"/>
      <c r="Y30" s="3843"/>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841"/>
      <c r="Q31" s="1351">
        <f t="shared" si="11"/>
        <v>111</v>
      </c>
      <c r="R31" s="704" t="s">
        <v>14</v>
      </c>
      <c r="S31" s="705">
        <f t="shared" si="12"/>
        <v>100</v>
      </c>
      <c r="T31" s="704" t="s">
        <v>14</v>
      </c>
      <c r="U31" s="705">
        <f t="shared" si="13"/>
        <v>100</v>
      </c>
      <c r="V31" s="704" t="s">
        <v>14</v>
      </c>
      <c r="W31" s="705">
        <f t="shared" si="14"/>
        <v>100</v>
      </c>
      <c r="X31" s="1354"/>
      <c r="Y31" s="3843"/>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841"/>
      <c r="Q32" s="1351">
        <f t="shared" si="11"/>
        <v>111</v>
      </c>
      <c r="R32" s="704" t="s">
        <v>14</v>
      </c>
      <c r="S32" s="705">
        <f t="shared" si="12"/>
        <v>100</v>
      </c>
      <c r="T32" s="704" t="s">
        <v>14</v>
      </c>
      <c r="U32" s="705">
        <f t="shared" si="13"/>
        <v>100</v>
      </c>
      <c r="V32" s="704" t="s">
        <v>14</v>
      </c>
      <c r="W32" s="705">
        <f t="shared" si="14"/>
        <v>100</v>
      </c>
      <c r="X32" s="1354"/>
      <c r="Y32" s="3843"/>
      <c r="Z32" s="1355">
        <f t="shared" si="15"/>
        <v>111</v>
      </c>
      <c r="AA32" s="1352">
        <f t="shared" si="3"/>
        <v>1</v>
      </c>
      <c r="AB32" s="1352">
        <f t="shared" si="4"/>
        <v>1</v>
      </c>
      <c r="AC32" s="1961">
        <f t="shared" si="5"/>
        <v>1</v>
      </c>
    </row>
    <row r="33" spans="1:29" ht="15">
      <c r="A33" s="391" t="s">
        <v>1694</v>
      </c>
      <c r="B33" s="63" t="s">
        <v>1817</v>
      </c>
      <c r="C33" s="1966" t="s">
        <v>3497</v>
      </c>
      <c r="D33" s="418">
        <v>100</v>
      </c>
      <c r="E33" s="1966" t="s">
        <v>3497</v>
      </c>
      <c r="F33" s="412">
        <f>SUMIF(101:101,E33,102:102)-SUMIF(101:101,C33,102:102)+100</f>
        <v>100</v>
      </c>
      <c r="G33" s="1966" t="s">
        <v>3497</v>
      </c>
      <c r="H33" s="386">
        <f>SUMIF(101:101,G33,102:102)-SUMIF(101:101,C33,102:102)+100</f>
        <v>100</v>
      </c>
      <c r="I33" s="1966" t="s">
        <v>3522</v>
      </c>
      <c r="J33" s="418">
        <f>SUMIF(101:101,I33,102:102)-SUMIF(101:101,C33,102:102)+100</f>
        <v>98</v>
      </c>
      <c r="K33" s="561">
        <v>2</v>
      </c>
      <c r="L33" s="2719"/>
      <c r="M33" s="2713"/>
      <c r="N33" s="2713"/>
      <c r="O33" s="2713"/>
      <c r="P33" s="3844" t="s">
        <v>1696</v>
      </c>
      <c r="Q33" s="1351" t="str">
        <f t="shared" si="11"/>
        <v>建筑类型</v>
      </c>
      <c r="R33" s="704" t="s">
        <v>14</v>
      </c>
      <c r="S33" s="705">
        <f t="shared" si="12"/>
        <v>100</v>
      </c>
      <c r="T33" s="704" t="s">
        <v>14</v>
      </c>
      <c r="U33" s="705">
        <f t="shared" si="13"/>
        <v>100</v>
      </c>
      <c r="V33" s="704" t="s">
        <v>14</v>
      </c>
      <c r="W33" s="705">
        <f t="shared" si="14"/>
        <v>98</v>
      </c>
      <c r="X33" s="1354"/>
      <c r="Y33" s="3847" t="s">
        <v>1696</v>
      </c>
      <c r="Z33" s="1355" t="str">
        <f t="shared" si="15"/>
        <v>建筑类型</v>
      </c>
      <c r="AA33" s="1352">
        <f t="shared" si="3"/>
        <v>1</v>
      </c>
      <c r="AB33" s="1352">
        <f t="shared" si="4"/>
        <v>1</v>
      </c>
      <c r="AC33" s="1961">
        <f t="shared" si="5"/>
        <v>1.0204081632653061</v>
      </c>
    </row>
    <row r="34" spans="1:29" s="422" customFormat="1" ht="15">
      <c r="A34" s="419"/>
      <c r="B34" s="375" t="s">
        <v>1697</v>
      </c>
      <c r="C34" s="420">
        <f>'数据-汇总表'!E3</f>
        <v>4460</v>
      </c>
      <c r="D34" s="127">
        <v>100</v>
      </c>
      <c r="E34" s="381">
        <v>317.66000000000003</v>
      </c>
      <c r="F34" s="376">
        <f>LOOKUP(E34,104:104,105:105)-LOOKUP(C34,104:104,105:105)+100</f>
        <v>101</v>
      </c>
      <c r="G34" s="380">
        <v>115.7</v>
      </c>
      <c r="H34" s="127">
        <f>LOOKUP(G34,104:104,105:105)-LOOKUP(C34,104:104,105:105)+100</f>
        <v>101</v>
      </c>
      <c r="I34" s="380">
        <v>51.27</v>
      </c>
      <c r="J34" s="127">
        <f>LOOKUP(I34,104:104,105:105)-LOOKUP(C34,104:104,105:105)+100</f>
        <v>101</v>
      </c>
      <c r="K34" s="562"/>
      <c r="L34" s="2718"/>
      <c r="M34" s="2720"/>
      <c r="N34" s="2720"/>
      <c r="O34" s="2720"/>
      <c r="P34" s="3845"/>
      <c r="Q34" s="706" t="str">
        <f t="shared" si="11"/>
        <v>项目建筑规模</v>
      </c>
      <c r="R34" s="707" t="s">
        <v>14</v>
      </c>
      <c r="S34" s="708">
        <f t="shared" si="12"/>
        <v>101</v>
      </c>
      <c r="T34" s="707" t="s">
        <v>14</v>
      </c>
      <c r="U34" s="708">
        <f t="shared" si="13"/>
        <v>101</v>
      </c>
      <c r="V34" s="707" t="s">
        <v>14</v>
      </c>
      <c r="W34" s="708">
        <f t="shared" si="14"/>
        <v>101</v>
      </c>
      <c r="X34" s="709"/>
      <c r="Y34" s="3847"/>
      <c r="Z34" s="710" t="str">
        <f t="shared" si="15"/>
        <v>项目建筑规模</v>
      </c>
      <c r="AA34" s="1352">
        <f t="shared" si="3"/>
        <v>0.99009900990099009</v>
      </c>
      <c r="AB34" s="1352">
        <f t="shared" si="4"/>
        <v>0.99009900990099009</v>
      </c>
      <c r="AC34" s="1961">
        <f t="shared" si="5"/>
        <v>0.99009900990099009</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45"/>
      <c r="Q35" s="1351" t="str">
        <f t="shared" si="11"/>
        <v>建筑结构</v>
      </c>
      <c r="R35" s="704" t="s">
        <v>14</v>
      </c>
      <c r="S35" s="705">
        <f t="shared" si="12"/>
        <v>100</v>
      </c>
      <c r="T35" s="704" t="s">
        <v>14</v>
      </c>
      <c r="U35" s="705">
        <f t="shared" si="13"/>
        <v>100</v>
      </c>
      <c r="V35" s="704" t="s">
        <v>14</v>
      </c>
      <c r="W35" s="705">
        <f t="shared" si="14"/>
        <v>100</v>
      </c>
      <c r="X35" s="1354"/>
      <c r="Y35" s="3847"/>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45"/>
      <c r="Q36" s="1351" t="str">
        <f t="shared" si="11"/>
        <v>公共部分装修</v>
      </c>
      <c r="R36" s="704" t="s">
        <v>14</v>
      </c>
      <c r="S36" s="705">
        <f t="shared" si="12"/>
        <v>100</v>
      </c>
      <c r="T36" s="704" t="s">
        <v>14</v>
      </c>
      <c r="U36" s="705">
        <f t="shared" si="13"/>
        <v>100</v>
      </c>
      <c r="V36" s="704" t="s">
        <v>14</v>
      </c>
      <c r="W36" s="705">
        <f t="shared" si="14"/>
        <v>100</v>
      </c>
      <c r="X36" s="1354"/>
      <c r="Y36" s="3847"/>
      <c r="Z36" s="1355" t="str">
        <f t="shared" si="15"/>
        <v>公共部分装修</v>
      </c>
      <c r="AA36" s="1352">
        <f t="shared" si="3"/>
        <v>1</v>
      </c>
      <c r="AB36" s="1352">
        <f t="shared" si="4"/>
        <v>1</v>
      </c>
      <c r="AC36" s="1961">
        <f t="shared" si="5"/>
        <v>1</v>
      </c>
    </row>
    <row r="37" spans="1:29" ht="15">
      <c r="A37" s="423"/>
      <c r="B37" s="375" t="s">
        <v>1786</v>
      </c>
      <c r="C37" s="425">
        <f>'数据-取费表'!N6</f>
        <v>0.6</v>
      </c>
      <c r="D37" s="386">
        <v>100</v>
      </c>
      <c r="E37" s="425">
        <v>0.72</v>
      </c>
      <c r="F37" s="412">
        <f>LOOKUP(E37,111:111,112:112)-LOOKUP(C37,111:111,112:112)+100</f>
        <v>102</v>
      </c>
      <c r="G37" s="425">
        <v>0.72</v>
      </c>
      <c r="H37" s="412">
        <f>LOOKUP(G37,111:111,112:112)-LOOKUP(C37,111:111,112:112)+100</f>
        <v>102</v>
      </c>
      <c r="I37" s="425">
        <v>0.75</v>
      </c>
      <c r="J37" s="386">
        <f>LOOKUP(I37,111:111,112:112)-LOOKUP(C37,111:111,112:112)+100</f>
        <v>102</v>
      </c>
      <c r="K37" s="561">
        <v>2</v>
      </c>
      <c r="L37" s="2719"/>
      <c r="M37" s="2713"/>
      <c r="N37" s="2713"/>
      <c r="O37" s="2713"/>
      <c r="P37" s="3845"/>
      <c r="Q37" s="1351" t="str">
        <f t="shared" si="11"/>
        <v>成新度</v>
      </c>
      <c r="R37" s="704" t="s">
        <v>14</v>
      </c>
      <c r="S37" s="705">
        <f t="shared" si="12"/>
        <v>102</v>
      </c>
      <c r="T37" s="704" t="s">
        <v>14</v>
      </c>
      <c r="U37" s="705">
        <f t="shared" si="13"/>
        <v>102</v>
      </c>
      <c r="V37" s="704" t="s">
        <v>14</v>
      </c>
      <c r="W37" s="705">
        <f t="shared" si="14"/>
        <v>102</v>
      </c>
      <c r="X37" s="1354"/>
      <c r="Y37" s="3847"/>
      <c r="Z37" s="1355" t="str">
        <f t="shared" si="15"/>
        <v>成新度</v>
      </c>
      <c r="AA37" s="1352">
        <f t="shared" si="3"/>
        <v>0.98039215686274506</v>
      </c>
      <c r="AB37" s="1352">
        <f t="shared" si="4"/>
        <v>0.98039215686274506</v>
      </c>
      <c r="AC37" s="1961">
        <f t="shared" si="5"/>
        <v>0.98039215686274506</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45"/>
      <c r="Q38" s="1342" t="str">
        <f t="shared" si="11"/>
        <v>写字楼等级</v>
      </c>
      <c r="R38" s="700" t="s">
        <v>14</v>
      </c>
      <c r="S38" s="701">
        <f t="shared" si="12"/>
        <v>100</v>
      </c>
      <c r="T38" s="700" t="s">
        <v>14</v>
      </c>
      <c r="U38" s="701">
        <f t="shared" si="13"/>
        <v>100</v>
      </c>
      <c r="V38" s="700" t="s">
        <v>14</v>
      </c>
      <c r="W38" s="701">
        <f t="shared" si="14"/>
        <v>100</v>
      </c>
      <c r="X38" s="702"/>
      <c r="Y38" s="3847"/>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45" t="s">
        <v>1696</v>
      </c>
      <c r="Q39" s="1351" t="str">
        <f t="shared" si="11"/>
        <v>物业管理</v>
      </c>
      <c r="R39" s="704" t="s">
        <v>14</v>
      </c>
      <c r="S39" s="705">
        <f t="shared" si="12"/>
        <v>100</v>
      </c>
      <c r="T39" s="704" t="s">
        <v>14</v>
      </c>
      <c r="U39" s="705">
        <f t="shared" si="13"/>
        <v>100</v>
      </c>
      <c r="V39" s="704" t="s">
        <v>14</v>
      </c>
      <c r="W39" s="705">
        <f t="shared" si="14"/>
        <v>100</v>
      </c>
      <c r="X39" s="1354"/>
      <c r="Y39" s="3847" t="s">
        <v>1696</v>
      </c>
      <c r="Z39" s="1355" t="str">
        <f t="shared" si="15"/>
        <v>物业管理</v>
      </c>
      <c r="AA39" s="1352">
        <f t="shared" si="3"/>
        <v>1</v>
      </c>
      <c r="AB39" s="1352">
        <f t="shared" si="4"/>
        <v>1</v>
      </c>
      <c r="AC39" s="1961">
        <f t="shared" si="5"/>
        <v>1</v>
      </c>
    </row>
    <row r="40" spans="1:29" ht="15">
      <c r="A40" s="423"/>
      <c r="B40" s="375" t="s">
        <v>1787</v>
      </c>
      <c r="C40" s="411" t="s">
        <v>3508</v>
      </c>
      <c r="D40" s="386">
        <v>100</v>
      </c>
      <c r="E40" s="411" t="s">
        <v>3508</v>
      </c>
      <c r="F40" s="412">
        <f>SUMIF(117:117,E40,118:118)-SUMIF(117:117,C40,118:118)+100</f>
        <v>100</v>
      </c>
      <c r="G40" s="411" t="s">
        <v>3508</v>
      </c>
      <c r="H40" s="386">
        <f>SUMIF(117:117,G40,118:118)-SUMIF(117:117,C40,118:118)+100</f>
        <v>100</v>
      </c>
      <c r="I40" s="411" t="s">
        <v>3508</v>
      </c>
      <c r="J40" s="386">
        <f>SUMIF(117:117,I40,118:118)-SUMIF(117:117,C40,118:118)+100</f>
        <v>100</v>
      </c>
      <c r="K40" s="561">
        <v>1</v>
      </c>
      <c r="L40" s="2719"/>
      <c r="M40" s="2713"/>
      <c r="N40" s="2713"/>
      <c r="O40" s="2713"/>
      <c r="P40" s="3845"/>
      <c r="Q40" s="1351" t="str">
        <f t="shared" si="11"/>
        <v>市政基础设施</v>
      </c>
      <c r="R40" s="704" t="s">
        <v>14</v>
      </c>
      <c r="S40" s="705">
        <f t="shared" si="12"/>
        <v>100</v>
      </c>
      <c r="T40" s="704" t="s">
        <v>14</v>
      </c>
      <c r="U40" s="705">
        <f t="shared" si="13"/>
        <v>100</v>
      </c>
      <c r="V40" s="704" t="s">
        <v>14</v>
      </c>
      <c r="W40" s="705">
        <f t="shared" si="14"/>
        <v>100</v>
      </c>
      <c r="X40" s="1354"/>
      <c r="Y40" s="3847"/>
      <c r="Z40" s="1355" t="str">
        <f t="shared" si="15"/>
        <v>市政基础设施</v>
      </c>
      <c r="AA40" s="1352">
        <f t="shared" si="3"/>
        <v>1</v>
      </c>
      <c r="AB40" s="1352">
        <f t="shared" si="4"/>
        <v>1</v>
      </c>
      <c r="AC40" s="1961">
        <f t="shared" si="5"/>
        <v>1</v>
      </c>
    </row>
    <row r="41" spans="1:29" ht="15">
      <c r="A41" s="423"/>
      <c r="B41" s="375" t="s">
        <v>1789</v>
      </c>
      <c r="C41" s="565" t="s">
        <v>3469</v>
      </c>
      <c r="D41" s="386">
        <v>100</v>
      </c>
      <c r="E41" s="565" t="s">
        <v>3469</v>
      </c>
      <c r="F41" s="412">
        <f>SUMIF(119:119,E41,120:120)-SUMIF(119:119,C41,120:120)+100</f>
        <v>100</v>
      </c>
      <c r="G41" s="565" t="s">
        <v>3469</v>
      </c>
      <c r="H41" s="386">
        <f>SUMIF(119:119,G41,120:120)-SUMIF(119:119,C41,120:120)+100</f>
        <v>100</v>
      </c>
      <c r="I41" s="565" t="s">
        <v>3469</v>
      </c>
      <c r="J41" s="386">
        <f>SUMIF(119:119,I41,120:120)-SUMIF(119:119,C41,120:120)+100</f>
        <v>100</v>
      </c>
      <c r="K41" s="561">
        <v>1</v>
      </c>
      <c r="L41" s="2719"/>
      <c r="M41" s="2713"/>
      <c r="N41" s="2713"/>
      <c r="O41" s="2713"/>
      <c r="P41" s="3845"/>
      <c r="Q41" s="1351" t="str">
        <f t="shared" si="11"/>
        <v>层高</v>
      </c>
      <c r="R41" s="704" t="s">
        <v>14</v>
      </c>
      <c r="S41" s="705">
        <f t="shared" si="12"/>
        <v>100</v>
      </c>
      <c r="T41" s="704" t="s">
        <v>14</v>
      </c>
      <c r="U41" s="705">
        <f t="shared" si="13"/>
        <v>100</v>
      </c>
      <c r="V41" s="704" t="s">
        <v>14</v>
      </c>
      <c r="W41" s="705">
        <f t="shared" si="14"/>
        <v>100</v>
      </c>
      <c r="X41" s="1354"/>
      <c r="Y41" s="3847"/>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45"/>
      <c r="Q42" s="706" t="str">
        <f t="shared" si="11"/>
        <v>单套建筑面积</v>
      </c>
      <c r="R42" s="707" t="s">
        <v>14</v>
      </c>
      <c r="S42" s="708">
        <f t="shared" si="12"/>
        <v>100</v>
      </c>
      <c r="T42" s="707" t="s">
        <v>14</v>
      </c>
      <c r="U42" s="708">
        <f t="shared" si="13"/>
        <v>100</v>
      </c>
      <c r="V42" s="707" t="s">
        <v>14</v>
      </c>
      <c r="W42" s="708">
        <f t="shared" si="14"/>
        <v>100</v>
      </c>
      <c r="X42" s="709"/>
      <c r="Y42" s="3847"/>
      <c r="Z42" s="710" t="str">
        <f t="shared" si="15"/>
        <v>单套建筑面积</v>
      </c>
      <c r="AA42" s="1352">
        <f t="shared" si="3"/>
        <v>1</v>
      </c>
      <c r="AB42" s="1352">
        <f t="shared" si="4"/>
        <v>1</v>
      </c>
      <c r="AC42" s="1961">
        <f t="shared" si="5"/>
        <v>1</v>
      </c>
    </row>
    <row r="43" spans="1:29" ht="15">
      <c r="A43" s="423"/>
      <c r="B43" s="375" t="s">
        <v>1792</v>
      </c>
      <c r="C43" s="411" t="s">
        <v>3502</v>
      </c>
      <c r="D43" s="386">
        <v>100</v>
      </c>
      <c r="E43" s="411" t="s">
        <v>3502</v>
      </c>
      <c r="F43" s="412">
        <f>SUMIF(123:123,E43,124:124)-SUMIF(123:123,C43,124:124)+100</f>
        <v>100</v>
      </c>
      <c r="G43" s="411" t="s">
        <v>3502</v>
      </c>
      <c r="H43" s="386">
        <f>SUMIF(123:123,G43,124:124)-SUMIF(123:123,C43,124:124)+100</f>
        <v>100</v>
      </c>
      <c r="I43" s="411" t="s">
        <v>3502</v>
      </c>
      <c r="J43" s="386">
        <f>SUMIF(123:123,I43,124:124)-SUMIF(123:123,C43,124:124)+100</f>
        <v>100</v>
      </c>
      <c r="K43" s="561">
        <v>1</v>
      </c>
      <c r="L43" s="2719"/>
      <c r="M43" s="2713"/>
      <c r="N43" s="2713"/>
      <c r="O43" s="2713"/>
      <c r="P43" s="3845"/>
      <c r="Q43" s="1351" t="str">
        <f t="shared" si="11"/>
        <v>内部装修</v>
      </c>
      <c r="R43" s="704" t="s">
        <v>14</v>
      </c>
      <c r="S43" s="705">
        <f t="shared" si="12"/>
        <v>100</v>
      </c>
      <c r="T43" s="704" t="s">
        <v>14</v>
      </c>
      <c r="U43" s="705">
        <f t="shared" si="13"/>
        <v>100</v>
      </c>
      <c r="V43" s="704" t="s">
        <v>14</v>
      </c>
      <c r="W43" s="705">
        <f t="shared" si="14"/>
        <v>100</v>
      </c>
      <c r="X43" s="1354"/>
      <c r="Y43" s="3847"/>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845"/>
      <c r="Q44" s="1351" t="str">
        <f t="shared" si="11"/>
        <v>内部装修维护情况</v>
      </c>
      <c r="R44" s="704" t="s">
        <v>14</v>
      </c>
      <c r="S44" s="705">
        <f t="shared" si="12"/>
        <v>100</v>
      </c>
      <c r="T44" s="704" t="s">
        <v>14</v>
      </c>
      <c r="U44" s="705">
        <f t="shared" si="13"/>
        <v>100</v>
      </c>
      <c r="V44" s="704" t="s">
        <v>14</v>
      </c>
      <c r="W44" s="705">
        <f t="shared" si="14"/>
        <v>100</v>
      </c>
      <c r="X44" s="1354"/>
      <c r="Y44" s="3847"/>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v>2006</v>
      </c>
      <c r="F45" s="376">
        <f>SUMIF(127:127,E45,128:128)-SUMIF(127:127,C45,128:128)+100</f>
        <v>100</v>
      </c>
      <c r="G45" s="383">
        <v>2006</v>
      </c>
      <c r="H45" s="127">
        <f>SUMIF(127:127,G45,128:128)-SUMIF(127:127,C45,128:128)+100</f>
        <v>100</v>
      </c>
      <c r="I45" s="383" t="s">
        <v>3526</v>
      </c>
      <c r="J45" s="127">
        <f>SUMIF(127:127,I45,128:128)-SUMIF(127:127,C45,128:128)+100</f>
        <v>100</v>
      </c>
      <c r="K45" s="562"/>
      <c r="L45" s="2714"/>
      <c r="M45" s="2715"/>
      <c r="N45" s="2715"/>
      <c r="O45" s="2715"/>
      <c r="P45" s="3845"/>
      <c r="Q45" s="1342">
        <f t="shared" si="11"/>
        <v>111</v>
      </c>
      <c r="R45" s="700" t="s">
        <v>14</v>
      </c>
      <c r="S45" s="701">
        <f t="shared" si="12"/>
        <v>100</v>
      </c>
      <c r="T45" s="700" t="s">
        <v>14</v>
      </c>
      <c r="U45" s="701">
        <f t="shared" si="13"/>
        <v>100</v>
      </c>
      <c r="V45" s="700" t="s">
        <v>14</v>
      </c>
      <c r="W45" s="701">
        <f t="shared" si="14"/>
        <v>100</v>
      </c>
      <c r="X45" s="702"/>
      <c r="Y45" s="3847"/>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45"/>
      <c r="Q46" s="1351">
        <f t="shared" si="11"/>
        <v>111</v>
      </c>
      <c r="R46" s="704" t="s">
        <v>14</v>
      </c>
      <c r="S46" s="705">
        <f t="shared" si="12"/>
        <v>100</v>
      </c>
      <c r="T46" s="704" t="s">
        <v>14</v>
      </c>
      <c r="U46" s="705">
        <f t="shared" si="13"/>
        <v>100</v>
      </c>
      <c r="V46" s="704" t="s">
        <v>14</v>
      </c>
      <c r="W46" s="705">
        <f t="shared" si="14"/>
        <v>100</v>
      </c>
      <c r="X46" s="1354"/>
      <c r="Y46" s="3847"/>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46"/>
      <c r="Q47" s="1351">
        <f t="shared" si="11"/>
        <v>111</v>
      </c>
      <c r="R47" s="704" t="s">
        <v>14</v>
      </c>
      <c r="S47" s="705">
        <f t="shared" si="12"/>
        <v>100</v>
      </c>
      <c r="T47" s="704" t="s">
        <v>14</v>
      </c>
      <c r="U47" s="705">
        <f t="shared" si="13"/>
        <v>100</v>
      </c>
      <c r="V47" s="704" t="s">
        <v>14</v>
      </c>
      <c r="W47" s="705">
        <f t="shared" si="14"/>
        <v>100</v>
      </c>
      <c r="X47" s="1354"/>
      <c r="Y47" s="3848"/>
      <c r="Z47" s="1355">
        <f t="shared" si="15"/>
        <v>111</v>
      </c>
      <c r="AA47" s="1352">
        <f t="shared" si="3"/>
        <v>1</v>
      </c>
      <c r="AB47" s="1352">
        <f t="shared" si="4"/>
        <v>1</v>
      </c>
      <c r="AC47" s="1961">
        <f t="shared" si="5"/>
        <v>1</v>
      </c>
    </row>
    <row r="48" spans="1:29" ht="15">
      <c r="A48" s="430" t="s">
        <v>1708</v>
      </c>
      <c r="B48" s="431"/>
      <c r="C48" s="1153" t="s">
        <v>0</v>
      </c>
      <c r="D48" s="1154"/>
      <c r="E48" s="1155">
        <v>27000</v>
      </c>
      <c r="F48" s="1156"/>
      <c r="G48" s="1157">
        <v>25000</v>
      </c>
      <c r="H48" s="1158"/>
      <c r="I48" s="1155">
        <v>29000</v>
      </c>
      <c r="J48" s="436"/>
      <c r="K48" s="713"/>
      <c r="L48" s="2721"/>
      <c r="M48" s="2713"/>
      <c r="N48" s="2713"/>
      <c r="O48" s="2713"/>
      <c r="P48" s="3820" t="str">
        <f>A48</f>
        <v>成交单价（元/平方米）</v>
      </c>
      <c r="Q48" s="3849"/>
      <c r="R48" s="3850">
        <f>E48</f>
        <v>27000</v>
      </c>
      <c r="S48" s="3850"/>
      <c r="T48" s="3850">
        <f>G48</f>
        <v>25000</v>
      </c>
      <c r="U48" s="3850"/>
      <c r="V48" s="3850">
        <f>I48</f>
        <v>29000</v>
      </c>
      <c r="W48" s="3850"/>
      <c r="X48" s="397"/>
      <c r="Y48" s="711"/>
      <c r="Z48" s="397"/>
      <c r="AA48" s="397"/>
      <c r="AB48" s="397"/>
      <c r="AC48" s="578"/>
    </row>
    <row r="49" spans="1:29" ht="15.75" thickBot="1">
      <c r="A49" s="437" t="s">
        <v>1793</v>
      </c>
      <c r="B49" s="438"/>
      <c r="C49" s="1159">
        <f>R50</f>
        <v>24883</v>
      </c>
      <c r="D49" s="2316" t="s">
        <v>2137</v>
      </c>
      <c r="E49" s="1160">
        <f>R49</f>
        <v>24946</v>
      </c>
      <c r="F49" s="2317"/>
      <c r="G49" s="1159">
        <f>T49</f>
        <v>22876</v>
      </c>
      <c r="H49" s="2317"/>
      <c r="I49" s="1160">
        <f>V49</f>
        <v>26826</v>
      </c>
      <c r="J49" s="2317"/>
      <c r="K49" s="2319">
        <f>F49+H49+J49</f>
        <v>0</v>
      </c>
      <c r="L49" s="2721"/>
      <c r="M49" s="2713"/>
      <c r="N49" s="2713"/>
      <c r="O49" s="2713"/>
      <c r="P49" s="3820" t="str">
        <f>A49</f>
        <v>比较价值（元/平方米）</v>
      </c>
      <c r="Q49" s="3849"/>
      <c r="R49" s="3850">
        <f>IF(F1="售价",ROUND(PRODUCT(R48,AA7:AA47),0),ROUND(PRODUCT(R48,AA7:AA47),1))</f>
        <v>24946</v>
      </c>
      <c r="S49" s="3850"/>
      <c r="T49" s="3850">
        <f>IF(F1="售价",ROUND(PRODUCT(T48,AB7:AB47),0),ROUND(PRODUCT(T48,AB7:AB47),1))</f>
        <v>22876</v>
      </c>
      <c r="U49" s="3850"/>
      <c r="V49" s="3850">
        <f>IF(F1="售价",ROUND(PRODUCT(V48,AC7:AC47),0),ROUND(PRODUCT(V48,AC7:AC47),1))</f>
        <v>26826</v>
      </c>
      <c r="W49" s="3850"/>
      <c r="X49" s="397"/>
      <c r="Y49" s="397"/>
      <c r="Z49" s="397"/>
      <c r="AA49" s="397"/>
      <c r="AB49" s="397"/>
      <c r="AC49" s="578"/>
    </row>
    <row r="50" spans="1:29" ht="15.75" thickBot="1">
      <c r="A50" s="441" t="s">
        <v>1794</v>
      </c>
      <c r="B50" s="442"/>
      <c r="C50" s="1162">
        <f>R50</f>
        <v>24883</v>
      </c>
      <c r="D50" s="1162"/>
      <c r="E50" s="1162"/>
      <c r="F50" s="1162"/>
      <c r="G50" s="1162"/>
      <c r="H50" s="1162"/>
      <c r="I50" s="1162"/>
      <c r="J50" s="443"/>
      <c r="K50" s="714"/>
      <c r="L50" s="2721"/>
      <c r="M50" s="2713"/>
      <c r="N50" s="2713"/>
      <c r="O50" s="2713"/>
      <c r="P50" s="3851" t="str">
        <f>A50</f>
        <v>估价对象XX用房的比较价值（楼面单价，元/平方米）</v>
      </c>
      <c r="Q50" s="3852"/>
      <c r="R50" s="3853">
        <f>IF(F1="售价",ROUND(IF(D49="简单平均",AVERAGE(R49:V49),R49*F49+T49*H49+V49*J49),0),ROUND(IF(D49="简单平均",AVERAGE(R49:V49),R49*F49+T49*H49+V49*J49),1))</f>
        <v>24883</v>
      </c>
      <c r="S50" s="3853"/>
      <c r="T50" s="3853"/>
      <c r="U50" s="3853"/>
      <c r="V50" s="3853"/>
      <c r="W50" s="3853"/>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8.233784975547187E-2</v>
      </c>
      <c r="F53" s="449" t="str">
        <f>IF(OR(E53&gt;=0.3,E53&lt;=-0.3),"超过30%","")</f>
        <v/>
      </c>
      <c r="G53" s="448">
        <f>IF(G48&lt;G49,G49/G48-1,G48/G49-1)</f>
        <v>9.2848400069942327E-2</v>
      </c>
      <c r="H53" s="449" t="str">
        <f>IF(OR(G53&gt;=0.3,G53&lt;=-0.3),"超过30%","")</f>
        <v/>
      </c>
      <c r="I53" s="448">
        <f>IF(I48&lt;I49,I49/I48-1,I48/I49-1)</f>
        <v>8.1040781331544132E-2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9.048784752579131E-2</v>
      </c>
      <c r="F54" s="449" t="str">
        <f>IF(OR(E54&gt;=0.2,E54&lt;=-0.2),"超过20%","")</f>
        <v/>
      </c>
      <c r="G54" s="448">
        <f>IF(G49&lt;I49,I49/G49-1,G49/I49-1)</f>
        <v>0.17267004721105095</v>
      </c>
      <c r="H54" s="449" t="str">
        <f>IF(OR(G54&gt;=0.2,G54&lt;=-0.2),"超过20%","")</f>
        <v/>
      </c>
      <c r="I54" s="448">
        <f>IF(I49&lt;E49,E49/I49-1,I49/E49-1)</f>
        <v>7.5362783612603179E-2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8.0000000000000071E-2</v>
      </c>
      <c r="F55" s="449" t="str">
        <f>IF(OR(E55&gt;=0.3,E55&lt;=-0.3),"超过30%","")</f>
        <v/>
      </c>
      <c r="G55" s="448">
        <f>IF(G48&lt;I48,I48/G48-1,G48/I48-1)</f>
        <v>0.15999999999999992</v>
      </c>
      <c r="H55" s="449" t="str">
        <f>IF(OR(G55&gt;=0.3,G55&lt;=-0.3),"超过30%","")</f>
        <v/>
      </c>
      <c r="I55" s="448">
        <f>IF(I48&lt;E48,E48/I48-1,I48/E48-1)</f>
        <v>7.4074074074074181E-2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2025-2</v>
      </c>
      <c r="D59" s="1184">
        <f>EDATE(C59,-1)</f>
        <v>45658</v>
      </c>
      <c r="E59" s="1184">
        <f>EDATE(D59,-1)</f>
        <v>45627</v>
      </c>
      <c r="F59" s="1184">
        <f t="shared" ref="F59:O59" si="16">EDATE(E59,-1)</f>
        <v>45597</v>
      </c>
      <c r="G59" s="1184">
        <f t="shared" si="16"/>
        <v>45566</v>
      </c>
      <c r="H59" s="1184">
        <f t="shared" si="16"/>
        <v>45536</v>
      </c>
      <c r="I59" s="1184">
        <f t="shared" si="16"/>
        <v>45505</v>
      </c>
      <c r="J59" s="1184">
        <f t="shared" si="16"/>
        <v>45474</v>
      </c>
      <c r="K59" s="1184">
        <f t="shared" si="16"/>
        <v>45444</v>
      </c>
      <c r="L59" s="1184">
        <f t="shared" si="16"/>
        <v>45413</v>
      </c>
      <c r="M59" s="1184">
        <f t="shared" si="16"/>
        <v>45383</v>
      </c>
      <c r="N59" s="1184">
        <f t="shared" si="16"/>
        <v>45352</v>
      </c>
      <c r="O59" s="1184">
        <f t="shared" si="16"/>
        <v>45323</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3460" t="s">
        <v>3490</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3489</v>
      </c>
      <c r="D66" s="532" t="s">
        <v>3438</v>
      </c>
      <c r="E66" s="532" t="s">
        <v>3439</v>
      </c>
      <c r="F66" s="532" t="s">
        <v>3440</v>
      </c>
      <c r="G66" s="532" t="s">
        <v>3441</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4" t="s">
        <v>3493</v>
      </c>
      <c r="D89" s="3464" t="s">
        <v>3494</v>
      </c>
      <c r="E89" s="3464" t="s">
        <v>3496</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t="str">
        <f>B29</f>
        <v>环线位置</v>
      </c>
      <c r="C93" s="3464" t="s">
        <v>3519</v>
      </c>
      <c r="D93" s="503" t="s">
        <v>3521</v>
      </c>
      <c r="E93" s="503" t="s">
        <v>3525</v>
      </c>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v>100</v>
      </c>
      <c r="D94" s="485">
        <v>98</v>
      </c>
      <c r="E94" s="485">
        <v>96</v>
      </c>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6" t="s">
        <v>3498</v>
      </c>
      <c r="D101" s="3476" t="s">
        <v>3523</v>
      </c>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500</v>
      </c>
      <c r="E104" s="544">
        <v>1000</v>
      </c>
      <c r="F104" s="544">
        <v>1500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64" t="s">
        <v>3499</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64" t="s">
        <v>3500</v>
      </c>
      <c r="D108" s="3464" t="s">
        <v>3501</v>
      </c>
      <c r="E108" s="3464" t="s">
        <v>3503</v>
      </c>
      <c r="F108" s="3477" t="s">
        <v>3504</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64" t="s">
        <v>3510</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64" t="s">
        <v>3506</v>
      </c>
      <c r="D117" s="3464" t="s">
        <v>3507</v>
      </c>
      <c r="E117" s="3464" t="s">
        <v>3509</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77" t="s">
        <v>3505</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64" t="s">
        <v>3500</v>
      </c>
      <c r="D123" s="3464" t="s">
        <v>3501</v>
      </c>
      <c r="E123" s="3464" t="s">
        <v>3503</v>
      </c>
      <c r="F123" s="3477" t="s">
        <v>3504</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5" zoomScale="90" zoomScaleNormal="70" zoomScaleSheetLayoutView="90" workbookViewId="0">
      <selection activeCell="K34" sqref="K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3488</v>
      </c>
      <c r="E1" s="3430" t="s">
        <v>3432</v>
      </c>
      <c r="F1" s="1878" t="s">
        <v>3511</v>
      </c>
      <c r="G1" s="1234" t="s">
        <v>1663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685</v>
      </c>
      <c r="B2" s="1163">
        <f>IF(E1="项目模式",IF(C2="——",ROUND(C50*D3/10000,0),ROUND(C50*D3/10000,0)-D2),IF(E1="单套模式",IF(C2="——",ROUND(C50*D3/10000,4),ROUND(C50*D3/10000,4)-D2)))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3.9</v>
      </c>
      <c r="C3" s="354" t="s">
        <v>1665</v>
      </c>
      <c r="D3" s="353">
        <f>IF(D1="",'数据-汇总表'!E3,SUMIF('数据-汇总表'!$C19:$C33,D1,'数据-汇总表'!$E19:$E33))</f>
        <v>0</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1666</v>
      </c>
      <c r="B4" s="356"/>
      <c r="C4" s="3824" t="s">
        <v>1667</v>
      </c>
      <c r="D4" s="3825"/>
      <c r="E4" s="3826" t="s">
        <v>1668</v>
      </c>
      <c r="F4" s="3827"/>
      <c r="G4" s="3824" t="s">
        <v>1669</v>
      </c>
      <c r="H4" s="3825"/>
      <c r="I4" s="3824" t="s">
        <v>1670</v>
      </c>
      <c r="J4" s="3825"/>
      <c r="K4" s="559" t="s">
        <v>1671</v>
      </c>
      <c r="L4" s="2712"/>
      <c r="M4" s="2713"/>
      <c r="N4" s="2713"/>
      <c r="O4" s="2713"/>
      <c r="P4" s="3828" t="s">
        <v>1672</v>
      </c>
      <c r="Q4" s="3829"/>
      <c r="R4" s="3808" t="s">
        <v>1668</v>
      </c>
      <c r="S4" s="3809"/>
      <c r="T4" s="3808" t="s">
        <v>1669</v>
      </c>
      <c r="U4" s="3809"/>
      <c r="V4" s="3836" t="s">
        <v>1670</v>
      </c>
      <c r="W4" s="3836"/>
      <c r="X4" s="3473"/>
      <c r="Y4" s="3808" t="s">
        <v>1672</v>
      </c>
      <c r="Z4" s="3809"/>
      <c r="AA4" s="3803" t="s">
        <v>1668</v>
      </c>
      <c r="AB4" s="3803" t="s">
        <v>1669</v>
      </c>
      <c r="AC4" s="3821" t="s">
        <v>1670</v>
      </c>
    </row>
    <row r="5" spans="1:29" ht="15">
      <c r="A5" s="358"/>
      <c r="B5" s="359"/>
      <c r="C5" s="3814" t="s">
        <v>3512</v>
      </c>
      <c r="D5" s="3815"/>
      <c r="E5" s="3812" t="s">
        <v>3513</v>
      </c>
      <c r="F5" s="3813"/>
      <c r="G5" s="3814" t="s">
        <v>3514</v>
      </c>
      <c r="H5" s="3815"/>
      <c r="I5" s="3814" t="s">
        <v>3515</v>
      </c>
      <c r="J5" s="3815"/>
      <c r="K5" s="559"/>
      <c r="L5" s="2712"/>
      <c r="M5" s="2713"/>
      <c r="N5" s="2713"/>
      <c r="O5" s="2713"/>
      <c r="P5" s="3830"/>
      <c r="Q5" s="3831"/>
      <c r="R5" s="3810"/>
      <c r="S5" s="3811"/>
      <c r="T5" s="3810"/>
      <c r="U5" s="3811"/>
      <c r="V5" s="3837"/>
      <c r="W5" s="3837"/>
      <c r="X5" s="3471"/>
      <c r="Y5" s="3810"/>
      <c r="Z5" s="3811"/>
      <c r="AA5" s="3804"/>
      <c r="AB5" s="3804"/>
      <c r="AC5" s="3822"/>
    </row>
    <row r="6" spans="1:29" ht="15.75" thickBot="1">
      <c r="A6" s="360"/>
      <c r="B6" s="361"/>
      <c r="C6" s="3816" t="s">
        <v>1677</v>
      </c>
      <c r="D6" s="3817"/>
      <c r="E6" s="3818" t="s">
        <v>1677</v>
      </c>
      <c r="F6" s="3819"/>
      <c r="G6" s="3816" t="s">
        <v>1677</v>
      </c>
      <c r="H6" s="3817"/>
      <c r="I6" s="3816" t="s">
        <v>1677</v>
      </c>
      <c r="J6" s="3817"/>
      <c r="K6" s="559" t="s">
        <v>1678</v>
      </c>
      <c r="L6" s="2712"/>
      <c r="M6" s="2713"/>
      <c r="N6" s="2713"/>
      <c r="O6" s="2713"/>
      <c r="P6" s="3832"/>
      <c r="Q6" s="3833"/>
      <c r="R6" s="3810"/>
      <c r="S6" s="3811"/>
      <c r="T6" s="3834"/>
      <c r="U6" s="3835"/>
      <c r="V6" s="3837"/>
      <c r="W6" s="3837"/>
      <c r="X6" s="3471"/>
      <c r="Y6" s="3834"/>
      <c r="Z6" s="3835"/>
      <c r="AA6" s="3805"/>
      <c r="AB6" s="3805"/>
      <c r="AC6" s="3823"/>
    </row>
    <row r="7" spans="1:29" s="108" customFormat="1" ht="15.75" thickBot="1">
      <c r="A7" s="362" t="s">
        <v>1679</v>
      </c>
      <c r="B7" s="363"/>
      <c r="C7" s="364">
        <f>'数据-取费表'!B2</f>
        <v>45706</v>
      </c>
      <c r="D7" s="365">
        <v>100</v>
      </c>
      <c r="E7" s="366">
        <f>C7</f>
        <v>45706</v>
      </c>
      <c r="F7" s="367">
        <f>SUMIF(59:59,YEAR(E7)&amp;"-"&amp;MONTH(E7),60:60)</f>
        <v>100</v>
      </c>
      <c r="G7" s="366">
        <f>C7</f>
        <v>45706</v>
      </c>
      <c r="H7" s="365">
        <f>SUMIF(59:59,YEAR(G7)&amp;"-"&amp;MONTH(G7),60:60)</f>
        <v>100</v>
      </c>
      <c r="I7" s="366">
        <f>C7</f>
        <v>45706</v>
      </c>
      <c r="J7" s="365">
        <f>SUMIF(59:59,YEAR(I7)&amp;"-"&amp;MONTH(I7),60:60)</f>
        <v>100</v>
      </c>
      <c r="K7" s="560"/>
      <c r="L7" s="2714"/>
      <c r="M7" s="2715"/>
      <c r="N7" s="2715"/>
      <c r="O7" s="2715"/>
      <c r="P7" s="3838" t="s">
        <v>1680</v>
      </c>
      <c r="Q7" s="3839"/>
      <c r="R7" s="700" t="s">
        <v>14</v>
      </c>
      <c r="S7" s="701">
        <f t="shared" ref="S7:S15" si="0">F7</f>
        <v>100</v>
      </c>
      <c r="T7" s="700" t="s">
        <v>14</v>
      </c>
      <c r="U7" s="701">
        <f t="shared" ref="U7:U15" si="1">H7</f>
        <v>100</v>
      </c>
      <c r="V7" s="700" t="s">
        <v>14</v>
      </c>
      <c r="W7" s="701">
        <f t="shared" ref="W7:W15" si="2">J7</f>
        <v>100</v>
      </c>
      <c r="X7" s="702"/>
      <c r="Y7" s="3806" t="s">
        <v>1680</v>
      </c>
      <c r="Z7" s="3807"/>
      <c r="AA7" s="703">
        <f>D7/F7</f>
        <v>1</v>
      </c>
      <c r="AB7" s="703">
        <f>D7/H7</f>
        <v>1</v>
      </c>
      <c r="AC7" s="1958">
        <f>D7/J7</f>
        <v>1</v>
      </c>
    </row>
    <row r="8" spans="1:29" s="108" customFormat="1" ht="15.75" thickBot="1">
      <c r="A8" s="362" t="s">
        <v>1681</v>
      </c>
      <c r="B8" s="363"/>
      <c r="C8" s="368" t="s">
        <v>3434</v>
      </c>
      <c r="D8" s="365">
        <v>100</v>
      </c>
      <c r="E8" s="368" t="s">
        <v>3435</v>
      </c>
      <c r="F8" s="367">
        <f>SUMIF(62:62,E8,63:63)-SUMIF(62:62,C8,63:63)+100</f>
        <v>103</v>
      </c>
      <c r="G8" s="368" t="s">
        <v>3435</v>
      </c>
      <c r="H8" s="365">
        <f>SUMIF(62:62,G8,63:63)-SUMIF(62:62,C8,63:63)+100</f>
        <v>103</v>
      </c>
      <c r="I8" s="368" t="s">
        <v>3435</v>
      </c>
      <c r="J8" s="365">
        <f>SUMIF(62:62,I8,63:63)-SUMIF(62:62,C8,63:63)+100</f>
        <v>103</v>
      </c>
      <c r="K8" s="560"/>
      <c r="L8" s="2714"/>
      <c r="M8" s="2715"/>
      <c r="N8" s="2715"/>
      <c r="O8" s="2715"/>
      <c r="P8" s="3838" t="s">
        <v>1683</v>
      </c>
      <c r="Q8" s="3807"/>
      <c r="R8" s="700" t="s">
        <v>14</v>
      </c>
      <c r="S8" s="701">
        <f t="shared" si="0"/>
        <v>103</v>
      </c>
      <c r="T8" s="700" t="s">
        <v>14</v>
      </c>
      <c r="U8" s="701">
        <f t="shared" si="1"/>
        <v>103</v>
      </c>
      <c r="V8" s="700" t="s">
        <v>14</v>
      </c>
      <c r="W8" s="701">
        <f t="shared" si="2"/>
        <v>103</v>
      </c>
      <c r="X8" s="702"/>
      <c r="Y8" s="3806" t="s">
        <v>1683</v>
      </c>
      <c r="Z8" s="3807"/>
      <c r="AA8" s="703">
        <f t="shared" ref="AA8:AA47" si="3">D8/F8</f>
        <v>0.970873786407767</v>
      </c>
      <c r="AB8" s="703">
        <f t="shared" ref="AB8:AB47" si="4">D8/H8</f>
        <v>0.970873786407767</v>
      </c>
      <c r="AC8" s="1958">
        <f t="shared" ref="AC8:AC47" si="5">D8/J8</f>
        <v>0.970873786407767</v>
      </c>
    </row>
    <row r="9" spans="1:29" s="108" customFormat="1">
      <c r="A9" s="369" t="s">
        <v>1684</v>
      </c>
      <c r="B9" s="63" t="s">
        <v>1685</v>
      </c>
      <c r="C9" s="3461" t="s">
        <v>3491</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820" t="s">
        <v>1686</v>
      </c>
      <c r="Q9" s="3467" t="str">
        <f t="shared" ref="Q9:Q15" si="6">B9</f>
        <v>用途</v>
      </c>
      <c r="R9" s="700" t="s">
        <v>14</v>
      </c>
      <c r="S9" s="701">
        <f t="shared" si="0"/>
        <v>100</v>
      </c>
      <c r="T9" s="700" t="s">
        <v>14</v>
      </c>
      <c r="U9" s="701">
        <f t="shared" si="1"/>
        <v>100</v>
      </c>
      <c r="V9" s="700" t="s">
        <v>14</v>
      </c>
      <c r="W9" s="701">
        <f t="shared" si="2"/>
        <v>100</v>
      </c>
      <c r="X9" s="702"/>
      <c r="Y9" s="3752" t="s">
        <v>1687</v>
      </c>
      <c r="Z9" s="3466" t="str">
        <f t="shared" ref="Z9:Z15" si="7">Q9</f>
        <v>用途</v>
      </c>
      <c r="AA9" s="703">
        <f t="shared" si="3"/>
        <v>1</v>
      </c>
      <c r="AB9" s="703">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820"/>
      <c r="Q10" s="3467" t="str">
        <f t="shared" si="6"/>
        <v>土地使用年限（年）</v>
      </c>
      <c r="R10" s="700" t="s">
        <v>14</v>
      </c>
      <c r="S10" s="701">
        <f t="shared" si="0"/>
        <v>100</v>
      </c>
      <c r="T10" s="700" t="s">
        <v>14</v>
      </c>
      <c r="U10" s="701">
        <f t="shared" si="1"/>
        <v>100</v>
      </c>
      <c r="V10" s="700" t="s">
        <v>14</v>
      </c>
      <c r="W10" s="701">
        <f t="shared" si="2"/>
        <v>100</v>
      </c>
      <c r="X10" s="702"/>
      <c r="Y10" s="3752"/>
      <c r="Z10" s="3466"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20"/>
      <c r="Q11" s="3467" t="str">
        <f t="shared" si="6"/>
        <v>容积率</v>
      </c>
      <c r="R11" s="700" t="s">
        <v>14</v>
      </c>
      <c r="S11" s="701">
        <f t="shared" si="0"/>
        <v>100</v>
      </c>
      <c r="T11" s="700" t="s">
        <v>14</v>
      </c>
      <c r="U11" s="701">
        <f t="shared" si="1"/>
        <v>100</v>
      </c>
      <c r="V11" s="700" t="s">
        <v>14</v>
      </c>
      <c r="W11" s="701">
        <f t="shared" si="2"/>
        <v>100</v>
      </c>
      <c r="X11" s="702"/>
      <c r="Y11" s="3752"/>
      <c r="Z11" s="3466"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820"/>
      <c r="Q12" s="3467">
        <f t="shared" si="6"/>
        <v>111</v>
      </c>
      <c r="R12" s="700" t="s">
        <v>14</v>
      </c>
      <c r="S12" s="701">
        <f t="shared" si="0"/>
        <v>100</v>
      </c>
      <c r="T12" s="700" t="s">
        <v>14</v>
      </c>
      <c r="U12" s="701">
        <f t="shared" si="1"/>
        <v>100</v>
      </c>
      <c r="V12" s="700" t="s">
        <v>14</v>
      </c>
      <c r="W12" s="701">
        <f t="shared" si="2"/>
        <v>100</v>
      </c>
      <c r="X12" s="702"/>
      <c r="Y12" s="3752"/>
      <c r="Z12" s="3466">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820"/>
      <c r="Q13" s="3467">
        <f t="shared" si="6"/>
        <v>111</v>
      </c>
      <c r="R13" s="700" t="s">
        <v>14</v>
      </c>
      <c r="S13" s="701">
        <f t="shared" si="0"/>
        <v>100</v>
      </c>
      <c r="T13" s="700" t="s">
        <v>14</v>
      </c>
      <c r="U13" s="701">
        <f t="shared" si="1"/>
        <v>100</v>
      </c>
      <c r="V13" s="700" t="s">
        <v>14</v>
      </c>
      <c r="W13" s="701">
        <f t="shared" si="2"/>
        <v>100</v>
      </c>
      <c r="X13" s="702"/>
      <c r="Y13" s="3752"/>
      <c r="Z13" s="3466">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820"/>
      <c r="Q14" s="3467">
        <f t="shared" si="6"/>
        <v>111</v>
      </c>
      <c r="R14" s="700" t="s">
        <v>14</v>
      </c>
      <c r="S14" s="701">
        <f t="shared" si="0"/>
        <v>100</v>
      </c>
      <c r="T14" s="700" t="s">
        <v>14</v>
      </c>
      <c r="U14" s="701">
        <f t="shared" si="1"/>
        <v>100</v>
      </c>
      <c r="V14" s="700" t="s">
        <v>14</v>
      </c>
      <c r="W14" s="701">
        <f t="shared" si="2"/>
        <v>100</v>
      </c>
      <c r="X14" s="702"/>
      <c r="Y14" s="3752"/>
      <c r="Z14" s="3466">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40" t="s">
        <v>1691</v>
      </c>
      <c r="Q15" s="3469" t="str">
        <f t="shared" si="6"/>
        <v>办公集聚程度</v>
      </c>
      <c r="R15" s="704" t="s">
        <v>14</v>
      </c>
      <c r="S15" s="705">
        <f t="shared" si="0"/>
        <v>100</v>
      </c>
      <c r="T15" s="704" t="s">
        <v>14</v>
      </c>
      <c r="U15" s="705">
        <f t="shared" si="1"/>
        <v>100</v>
      </c>
      <c r="V15" s="704" t="s">
        <v>14</v>
      </c>
      <c r="W15" s="705">
        <f t="shared" si="2"/>
        <v>100</v>
      </c>
      <c r="X15" s="3471"/>
      <c r="Y15" s="3842" t="s">
        <v>1691</v>
      </c>
      <c r="Z15" s="3472" t="str">
        <f t="shared" si="7"/>
        <v>办公集聚程度</v>
      </c>
      <c r="AA15" s="3470">
        <f t="shared" si="3"/>
        <v>1</v>
      </c>
      <c r="AB15" s="3470">
        <f t="shared" si="4"/>
        <v>1</v>
      </c>
      <c r="AC15" s="1961">
        <f t="shared" si="5"/>
        <v>1</v>
      </c>
    </row>
    <row r="16" spans="1:29" ht="15">
      <c r="A16" s="379"/>
      <c r="B16" s="578"/>
      <c r="C16" s="1903"/>
      <c r="D16" s="399"/>
      <c r="E16" s="398"/>
      <c r="F16" s="399"/>
      <c r="G16" s="1903"/>
      <c r="H16" s="401"/>
      <c r="I16" s="398"/>
      <c r="J16" s="399"/>
      <c r="K16" s="564"/>
      <c r="L16" s="2719"/>
      <c r="M16" s="2713"/>
      <c r="N16" s="2713"/>
      <c r="O16" s="2713"/>
      <c r="P16" s="3841"/>
      <c r="Q16" s="3469"/>
      <c r="R16" s="704"/>
      <c r="S16" s="705"/>
      <c r="T16" s="704"/>
      <c r="U16" s="705"/>
      <c r="V16" s="704"/>
      <c r="W16" s="705"/>
      <c r="X16" s="3471"/>
      <c r="Y16" s="3843"/>
      <c r="Z16" s="3472"/>
      <c r="AA16" s="3470">
        <v>1</v>
      </c>
      <c r="AB16" s="3470">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41"/>
      <c r="Q17" s="3469" t="str">
        <f>B17</f>
        <v>交通便捷度</v>
      </c>
      <c r="R17" s="704" t="s">
        <v>14</v>
      </c>
      <c r="S17" s="705">
        <f>F17</f>
        <v>100</v>
      </c>
      <c r="T17" s="704" t="s">
        <v>14</v>
      </c>
      <c r="U17" s="705">
        <f>H17</f>
        <v>100</v>
      </c>
      <c r="V17" s="704" t="s">
        <v>14</v>
      </c>
      <c r="W17" s="705">
        <f>J17</f>
        <v>100</v>
      </c>
      <c r="X17" s="3471"/>
      <c r="Y17" s="3843"/>
      <c r="Z17" s="3472" t="str">
        <f>Q17</f>
        <v>交通便捷度</v>
      </c>
      <c r="AA17" s="3470">
        <f t="shared" si="3"/>
        <v>1</v>
      </c>
      <c r="AB17" s="3470">
        <f t="shared" si="4"/>
        <v>1</v>
      </c>
      <c r="AC17" s="1961">
        <f t="shared" si="5"/>
        <v>1</v>
      </c>
    </row>
    <row r="18" spans="1:29" ht="15">
      <c r="A18" s="379"/>
      <c r="B18" s="580"/>
      <c r="C18" s="1963"/>
      <c r="D18" s="401"/>
      <c r="E18" s="1901"/>
      <c r="F18" s="401"/>
      <c r="G18" s="1902"/>
      <c r="H18" s="399"/>
      <c r="I18" s="1902"/>
      <c r="J18" s="399"/>
      <c r="K18" s="564"/>
      <c r="L18" s="2719"/>
      <c r="M18" s="2713"/>
      <c r="N18" s="2713"/>
      <c r="O18" s="2713"/>
      <c r="P18" s="3841"/>
      <c r="Q18" s="3469"/>
      <c r="R18" s="704"/>
      <c r="S18" s="705"/>
      <c r="T18" s="704"/>
      <c r="U18" s="705"/>
      <c r="V18" s="704"/>
      <c r="W18" s="705"/>
      <c r="X18" s="3471"/>
      <c r="Y18" s="3843"/>
      <c r="Z18" s="3472"/>
      <c r="AA18" s="3470">
        <v>1</v>
      </c>
      <c r="AB18" s="3470">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41"/>
      <c r="Q19" s="3469" t="str">
        <f>B19</f>
        <v>公共配套设施</v>
      </c>
      <c r="R19" s="704" t="s">
        <v>14</v>
      </c>
      <c r="S19" s="705">
        <f>F19</f>
        <v>100</v>
      </c>
      <c r="T19" s="704" t="s">
        <v>14</v>
      </c>
      <c r="U19" s="705">
        <f>H19</f>
        <v>100</v>
      </c>
      <c r="V19" s="704" t="s">
        <v>14</v>
      </c>
      <c r="W19" s="705">
        <f>J19</f>
        <v>100</v>
      </c>
      <c r="X19" s="3471"/>
      <c r="Y19" s="3843"/>
      <c r="Z19" s="3472" t="str">
        <f>Q19</f>
        <v>公共配套设施</v>
      </c>
      <c r="AA19" s="3470">
        <f t="shared" si="3"/>
        <v>1</v>
      </c>
      <c r="AB19" s="3470">
        <f t="shared" si="4"/>
        <v>1</v>
      </c>
      <c r="AC19" s="1961">
        <f t="shared" si="5"/>
        <v>1</v>
      </c>
    </row>
    <row r="20" spans="1:29" ht="15">
      <c r="A20" s="379"/>
      <c r="B20" s="580"/>
      <c r="C20" s="1903"/>
      <c r="D20" s="399"/>
      <c r="E20" s="1896"/>
      <c r="F20" s="399"/>
      <c r="G20" s="1897"/>
      <c r="H20" s="399"/>
      <c r="I20" s="1897"/>
      <c r="J20" s="399"/>
      <c r="K20" s="564"/>
      <c r="L20" s="2719"/>
      <c r="M20" s="2713"/>
      <c r="N20" s="2713"/>
      <c r="O20" s="2713"/>
      <c r="P20" s="3841"/>
      <c r="Q20" s="3469"/>
      <c r="R20" s="704"/>
      <c r="S20" s="705"/>
      <c r="T20" s="704"/>
      <c r="U20" s="705"/>
      <c r="V20" s="704"/>
      <c r="W20" s="705"/>
      <c r="X20" s="3471"/>
      <c r="Y20" s="3843"/>
      <c r="Z20" s="3472"/>
      <c r="AA20" s="3470">
        <v>1</v>
      </c>
      <c r="AB20" s="3470">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41"/>
      <c r="Q21" s="3469" t="str">
        <f>B21</f>
        <v>基础设施水平</v>
      </c>
      <c r="R21" s="704" t="s">
        <v>14</v>
      </c>
      <c r="S21" s="705">
        <f>F21</f>
        <v>100</v>
      </c>
      <c r="T21" s="704" t="s">
        <v>14</v>
      </c>
      <c r="U21" s="705">
        <f>H21</f>
        <v>100</v>
      </c>
      <c r="V21" s="704" t="s">
        <v>14</v>
      </c>
      <c r="W21" s="705">
        <f>J21</f>
        <v>100</v>
      </c>
      <c r="X21" s="3471"/>
      <c r="Y21" s="3843"/>
      <c r="Z21" s="3472" t="str">
        <f>Q21</f>
        <v>基础设施水平</v>
      </c>
      <c r="AA21" s="3470">
        <f t="shared" ref="AA21" si="8">D21/F21</f>
        <v>1</v>
      </c>
      <c r="AB21" s="3470">
        <f t="shared" ref="AB21" si="9">D21/H21</f>
        <v>1</v>
      </c>
      <c r="AC21" s="1961">
        <f t="shared" ref="AC21" si="10">D21/J21</f>
        <v>1</v>
      </c>
    </row>
    <row r="22" spans="1:29" ht="15">
      <c r="A22" s="379"/>
      <c r="B22" s="581"/>
      <c r="C22" s="1963"/>
      <c r="D22" s="399"/>
      <c r="E22" s="398"/>
      <c r="F22" s="399"/>
      <c r="G22" s="1903"/>
      <c r="H22" s="399"/>
      <c r="I22" s="1903"/>
      <c r="J22" s="399"/>
      <c r="K22" s="1129"/>
      <c r="L22" s="2719"/>
      <c r="M22" s="2713"/>
      <c r="N22" s="2713"/>
      <c r="O22" s="2713"/>
      <c r="P22" s="3841"/>
      <c r="Q22" s="3469"/>
      <c r="R22" s="704"/>
      <c r="S22" s="705"/>
      <c r="T22" s="704"/>
      <c r="U22" s="705"/>
      <c r="V22" s="704"/>
      <c r="W22" s="705"/>
      <c r="X22" s="3471"/>
      <c r="Y22" s="3843"/>
      <c r="Z22" s="3472"/>
      <c r="AA22" s="3470">
        <v>1</v>
      </c>
      <c r="AB22" s="3470">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41"/>
      <c r="Q23" s="3469" t="str">
        <f>B23</f>
        <v>环境质量</v>
      </c>
      <c r="R23" s="704" t="s">
        <v>14</v>
      </c>
      <c r="S23" s="705">
        <f>F23</f>
        <v>100</v>
      </c>
      <c r="T23" s="704" t="s">
        <v>14</v>
      </c>
      <c r="U23" s="705">
        <f>H23</f>
        <v>100</v>
      </c>
      <c r="V23" s="704" t="s">
        <v>14</v>
      </c>
      <c r="W23" s="705">
        <f>J23</f>
        <v>100</v>
      </c>
      <c r="X23" s="3471"/>
      <c r="Y23" s="3843"/>
      <c r="Z23" s="3472" t="str">
        <f>Q23</f>
        <v>环境质量</v>
      </c>
      <c r="AA23" s="3470">
        <f t="shared" si="3"/>
        <v>1</v>
      </c>
      <c r="AB23" s="3470">
        <f t="shared" si="4"/>
        <v>1</v>
      </c>
      <c r="AC23" s="1961">
        <f t="shared" si="5"/>
        <v>1</v>
      </c>
    </row>
    <row r="24" spans="1:29" ht="15">
      <c r="A24" s="379"/>
      <c r="B24" s="581"/>
      <c r="C24" s="1903"/>
      <c r="D24" s="399"/>
      <c r="E24" s="1896"/>
      <c r="F24" s="399"/>
      <c r="G24" s="1897"/>
      <c r="H24" s="399"/>
      <c r="I24" s="1897"/>
      <c r="J24" s="399"/>
      <c r="K24" s="564"/>
      <c r="L24" s="2719"/>
      <c r="M24" s="2713"/>
      <c r="N24" s="2713"/>
      <c r="O24" s="2713"/>
      <c r="P24" s="3841"/>
      <c r="Q24" s="3469"/>
      <c r="R24" s="704"/>
      <c r="S24" s="705"/>
      <c r="T24" s="704"/>
      <c r="U24" s="705"/>
      <c r="V24" s="704"/>
      <c r="W24" s="705"/>
      <c r="X24" s="3471"/>
      <c r="Y24" s="3843"/>
      <c r="Z24" s="3472"/>
      <c r="AA24" s="3470">
        <v>1</v>
      </c>
      <c r="AB24" s="3470">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841"/>
      <c r="Q25" s="3469" t="str">
        <f>B25</f>
        <v>毗邻道路的类型与等级</v>
      </c>
      <c r="R25" s="704" t="s">
        <v>14</v>
      </c>
      <c r="S25" s="705">
        <f>F25</f>
        <v>100</v>
      </c>
      <c r="T25" s="704" t="s">
        <v>14</v>
      </c>
      <c r="U25" s="705">
        <f>H25</f>
        <v>100</v>
      </c>
      <c r="V25" s="704" t="s">
        <v>14</v>
      </c>
      <c r="W25" s="705">
        <f>J25</f>
        <v>100</v>
      </c>
      <c r="X25" s="3471"/>
      <c r="Y25" s="3843"/>
      <c r="Z25" s="3472" t="str">
        <f>Q25</f>
        <v>毗邻道路的类型与等级</v>
      </c>
      <c r="AA25" s="3470">
        <f t="shared" si="3"/>
        <v>1</v>
      </c>
      <c r="AB25" s="3470">
        <f t="shared" si="4"/>
        <v>1</v>
      </c>
      <c r="AC25" s="1961">
        <f t="shared" si="5"/>
        <v>1</v>
      </c>
    </row>
    <row r="26" spans="1:29" ht="15">
      <c r="A26" s="358"/>
      <c r="B26" s="580"/>
      <c r="C26" s="582"/>
      <c r="D26" s="386"/>
      <c r="E26" s="565"/>
      <c r="F26" s="386"/>
      <c r="G26" s="582"/>
      <c r="H26" s="386"/>
      <c r="I26" s="565"/>
      <c r="J26" s="386"/>
      <c r="K26" s="564"/>
      <c r="L26" s="2719"/>
      <c r="M26" s="2713"/>
      <c r="N26" s="2713"/>
      <c r="O26" s="2713"/>
      <c r="P26" s="3841"/>
      <c r="Q26" s="3469"/>
      <c r="R26" s="704"/>
      <c r="S26" s="705"/>
      <c r="T26" s="704"/>
      <c r="U26" s="705"/>
      <c r="V26" s="704"/>
      <c r="W26" s="705"/>
      <c r="X26" s="3471"/>
      <c r="Y26" s="3843"/>
      <c r="Z26" s="3472"/>
      <c r="AA26" s="3470">
        <v>1</v>
      </c>
      <c r="AB26" s="3470">
        <v>1</v>
      </c>
      <c r="AC26" s="1961">
        <v>1</v>
      </c>
    </row>
    <row r="27" spans="1:29" ht="15">
      <c r="A27" s="379"/>
      <c r="B27" s="580" t="s">
        <v>1783</v>
      </c>
      <c r="C27" s="582" t="s">
        <v>3495</v>
      </c>
      <c r="D27" s="386">
        <v>100</v>
      </c>
      <c r="E27" s="565" t="s">
        <v>3492</v>
      </c>
      <c r="F27" s="386">
        <f>SUMIF(89:89,E27,90:90)-SUMIF(89:89,C27,90:90)+100</f>
        <v>104</v>
      </c>
      <c r="G27" s="582" t="s">
        <v>3492</v>
      </c>
      <c r="H27" s="386">
        <f>SUMIF(89:89,G27,90:90)-SUMIF(89:89,C27,90:90)+100</f>
        <v>104</v>
      </c>
      <c r="I27" s="565" t="s">
        <v>3492</v>
      </c>
      <c r="J27" s="386">
        <f>SUMIF(89:89,I27,90:90)-SUMIF(89:89,C27,90:90)+100</f>
        <v>104</v>
      </c>
      <c r="K27" s="561">
        <v>2</v>
      </c>
      <c r="L27" s="2719"/>
      <c r="M27" s="2713"/>
      <c r="N27" s="2713"/>
      <c r="O27" s="2713"/>
      <c r="P27" s="3841"/>
      <c r="Q27" s="3469" t="str">
        <f t="shared" ref="Q27:Q47" si="11">B27</f>
        <v>楼层</v>
      </c>
      <c r="R27" s="704" t="s">
        <v>14</v>
      </c>
      <c r="S27" s="705">
        <f>F27</f>
        <v>104</v>
      </c>
      <c r="T27" s="704" t="s">
        <v>14</v>
      </c>
      <c r="U27" s="705">
        <f>H27</f>
        <v>104</v>
      </c>
      <c r="V27" s="704" t="s">
        <v>14</v>
      </c>
      <c r="W27" s="705">
        <f>J27</f>
        <v>104</v>
      </c>
      <c r="X27" s="3471"/>
      <c r="Y27" s="3843"/>
      <c r="Z27" s="3472" t="str">
        <f>Q27</f>
        <v>楼层</v>
      </c>
      <c r="AA27" s="3470">
        <f t="shared" si="3"/>
        <v>0.96153846153846156</v>
      </c>
      <c r="AB27" s="3470">
        <f t="shared" si="4"/>
        <v>0.96153846153846156</v>
      </c>
      <c r="AC27" s="1961">
        <f t="shared" si="5"/>
        <v>0.96153846153846156</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841"/>
      <c r="Q28" s="3467" t="str">
        <f t="shared" si="11"/>
        <v>朝向</v>
      </c>
      <c r="R28" s="700" t="s">
        <v>14</v>
      </c>
      <c r="S28" s="701">
        <f>F28</f>
        <v>100</v>
      </c>
      <c r="T28" s="700" t="s">
        <v>14</v>
      </c>
      <c r="U28" s="701">
        <f>H28</f>
        <v>100</v>
      </c>
      <c r="V28" s="700" t="s">
        <v>14</v>
      </c>
      <c r="W28" s="701">
        <f>J28</f>
        <v>100</v>
      </c>
      <c r="X28" s="702"/>
      <c r="Y28" s="3843"/>
      <c r="Z28" s="3466" t="str">
        <f>Q28</f>
        <v>朝向</v>
      </c>
      <c r="AA28" s="3470">
        <f>D28/F28</f>
        <v>1</v>
      </c>
      <c r="AB28" s="3470">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841"/>
      <c r="Q29" s="3469">
        <f t="shared" si="11"/>
        <v>111</v>
      </c>
      <c r="R29" s="704" t="s">
        <v>14</v>
      </c>
      <c r="S29" s="705">
        <f t="shared" ref="S29:S47" si="12">F29</f>
        <v>100</v>
      </c>
      <c r="T29" s="704" t="s">
        <v>14</v>
      </c>
      <c r="U29" s="705">
        <f t="shared" ref="U29:U47" si="13">H29</f>
        <v>100</v>
      </c>
      <c r="V29" s="704" t="s">
        <v>14</v>
      </c>
      <c r="W29" s="705">
        <f t="shared" ref="W29:W47" si="14">J29</f>
        <v>100</v>
      </c>
      <c r="X29" s="3471"/>
      <c r="Y29" s="3843"/>
      <c r="Z29" s="3472">
        <f t="shared" ref="Z29:Z47" si="15">Q29</f>
        <v>111</v>
      </c>
      <c r="AA29" s="3470">
        <f t="shared" si="3"/>
        <v>1</v>
      </c>
      <c r="AB29" s="3470">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841"/>
      <c r="Q30" s="3469">
        <f t="shared" si="11"/>
        <v>111</v>
      </c>
      <c r="R30" s="704" t="s">
        <v>14</v>
      </c>
      <c r="S30" s="705">
        <f t="shared" si="12"/>
        <v>100</v>
      </c>
      <c r="T30" s="704" t="s">
        <v>14</v>
      </c>
      <c r="U30" s="705">
        <f t="shared" si="13"/>
        <v>100</v>
      </c>
      <c r="V30" s="704" t="s">
        <v>14</v>
      </c>
      <c r="W30" s="705">
        <f t="shared" si="14"/>
        <v>100</v>
      </c>
      <c r="X30" s="3471"/>
      <c r="Y30" s="3843"/>
      <c r="Z30" s="3472">
        <f t="shared" si="15"/>
        <v>111</v>
      </c>
      <c r="AA30" s="3470">
        <f t="shared" si="3"/>
        <v>1</v>
      </c>
      <c r="AB30" s="3470">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841"/>
      <c r="Q31" s="3469">
        <f t="shared" si="11"/>
        <v>111</v>
      </c>
      <c r="R31" s="704" t="s">
        <v>14</v>
      </c>
      <c r="S31" s="705">
        <f t="shared" si="12"/>
        <v>100</v>
      </c>
      <c r="T31" s="704" t="s">
        <v>14</v>
      </c>
      <c r="U31" s="705">
        <f t="shared" si="13"/>
        <v>100</v>
      </c>
      <c r="V31" s="704" t="s">
        <v>14</v>
      </c>
      <c r="W31" s="705">
        <f t="shared" si="14"/>
        <v>100</v>
      </c>
      <c r="X31" s="3471"/>
      <c r="Y31" s="3843"/>
      <c r="Z31" s="3472">
        <f t="shared" si="15"/>
        <v>111</v>
      </c>
      <c r="AA31" s="3470">
        <f t="shared" si="3"/>
        <v>1</v>
      </c>
      <c r="AB31" s="3470">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841"/>
      <c r="Q32" s="3469">
        <f t="shared" si="11"/>
        <v>111</v>
      </c>
      <c r="R32" s="704" t="s">
        <v>14</v>
      </c>
      <c r="S32" s="705">
        <f t="shared" si="12"/>
        <v>100</v>
      </c>
      <c r="T32" s="704" t="s">
        <v>14</v>
      </c>
      <c r="U32" s="705">
        <f t="shared" si="13"/>
        <v>100</v>
      </c>
      <c r="V32" s="704" t="s">
        <v>14</v>
      </c>
      <c r="W32" s="705">
        <f t="shared" si="14"/>
        <v>100</v>
      </c>
      <c r="X32" s="3471"/>
      <c r="Y32" s="3843"/>
      <c r="Z32" s="3472">
        <f t="shared" si="15"/>
        <v>111</v>
      </c>
      <c r="AA32" s="3470">
        <f t="shared" si="3"/>
        <v>1</v>
      </c>
      <c r="AB32" s="3470">
        <f t="shared" si="4"/>
        <v>1</v>
      </c>
      <c r="AC32" s="1961">
        <f t="shared" si="5"/>
        <v>1</v>
      </c>
    </row>
    <row r="33" spans="1:29" ht="15">
      <c r="A33" s="391" t="s">
        <v>1694</v>
      </c>
      <c r="B33" s="63" t="s">
        <v>1817</v>
      </c>
      <c r="C33" s="1966" t="s">
        <v>3497</v>
      </c>
      <c r="D33" s="418">
        <v>100</v>
      </c>
      <c r="E33" s="1966" t="s">
        <v>3497</v>
      </c>
      <c r="F33" s="412">
        <f>SUMIF(101:101,E33,102:102)-SUMIF(101:101,C33,102:102)+100</f>
        <v>100</v>
      </c>
      <c r="G33" s="1966" t="s">
        <v>3497</v>
      </c>
      <c r="H33" s="386">
        <f>SUMIF(101:101,G33,102:102)-SUMIF(101:101,C33,102:102)+100</f>
        <v>100</v>
      </c>
      <c r="I33" s="1966" t="s">
        <v>3497</v>
      </c>
      <c r="J33" s="418">
        <f>SUMIF(101:101,I33,102:102)-SUMIF(101:101,C33,102:102)+100</f>
        <v>100</v>
      </c>
      <c r="K33" s="561">
        <v>2</v>
      </c>
      <c r="L33" s="2719"/>
      <c r="M33" s="2713"/>
      <c r="N33" s="2713"/>
      <c r="O33" s="2713"/>
      <c r="P33" s="3844" t="s">
        <v>1696</v>
      </c>
      <c r="Q33" s="3469" t="str">
        <f t="shared" si="11"/>
        <v>建筑类型</v>
      </c>
      <c r="R33" s="704" t="s">
        <v>14</v>
      </c>
      <c r="S33" s="705">
        <f t="shared" si="12"/>
        <v>100</v>
      </c>
      <c r="T33" s="704" t="s">
        <v>14</v>
      </c>
      <c r="U33" s="705">
        <f t="shared" si="13"/>
        <v>100</v>
      </c>
      <c r="V33" s="704" t="s">
        <v>14</v>
      </c>
      <c r="W33" s="705">
        <f t="shared" si="14"/>
        <v>100</v>
      </c>
      <c r="X33" s="3471"/>
      <c r="Y33" s="3847" t="s">
        <v>1696</v>
      </c>
      <c r="Z33" s="3472" t="str">
        <f t="shared" si="15"/>
        <v>建筑类型</v>
      </c>
      <c r="AA33" s="3470">
        <f t="shared" si="3"/>
        <v>1</v>
      </c>
      <c r="AB33" s="3470">
        <f t="shared" si="4"/>
        <v>1</v>
      </c>
      <c r="AC33" s="1961">
        <f t="shared" si="5"/>
        <v>1</v>
      </c>
    </row>
    <row r="34" spans="1:29" s="422" customFormat="1" ht="15">
      <c r="A34" s="419"/>
      <c r="B34" s="375" t="s">
        <v>1697</v>
      </c>
      <c r="C34" s="420">
        <f>'数据-汇总表'!E3</f>
        <v>4460</v>
      </c>
      <c r="D34" s="127">
        <v>100</v>
      </c>
      <c r="E34" s="381">
        <v>498.74</v>
      </c>
      <c r="F34" s="376">
        <f>LOOKUP(E34,104:104,105:105)-LOOKUP(C34,104:104,105:105)+100</f>
        <v>101</v>
      </c>
      <c r="G34" s="380">
        <v>400</v>
      </c>
      <c r="H34" s="127">
        <f>LOOKUP(G34,104:104,105:105)-LOOKUP(C34,104:104,105:105)+100</f>
        <v>101</v>
      </c>
      <c r="I34" s="380">
        <v>170.2</v>
      </c>
      <c r="J34" s="127">
        <f>LOOKUP(I34,104:104,105:105)-LOOKUP(C34,104:104,105:105)+100</f>
        <v>101</v>
      </c>
      <c r="K34" s="562"/>
      <c r="L34" s="2718"/>
      <c r="M34" s="2720"/>
      <c r="N34" s="2720"/>
      <c r="O34" s="2720"/>
      <c r="P34" s="3845"/>
      <c r="Q34" s="706" t="str">
        <f t="shared" si="11"/>
        <v>项目建筑规模</v>
      </c>
      <c r="R34" s="707" t="s">
        <v>14</v>
      </c>
      <c r="S34" s="708">
        <f t="shared" si="12"/>
        <v>101</v>
      </c>
      <c r="T34" s="707" t="s">
        <v>14</v>
      </c>
      <c r="U34" s="708">
        <f t="shared" si="13"/>
        <v>101</v>
      </c>
      <c r="V34" s="707" t="s">
        <v>14</v>
      </c>
      <c r="W34" s="708">
        <f t="shared" si="14"/>
        <v>101</v>
      </c>
      <c r="X34" s="709"/>
      <c r="Y34" s="3847"/>
      <c r="Z34" s="710" t="str">
        <f t="shared" si="15"/>
        <v>项目建筑规模</v>
      </c>
      <c r="AA34" s="3470">
        <f t="shared" si="3"/>
        <v>0.99009900990099009</v>
      </c>
      <c r="AB34" s="3470">
        <f t="shared" si="4"/>
        <v>0.99009900990099009</v>
      </c>
      <c r="AC34" s="1961">
        <f t="shared" si="5"/>
        <v>0.99009900990099009</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45"/>
      <c r="Q35" s="3469" t="str">
        <f t="shared" si="11"/>
        <v>建筑结构</v>
      </c>
      <c r="R35" s="704" t="s">
        <v>14</v>
      </c>
      <c r="S35" s="705">
        <f t="shared" si="12"/>
        <v>100</v>
      </c>
      <c r="T35" s="704" t="s">
        <v>14</v>
      </c>
      <c r="U35" s="705">
        <f t="shared" si="13"/>
        <v>100</v>
      </c>
      <c r="V35" s="704" t="s">
        <v>14</v>
      </c>
      <c r="W35" s="705">
        <f t="shared" si="14"/>
        <v>100</v>
      </c>
      <c r="X35" s="3471"/>
      <c r="Y35" s="3847"/>
      <c r="Z35" s="3472" t="str">
        <f t="shared" si="15"/>
        <v>建筑结构</v>
      </c>
      <c r="AA35" s="3470">
        <f t="shared" si="3"/>
        <v>1</v>
      </c>
      <c r="AB35" s="3470">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45"/>
      <c r="Q36" s="3469" t="str">
        <f t="shared" si="11"/>
        <v>公共部分装修</v>
      </c>
      <c r="R36" s="704" t="s">
        <v>14</v>
      </c>
      <c r="S36" s="705">
        <f t="shared" si="12"/>
        <v>100</v>
      </c>
      <c r="T36" s="704" t="s">
        <v>14</v>
      </c>
      <c r="U36" s="705">
        <f t="shared" si="13"/>
        <v>100</v>
      </c>
      <c r="V36" s="704" t="s">
        <v>14</v>
      </c>
      <c r="W36" s="705">
        <f t="shared" si="14"/>
        <v>100</v>
      </c>
      <c r="X36" s="3471"/>
      <c r="Y36" s="3847"/>
      <c r="Z36" s="3472" t="str">
        <f t="shared" si="15"/>
        <v>公共部分装修</v>
      </c>
      <c r="AA36" s="3470">
        <f t="shared" si="3"/>
        <v>1</v>
      </c>
      <c r="AB36" s="3470">
        <f t="shared" si="4"/>
        <v>1</v>
      </c>
      <c r="AC36" s="1961">
        <f t="shared" si="5"/>
        <v>1</v>
      </c>
    </row>
    <row r="37" spans="1:29" ht="15">
      <c r="A37" s="423"/>
      <c r="B37" s="375" t="s">
        <v>1786</v>
      </c>
      <c r="C37" s="425">
        <f>'数据-取费表'!N6</f>
        <v>0.6</v>
      </c>
      <c r="D37" s="386">
        <v>100</v>
      </c>
      <c r="E37" s="425">
        <v>0.71</v>
      </c>
      <c r="F37" s="412">
        <f>LOOKUP(E37,111:111,112:112)-LOOKUP(C37,111:111,112:112)+100</f>
        <v>102</v>
      </c>
      <c r="G37" s="425">
        <v>0.73</v>
      </c>
      <c r="H37" s="412">
        <f>LOOKUP(G37,111:111,112:112)-LOOKUP(C37,111:111,112:112)+100</f>
        <v>102</v>
      </c>
      <c r="I37" s="425">
        <v>0.71</v>
      </c>
      <c r="J37" s="386">
        <f>LOOKUP(I37,111:111,112:112)-LOOKUP(C37,111:111,112:112)+100</f>
        <v>102</v>
      </c>
      <c r="K37" s="561">
        <v>2</v>
      </c>
      <c r="L37" s="2719"/>
      <c r="M37" s="2713"/>
      <c r="N37" s="2713"/>
      <c r="O37" s="2713"/>
      <c r="P37" s="3845"/>
      <c r="Q37" s="3469" t="str">
        <f t="shared" si="11"/>
        <v>成新度</v>
      </c>
      <c r="R37" s="704" t="s">
        <v>14</v>
      </c>
      <c r="S37" s="705">
        <f t="shared" si="12"/>
        <v>102</v>
      </c>
      <c r="T37" s="704" t="s">
        <v>14</v>
      </c>
      <c r="U37" s="705">
        <f t="shared" si="13"/>
        <v>102</v>
      </c>
      <c r="V37" s="704" t="s">
        <v>14</v>
      </c>
      <c r="W37" s="705">
        <f t="shared" si="14"/>
        <v>102</v>
      </c>
      <c r="X37" s="3471"/>
      <c r="Y37" s="3847"/>
      <c r="Z37" s="3472" t="str">
        <f t="shared" si="15"/>
        <v>成新度</v>
      </c>
      <c r="AA37" s="3470">
        <f t="shared" si="3"/>
        <v>0.98039215686274506</v>
      </c>
      <c r="AB37" s="3470">
        <f t="shared" si="4"/>
        <v>0.98039215686274506</v>
      </c>
      <c r="AC37" s="1961">
        <f t="shared" si="5"/>
        <v>0.98039215686274506</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45"/>
      <c r="Q38" s="3467" t="str">
        <f t="shared" si="11"/>
        <v>写字楼等级</v>
      </c>
      <c r="R38" s="700" t="s">
        <v>14</v>
      </c>
      <c r="S38" s="701">
        <f t="shared" si="12"/>
        <v>100</v>
      </c>
      <c r="T38" s="700" t="s">
        <v>14</v>
      </c>
      <c r="U38" s="701">
        <f t="shared" si="13"/>
        <v>100</v>
      </c>
      <c r="V38" s="700" t="s">
        <v>14</v>
      </c>
      <c r="W38" s="701">
        <f t="shared" si="14"/>
        <v>100</v>
      </c>
      <c r="X38" s="702"/>
      <c r="Y38" s="3847"/>
      <c r="Z38" s="3466"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45" t="s">
        <v>1696</v>
      </c>
      <c r="Q39" s="3469" t="str">
        <f t="shared" si="11"/>
        <v>物业管理</v>
      </c>
      <c r="R39" s="704" t="s">
        <v>14</v>
      </c>
      <c r="S39" s="705">
        <f t="shared" si="12"/>
        <v>100</v>
      </c>
      <c r="T39" s="704" t="s">
        <v>14</v>
      </c>
      <c r="U39" s="705">
        <f t="shared" si="13"/>
        <v>100</v>
      </c>
      <c r="V39" s="704" t="s">
        <v>14</v>
      </c>
      <c r="W39" s="705">
        <f t="shared" si="14"/>
        <v>100</v>
      </c>
      <c r="X39" s="3471"/>
      <c r="Y39" s="3847" t="s">
        <v>1696</v>
      </c>
      <c r="Z39" s="3472" t="str">
        <f t="shared" si="15"/>
        <v>物业管理</v>
      </c>
      <c r="AA39" s="3470">
        <f t="shared" si="3"/>
        <v>1</v>
      </c>
      <c r="AB39" s="3470">
        <f t="shared" si="4"/>
        <v>1</v>
      </c>
      <c r="AC39" s="1961">
        <f t="shared" si="5"/>
        <v>1</v>
      </c>
    </row>
    <row r="40" spans="1:29" ht="15">
      <c r="A40" s="423"/>
      <c r="B40" s="375" t="s">
        <v>1787</v>
      </c>
      <c r="C40" s="411" t="s">
        <v>3508</v>
      </c>
      <c r="D40" s="386">
        <v>100</v>
      </c>
      <c r="E40" s="411" t="s">
        <v>3508</v>
      </c>
      <c r="F40" s="412">
        <f>SUMIF(117:117,E40,118:118)-SUMIF(117:117,C40,118:118)+100</f>
        <v>100</v>
      </c>
      <c r="G40" s="411" t="s">
        <v>3508</v>
      </c>
      <c r="H40" s="386">
        <f>SUMIF(117:117,G40,118:118)-SUMIF(117:117,C40,118:118)+100</f>
        <v>100</v>
      </c>
      <c r="I40" s="411" t="s">
        <v>3508</v>
      </c>
      <c r="J40" s="386">
        <f>SUMIF(117:117,I40,118:118)-SUMIF(117:117,C40,118:118)+100</f>
        <v>100</v>
      </c>
      <c r="K40" s="561">
        <v>1</v>
      </c>
      <c r="L40" s="2719"/>
      <c r="M40" s="2713"/>
      <c r="N40" s="2713"/>
      <c r="O40" s="2713"/>
      <c r="P40" s="3845"/>
      <c r="Q40" s="3469" t="str">
        <f t="shared" si="11"/>
        <v>市政基础设施</v>
      </c>
      <c r="R40" s="704" t="s">
        <v>14</v>
      </c>
      <c r="S40" s="705">
        <f t="shared" si="12"/>
        <v>100</v>
      </c>
      <c r="T40" s="704" t="s">
        <v>14</v>
      </c>
      <c r="U40" s="705">
        <f t="shared" si="13"/>
        <v>100</v>
      </c>
      <c r="V40" s="704" t="s">
        <v>14</v>
      </c>
      <c r="W40" s="705">
        <f t="shared" si="14"/>
        <v>100</v>
      </c>
      <c r="X40" s="3471"/>
      <c r="Y40" s="3847"/>
      <c r="Z40" s="3472" t="str">
        <f t="shared" si="15"/>
        <v>市政基础设施</v>
      </c>
      <c r="AA40" s="3470">
        <f t="shared" si="3"/>
        <v>1</v>
      </c>
      <c r="AB40" s="3470">
        <f t="shared" si="4"/>
        <v>1</v>
      </c>
      <c r="AC40" s="1961">
        <f t="shared" si="5"/>
        <v>1</v>
      </c>
    </row>
    <row r="41" spans="1:29" ht="15">
      <c r="A41" s="423"/>
      <c r="B41" s="375" t="s">
        <v>1789</v>
      </c>
      <c r="C41" s="565" t="s">
        <v>3469</v>
      </c>
      <c r="D41" s="386">
        <v>100</v>
      </c>
      <c r="E41" s="565" t="s">
        <v>3469</v>
      </c>
      <c r="F41" s="412">
        <f>SUMIF(119:119,E41,120:120)-SUMIF(119:119,C41,120:120)+100</f>
        <v>100</v>
      </c>
      <c r="G41" s="565" t="s">
        <v>3469</v>
      </c>
      <c r="H41" s="386">
        <f>SUMIF(119:119,G41,120:120)-SUMIF(119:119,C41,120:120)+100</f>
        <v>100</v>
      </c>
      <c r="I41" s="565" t="s">
        <v>3469</v>
      </c>
      <c r="J41" s="386">
        <f>SUMIF(119:119,I41,120:120)-SUMIF(119:119,C41,120:120)+100</f>
        <v>100</v>
      </c>
      <c r="K41" s="561">
        <v>1</v>
      </c>
      <c r="L41" s="2719"/>
      <c r="M41" s="2713"/>
      <c r="N41" s="2713"/>
      <c r="O41" s="2713"/>
      <c r="P41" s="3845"/>
      <c r="Q41" s="3469" t="str">
        <f t="shared" si="11"/>
        <v>层高</v>
      </c>
      <c r="R41" s="704" t="s">
        <v>14</v>
      </c>
      <c r="S41" s="705">
        <f t="shared" si="12"/>
        <v>100</v>
      </c>
      <c r="T41" s="704" t="s">
        <v>14</v>
      </c>
      <c r="U41" s="705">
        <f t="shared" si="13"/>
        <v>100</v>
      </c>
      <c r="V41" s="704" t="s">
        <v>14</v>
      </c>
      <c r="W41" s="705">
        <f t="shared" si="14"/>
        <v>100</v>
      </c>
      <c r="X41" s="3471"/>
      <c r="Y41" s="3847"/>
      <c r="Z41" s="3472" t="str">
        <f t="shared" si="15"/>
        <v>层高</v>
      </c>
      <c r="AA41" s="3470">
        <f t="shared" si="3"/>
        <v>1</v>
      </c>
      <c r="AB41" s="3470">
        <f t="shared" si="4"/>
        <v>1</v>
      </c>
      <c r="AC41" s="1961">
        <f t="shared" si="5"/>
        <v>1</v>
      </c>
    </row>
    <row r="42" spans="1:29" s="422" customFormat="1" ht="15" hidden="1">
      <c r="A42" s="419"/>
      <c r="B42" s="3468"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45"/>
      <c r="Q42" s="706" t="str">
        <f t="shared" si="11"/>
        <v>单套建筑面积</v>
      </c>
      <c r="R42" s="707" t="s">
        <v>14</v>
      </c>
      <c r="S42" s="708">
        <f t="shared" si="12"/>
        <v>100</v>
      </c>
      <c r="T42" s="707" t="s">
        <v>14</v>
      </c>
      <c r="U42" s="708">
        <f t="shared" si="13"/>
        <v>100</v>
      </c>
      <c r="V42" s="707" t="s">
        <v>14</v>
      </c>
      <c r="W42" s="708">
        <f t="shared" si="14"/>
        <v>100</v>
      </c>
      <c r="X42" s="709"/>
      <c r="Y42" s="3847"/>
      <c r="Z42" s="710" t="str">
        <f t="shared" si="15"/>
        <v>单套建筑面积</v>
      </c>
      <c r="AA42" s="3470">
        <f t="shared" si="3"/>
        <v>1</v>
      </c>
      <c r="AB42" s="3470">
        <f t="shared" si="4"/>
        <v>1</v>
      </c>
      <c r="AC42" s="1961">
        <f t="shared" si="5"/>
        <v>1</v>
      </c>
    </row>
    <row r="43" spans="1:29" ht="15">
      <c r="A43" s="423"/>
      <c r="B43" s="375" t="s">
        <v>1792</v>
      </c>
      <c r="C43" s="411" t="s">
        <v>3502</v>
      </c>
      <c r="D43" s="386">
        <v>100</v>
      </c>
      <c r="E43" s="411" t="s">
        <v>3502</v>
      </c>
      <c r="F43" s="412">
        <f>SUMIF(123:123,E43,124:124)-SUMIF(123:123,C43,124:124)+100</f>
        <v>100</v>
      </c>
      <c r="G43" s="411" t="s">
        <v>3502</v>
      </c>
      <c r="H43" s="386">
        <f>SUMIF(123:123,G43,124:124)-SUMIF(123:123,C43,124:124)+100</f>
        <v>100</v>
      </c>
      <c r="I43" s="411" t="s">
        <v>3502</v>
      </c>
      <c r="J43" s="386">
        <f>SUMIF(123:123,I43,124:124)-SUMIF(123:123,C43,124:124)+100</f>
        <v>100</v>
      </c>
      <c r="K43" s="561">
        <v>1</v>
      </c>
      <c r="L43" s="2719"/>
      <c r="M43" s="2713"/>
      <c r="N43" s="2713"/>
      <c r="O43" s="2713"/>
      <c r="P43" s="3845"/>
      <c r="Q43" s="3469" t="str">
        <f t="shared" si="11"/>
        <v>内部装修</v>
      </c>
      <c r="R43" s="704" t="s">
        <v>14</v>
      </c>
      <c r="S43" s="705">
        <f t="shared" si="12"/>
        <v>100</v>
      </c>
      <c r="T43" s="704" t="s">
        <v>14</v>
      </c>
      <c r="U43" s="705">
        <f t="shared" si="13"/>
        <v>100</v>
      </c>
      <c r="V43" s="704" t="s">
        <v>14</v>
      </c>
      <c r="W43" s="705">
        <f t="shared" si="14"/>
        <v>100</v>
      </c>
      <c r="X43" s="3471"/>
      <c r="Y43" s="3847"/>
      <c r="Z43" s="3472" t="str">
        <f t="shared" si="15"/>
        <v>内部装修</v>
      </c>
      <c r="AA43" s="3470">
        <f t="shared" si="3"/>
        <v>1</v>
      </c>
      <c r="AB43" s="3470">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845"/>
      <c r="Q44" s="3469" t="str">
        <f t="shared" si="11"/>
        <v>内部装修维护情况</v>
      </c>
      <c r="R44" s="704" t="s">
        <v>14</v>
      </c>
      <c r="S44" s="705">
        <f t="shared" si="12"/>
        <v>100</v>
      </c>
      <c r="T44" s="704" t="s">
        <v>14</v>
      </c>
      <c r="U44" s="705">
        <f t="shared" si="13"/>
        <v>100</v>
      </c>
      <c r="V44" s="704" t="s">
        <v>14</v>
      </c>
      <c r="W44" s="705">
        <f t="shared" si="14"/>
        <v>100</v>
      </c>
      <c r="X44" s="3471"/>
      <c r="Y44" s="3847"/>
      <c r="Z44" s="3472" t="str">
        <f t="shared" si="15"/>
        <v>内部装修维护情况</v>
      </c>
      <c r="AA44" s="3470">
        <f t="shared" si="3"/>
        <v>1</v>
      </c>
      <c r="AB44" s="3470">
        <f t="shared" si="4"/>
        <v>1</v>
      </c>
      <c r="AC44" s="1961">
        <f t="shared" si="5"/>
        <v>1</v>
      </c>
    </row>
    <row r="45" spans="1:29" s="108" customFormat="1" ht="15">
      <c r="A45" s="424"/>
      <c r="B45" s="1132">
        <v>111</v>
      </c>
      <c r="C45" s="420"/>
      <c r="D45" s="127">
        <v>100</v>
      </c>
      <c r="E45" s="383">
        <v>2005</v>
      </c>
      <c r="F45" s="376">
        <f>SUMIF(127:127,E45,128:128)-SUMIF(127:127,C45,128:128)+100</f>
        <v>100</v>
      </c>
      <c r="G45" s="383">
        <v>2007</v>
      </c>
      <c r="H45" s="127">
        <f>SUMIF(127:127,G45,128:128)-SUMIF(127:127,C45,128:128)+100</f>
        <v>100</v>
      </c>
      <c r="I45" s="383">
        <v>2008</v>
      </c>
      <c r="J45" s="127">
        <f>SUMIF(127:127,I45,128:128)-SUMIF(127:127,C45,128:128)+100</f>
        <v>100</v>
      </c>
      <c r="K45" s="562"/>
      <c r="L45" s="2714"/>
      <c r="M45" s="2715"/>
      <c r="N45" s="2715"/>
      <c r="O45" s="2715"/>
      <c r="P45" s="3845"/>
      <c r="Q45" s="3467">
        <f t="shared" si="11"/>
        <v>111</v>
      </c>
      <c r="R45" s="700" t="s">
        <v>14</v>
      </c>
      <c r="S45" s="701">
        <f t="shared" si="12"/>
        <v>100</v>
      </c>
      <c r="T45" s="700" t="s">
        <v>14</v>
      </c>
      <c r="U45" s="701">
        <f t="shared" si="13"/>
        <v>100</v>
      </c>
      <c r="V45" s="700" t="s">
        <v>14</v>
      </c>
      <c r="W45" s="701">
        <f t="shared" si="14"/>
        <v>100</v>
      </c>
      <c r="X45" s="702"/>
      <c r="Y45" s="3847"/>
      <c r="Z45" s="3466">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45"/>
      <c r="Q46" s="3469">
        <f t="shared" si="11"/>
        <v>111</v>
      </c>
      <c r="R46" s="704" t="s">
        <v>14</v>
      </c>
      <c r="S46" s="705">
        <f t="shared" si="12"/>
        <v>100</v>
      </c>
      <c r="T46" s="704" t="s">
        <v>14</v>
      </c>
      <c r="U46" s="705">
        <f t="shared" si="13"/>
        <v>100</v>
      </c>
      <c r="V46" s="704" t="s">
        <v>14</v>
      </c>
      <c r="W46" s="705">
        <f t="shared" si="14"/>
        <v>100</v>
      </c>
      <c r="X46" s="3471"/>
      <c r="Y46" s="3847"/>
      <c r="Z46" s="3472">
        <f t="shared" si="15"/>
        <v>111</v>
      </c>
      <c r="AA46" s="3470">
        <f t="shared" si="3"/>
        <v>1</v>
      </c>
      <c r="AB46" s="3470">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46"/>
      <c r="Q47" s="3469">
        <f t="shared" si="11"/>
        <v>111</v>
      </c>
      <c r="R47" s="704" t="s">
        <v>14</v>
      </c>
      <c r="S47" s="705">
        <f t="shared" si="12"/>
        <v>100</v>
      </c>
      <c r="T47" s="704" t="s">
        <v>14</v>
      </c>
      <c r="U47" s="705">
        <f t="shared" si="13"/>
        <v>100</v>
      </c>
      <c r="V47" s="704" t="s">
        <v>14</v>
      </c>
      <c r="W47" s="705">
        <f t="shared" si="14"/>
        <v>100</v>
      </c>
      <c r="X47" s="3471"/>
      <c r="Y47" s="3848"/>
      <c r="Z47" s="3472">
        <f t="shared" si="15"/>
        <v>111</v>
      </c>
      <c r="AA47" s="3470">
        <f t="shared" si="3"/>
        <v>1</v>
      </c>
      <c r="AB47" s="3470">
        <f t="shared" si="4"/>
        <v>1</v>
      </c>
      <c r="AC47" s="1961">
        <f t="shared" si="5"/>
        <v>1</v>
      </c>
    </row>
    <row r="48" spans="1:29" ht="15">
      <c r="A48" s="430" t="s">
        <v>1708</v>
      </c>
      <c r="B48" s="431"/>
      <c r="C48" s="1153" t="s">
        <v>0</v>
      </c>
      <c r="D48" s="1154"/>
      <c r="E48" s="1155">
        <v>4</v>
      </c>
      <c r="F48" s="1156"/>
      <c r="G48" s="1157">
        <v>4.5</v>
      </c>
      <c r="H48" s="1158"/>
      <c r="I48" s="1155">
        <v>4.5</v>
      </c>
      <c r="J48" s="436"/>
      <c r="K48" s="713"/>
      <c r="L48" s="2721"/>
      <c r="M48" s="2713"/>
      <c r="N48" s="2713"/>
      <c r="O48" s="2713"/>
      <c r="P48" s="3820" t="str">
        <f>A48</f>
        <v>成交单价（元/平方米）</v>
      </c>
      <c r="Q48" s="3849"/>
      <c r="R48" s="3850">
        <f>E48</f>
        <v>4</v>
      </c>
      <c r="S48" s="3850"/>
      <c r="T48" s="3850">
        <f>G48</f>
        <v>4.5</v>
      </c>
      <c r="U48" s="3850"/>
      <c r="V48" s="3850">
        <f>I48</f>
        <v>4.5</v>
      </c>
      <c r="W48" s="3850"/>
      <c r="X48" s="397"/>
      <c r="Y48" s="711"/>
      <c r="Z48" s="397"/>
      <c r="AA48" s="397"/>
      <c r="AB48" s="397"/>
      <c r="AC48" s="578"/>
    </row>
    <row r="49" spans="1:29" ht="15.75" thickBot="1">
      <c r="A49" s="437" t="s">
        <v>1709</v>
      </c>
      <c r="B49" s="438"/>
      <c r="C49" s="1159">
        <f>R50</f>
        <v>3.9</v>
      </c>
      <c r="D49" s="2316" t="s">
        <v>2137</v>
      </c>
      <c r="E49" s="1160">
        <f>R49</f>
        <v>3.6</v>
      </c>
      <c r="F49" s="2317"/>
      <c r="G49" s="1159">
        <f>T49</f>
        <v>4.0999999999999996</v>
      </c>
      <c r="H49" s="2317"/>
      <c r="I49" s="1160">
        <f>V49</f>
        <v>4.0999999999999996</v>
      </c>
      <c r="J49" s="2317"/>
      <c r="K49" s="2319">
        <f>F49+H49+J49</f>
        <v>0</v>
      </c>
      <c r="L49" s="2721"/>
      <c r="M49" s="2713"/>
      <c r="N49" s="2713"/>
      <c r="O49" s="2713"/>
      <c r="P49" s="3820" t="str">
        <f>A49</f>
        <v>比较价值（元/平方米）</v>
      </c>
      <c r="Q49" s="3849"/>
      <c r="R49" s="3850">
        <f>IF(F1="售价",ROUND(PRODUCT(R48,AA7:AA47),0),ROUND(PRODUCT(R48,AA7:AA47),1))</f>
        <v>3.6</v>
      </c>
      <c r="S49" s="3850"/>
      <c r="T49" s="3850">
        <f>IF(F1="售价",ROUND(PRODUCT(T48,AB7:AB47),0),ROUND(PRODUCT(T48,AB7:AB47),1))</f>
        <v>4.0999999999999996</v>
      </c>
      <c r="U49" s="3850"/>
      <c r="V49" s="3850">
        <f>IF(F1="售价",ROUND(PRODUCT(V48,AC7:AC47),0),ROUND(PRODUCT(V48,AC7:AC47),1))</f>
        <v>4.0999999999999996</v>
      </c>
      <c r="W49" s="3850"/>
      <c r="X49" s="397"/>
      <c r="Y49" s="397"/>
      <c r="Z49" s="397"/>
      <c r="AA49" s="397"/>
      <c r="AB49" s="397"/>
      <c r="AC49" s="578"/>
    </row>
    <row r="50" spans="1:29" ht="15.75" thickBot="1">
      <c r="A50" s="441" t="s">
        <v>1710</v>
      </c>
      <c r="B50" s="442"/>
      <c r="C50" s="1162">
        <f>R50</f>
        <v>3.9</v>
      </c>
      <c r="D50" s="1162"/>
      <c r="E50" s="1162"/>
      <c r="F50" s="1162"/>
      <c r="G50" s="1162"/>
      <c r="H50" s="1162"/>
      <c r="I50" s="1162"/>
      <c r="J50" s="443"/>
      <c r="K50" s="714"/>
      <c r="L50" s="2721"/>
      <c r="M50" s="2713"/>
      <c r="N50" s="2713"/>
      <c r="O50" s="2713"/>
      <c r="P50" s="3851" t="str">
        <f>A50</f>
        <v>估价对象XX用房的比较价值（楼面单价，元/平方米）</v>
      </c>
      <c r="Q50" s="3852"/>
      <c r="R50" s="3853">
        <f>IF(F1="售价",ROUND(IF(D49="简单平均",AVERAGE(R49:V49),R49*F49+T49*H49+V49*J49),0),ROUND(IF(D49="简单平均",AVERAGE(R49:V49),R49*F49+T49*H49+V49*J49),1))</f>
        <v>3.9</v>
      </c>
      <c r="S50" s="3853"/>
      <c r="T50" s="3853"/>
      <c r="U50" s="3853"/>
      <c r="V50" s="3853"/>
      <c r="W50" s="3853"/>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1711</v>
      </c>
      <c r="D53" s="447"/>
      <c r="E53" s="448">
        <f>IF(E48&lt;E49,E49/E48-1,E48/E49-1)</f>
        <v>0.11111111111111116</v>
      </c>
      <c r="F53" s="449" t="str">
        <f>IF(OR(E53&gt;=0.3,E53&lt;=-0.3),"超过30%","")</f>
        <v/>
      </c>
      <c r="G53" s="448">
        <f>IF(G48&lt;G49,G49/G48-1,G48/G49-1)</f>
        <v>9.7560975609756184E-2</v>
      </c>
      <c r="H53" s="449" t="str">
        <f>IF(OR(G53&gt;=0.3,G53&lt;=-0.3),"超过30%","")</f>
        <v/>
      </c>
      <c r="I53" s="448">
        <f>IF(I48&lt;I49,I49/I48-1,I48/I49-1)</f>
        <v>9.7560975609756184E-2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1712</v>
      </c>
      <c r="D54" s="450"/>
      <c r="E54" s="448">
        <f>IF(E49&lt;G49,G49/E49-1,E49/G49-1)</f>
        <v>0.13888888888888884</v>
      </c>
      <c r="F54" s="449" t="str">
        <f>IF(OR(E54&gt;=0.2,E54&lt;=-0.2),"超过20%","")</f>
        <v/>
      </c>
      <c r="G54" s="448">
        <f>IF(G49&lt;I49,I49/G49-1,G49/I49-1)</f>
        <v>0</v>
      </c>
      <c r="H54" s="449" t="str">
        <f>IF(OR(G54&gt;=0.2,G54&lt;=-0.2),"超过20%","")</f>
        <v/>
      </c>
      <c r="I54" s="448">
        <f>IF(I49&lt;E49,E49/I49-1,I49/E49-1)</f>
        <v>0.13888888888888884</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1713</v>
      </c>
      <c r="D55" s="450"/>
      <c r="E55" s="448">
        <f>IF(E48&lt;G48,G48/E48-1,E48/G48-1)</f>
        <v>0.125</v>
      </c>
      <c r="F55" s="449" t="str">
        <f>IF(OR(E55&gt;=0.3,E55&lt;=-0.3),"超过30%","")</f>
        <v/>
      </c>
      <c r="G55" s="448">
        <f>IF(G48&lt;I48,I48/G48-1,G48/I48-1)</f>
        <v>0</v>
      </c>
      <c r="H55" s="449" t="str">
        <f>IF(OR(G55&gt;=0.3,G55&lt;=-0.3),"超过30%","")</f>
        <v/>
      </c>
      <c r="I55" s="448">
        <f>IF(I48&lt;E48,E48/I48-1,I48/E48-1)</f>
        <v>0.125</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1714</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2025-2</v>
      </c>
      <c r="D59" s="1184">
        <f>EDATE(C59,-1)</f>
        <v>45658</v>
      </c>
      <c r="E59" s="1184">
        <f>EDATE(D59,-1)</f>
        <v>45627</v>
      </c>
      <c r="F59" s="1184">
        <f t="shared" ref="F59:O59" si="16">EDATE(E59,-1)</f>
        <v>45597</v>
      </c>
      <c r="G59" s="1184">
        <f t="shared" si="16"/>
        <v>45566</v>
      </c>
      <c r="H59" s="1184">
        <f t="shared" si="16"/>
        <v>45536</v>
      </c>
      <c r="I59" s="1184">
        <f t="shared" si="16"/>
        <v>45505</v>
      </c>
      <c r="J59" s="1184">
        <f t="shared" si="16"/>
        <v>45474</v>
      </c>
      <c r="K59" s="1184">
        <f t="shared" si="16"/>
        <v>45444</v>
      </c>
      <c r="L59" s="1184">
        <f t="shared" si="16"/>
        <v>45413</v>
      </c>
      <c r="M59" s="1184">
        <f t="shared" si="16"/>
        <v>45383</v>
      </c>
      <c r="N59" s="1184">
        <f t="shared" si="16"/>
        <v>45352</v>
      </c>
      <c r="O59" s="1184">
        <f t="shared" si="16"/>
        <v>45323</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1718</v>
      </c>
      <c r="D62" s="3460" t="s">
        <v>3490</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3489</v>
      </c>
      <c r="D66" s="532" t="s">
        <v>3438</v>
      </c>
      <c r="E66" s="532" t="s">
        <v>3439</v>
      </c>
      <c r="F66" s="532" t="s">
        <v>3440</v>
      </c>
      <c r="G66" s="532" t="s">
        <v>3441</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4" t="s">
        <v>3493</v>
      </c>
      <c r="D89" s="3464" t="s">
        <v>3494</v>
      </c>
      <c r="E89" s="3464" t="s">
        <v>3496</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6" t="s">
        <v>3498</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500</v>
      </c>
      <c r="E104" s="544">
        <v>1000</v>
      </c>
      <c r="F104" s="544">
        <v>1500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64" t="s">
        <v>3499</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64" t="s">
        <v>3500</v>
      </c>
      <c r="D108" s="3464" t="s">
        <v>3501</v>
      </c>
      <c r="E108" s="3464" t="s">
        <v>3503</v>
      </c>
      <c r="F108" s="3477" t="s">
        <v>3504</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64" t="s">
        <v>3510</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64" t="s">
        <v>3506</v>
      </c>
      <c r="D117" s="3464" t="s">
        <v>3507</v>
      </c>
      <c r="E117" s="3464" t="s">
        <v>3509</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77" t="s">
        <v>3505</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64" t="s">
        <v>3500</v>
      </c>
      <c r="D123" s="3464" t="s">
        <v>3501</v>
      </c>
      <c r="E123" s="3464" t="s">
        <v>3503</v>
      </c>
      <c r="F123" s="3477" t="s">
        <v>3504</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55" priority="20" stopIfTrue="1" operator="containsText" text="超过">
      <formula>NOT(ISERROR(SEARCH("超过",F53)))</formula>
    </cfRule>
  </conditionalFormatting>
  <conditionalFormatting sqref="H55">
    <cfRule type="containsText" dxfId="154" priority="19" stopIfTrue="1" operator="containsText" text="超过">
      <formula>NOT(ISERROR(SEARCH("超过",H55)))</formula>
    </cfRule>
  </conditionalFormatting>
  <conditionalFormatting sqref="F55">
    <cfRule type="containsText" dxfId="153" priority="18" stopIfTrue="1" operator="containsText" text="超过">
      <formula>NOT(ISERROR(SEARCH("超过",F55)))</formula>
    </cfRule>
  </conditionalFormatting>
  <conditionalFormatting sqref="F54 H54">
    <cfRule type="containsText" dxfId="152" priority="17" stopIfTrue="1" operator="containsText" text="超过">
      <formula>NOT(ISERROR(SEARCH("超过",F54)))</formula>
    </cfRule>
  </conditionalFormatting>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G55">
    <cfRule type="expression" dxfId="148" priority="13" stopIfTrue="1">
      <formula>$H$55="超过30%"</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J53">
    <cfRule type="containsText" dxfId="145" priority="10" stopIfTrue="1" operator="containsText" text="超过">
      <formula>NOT(ISERROR(SEARCH("超过",J53)))</formula>
    </cfRule>
  </conditionalFormatting>
  <conditionalFormatting sqref="J55">
    <cfRule type="containsText" dxfId="144" priority="9" stopIfTrue="1" operator="containsText" text="超过">
      <formula>NOT(ISERROR(SEARCH("超过",J55)))</formula>
    </cfRule>
  </conditionalFormatting>
  <conditionalFormatting sqref="J54">
    <cfRule type="containsText" dxfId="143" priority="8" stopIfTrue="1" operator="containsText" text="超过">
      <formula>NOT(ISERROR(SEARCH("超过",J54)))</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F7:F47 H7:H47 J7:J47">
    <cfRule type="cellIs" dxfId="13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0" zoomScaleNormal="70" zoomScaleSheetLayoutView="80" workbookViewId="0">
      <selection activeCell="G12" sqref="G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3488</v>
      </c>
      <c r="D1" s="1361" t="s">
        <v>43</v>
      </c>
      <c r="E1" s="1362" t="s">
        <v>678</v>
      </c>
      <c r="F1" s="1061" t="e">
        <f ca="1">J53</f>
        <v>#N/A</v>
      </c>
      <c r="G1" s="1377" t="e">
        <f>MATCH(C1,'数据-取费表'!A6:A16,0)+5</f>
        <v>#N/A</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2" t="e">
        <f ca="1">ROUND(D2/10000,4)</f>
        <v>#N/A</v>
      </c>
      <c r="C2" s="1386" t="s">
        <v>879</v>
      </c>
      <c r="D2" s="1470" t="e">
        <f ca="1">C40+J29+L46</f>
        <v>#N/A</v>
      </c>
      <c r="E2" s="1387" t="s">
        <v>880</v>
      </c>
      <c r="F2" s="1388"/>
      <c r="G2" s="2703"/>
      <c r="H2" s="2692"/>
      <c r="I2" s="2692"/>
      <c r="J2" s="2692"/>
      <c r="K2" s="2693"/>
      <c r="L2" s="2692"/>
      <c r="M2" s="2692"/>
    </row>
    <row r="3" spans="1:37" ht="18" customHeight="1" thickBot="1">
      <c r="A3" s="1389" t="s">
        <v>881</v>
      </c>
      <c r="B3" s="1390">
        <f ca="1">IF(ISERROR(D2/F43),0,ROUND(D2/F43,0))</f>
        <v>0</v>
      </c>
      <c r="C3" s="1386" t="s">
        <v>882</v>
      </c>
      <c r="D3" s="1386"/>
      <c r="E3" s="1387"/>
      <c r="F3" s="1388"/>
      <c r="G3" s="2703"/>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t="e">
        <f ca="1">C6+C10+C12</f>
        <v>#N/A</v>
      </c>
      <c r="D5" s="1363" t="s">
        <v>889</v>
      </c>
      <c r="E5" s="1070"/>
      <c r="F5" s="1071"/>
      <c r="G5" s="1383"/>
      <c r="H5" s="299">
        <v>1</v>
      </c>
      <c r="I5" s="300" t="s">
        <v>888</v>
      </c>
      <c r="J5" s="1069" t="e">
        <f ca="1">J6+J10+J12</f>
        <v>#N/A</v>
      </c>
      <c r="K5" s="1363" t="s">
        <v>889</v>
      </c>
      <c r="L5" s="1070"/>
      <c r="M5" s="1071"/>
    </row>
    <row r="6" spans="1:37" ht="18" customHeight="1">
      <c r="A6" s="1068" t="s">
        <v>398</v>
      </c>
      <c r="B6" s="3800" t="s">
        <v>694</v>
      </c>
      <c r="C6" s="1073" t="e">
        <f ca="1">ROUND(F6*F8*F7*(1-F9),0)</f>
        <v>#N/A</v>
      </c>
      <c r="D6" s="155" t="s">
        <v>2105</v>
      </c>
      <c r="E6" s="302" t="s">
        <v>696</v>
      </c>
      <c r="F6" s="303" t="e">
        <f ca="1">INDIRECT("'数据-取费表'!u"&amp;$G$1)</f>
        <v>#N/A</v>
      </c>
      <c r="G6" s="1383"/>
      <c r="H6" s="1068" t="s">
        <v>398</v>
      </c>
      <c r="I6" s="3800" t="s">
        <v>694</v>
      </c>
      <c r="J6" s="301" t="e">
        <f ca="1">ROUND(M6*M8*M7*(1-M9),0)</f>
        <v>#N/A</v>
      </c>
      <c r="K6" s="1375" t="s">
        <v>2106</v>
      </c>
      <c r="L6" s="302" t="s">
        <v>696</v>
      </c>
      <c r="M6" s="303" t="e">
        <f ca="1">INDIRECT("'数据-取费表'!z"&amp;$G$1)</f>
        <v>#N/A</v>
      </c>
    </row>
    <row r="7" spans="1:37" ht="18" customHeight="1">
      <c r="A7" s="1072"/>
      <c r="B7" s="3801"/>
      <c r="C7" s="1074"/>
      <c r="D7" s="307"/>
      <c r="E7" s="1075" t="s">
        <v>697</v>
      </c>
      <c r="F7" s="303" t="e">
        <f ca="1">IF(INDIRECT("'数据-取费表'!ah"&amp;$G$1)="",INDIRECT("'数据-取费表'!k"&amp;$G$1),INDIRECT("'数据-取费表'!ah"&amp;$G$1))</f>
        <v>#N/A</v>
      </c>
      <c r="G7" s="1383"/>
      <c r="H7" s="304"/>
      <c r="I7" s="3801"/>
      <c r="J7" s="306"/>
      <c r="K7" s="307"/>
      <c r="L7" s="302" t="s">
        <v>697</v>
      </c>
      <c r="M7" s="303" t="e">
        <f ca="1">F7</f>
        <v>#N/A</v>
      </c>
    </row>
    <row r="8" spans="1:37" ht="18" customHeight="1">
      <c r="A8" s="304"/>
      <c r="B8" s="3801"/>
      <c r="C8" s="306"/>
      <c r="D8" s="307"/>
      <c r="E8" s="302" t="s">
        <v>698</v>
      </c>
      <c r="F8" s="303" t="e">
        <f ca="1">INDIRECT("'数据-取费表'!ai"&amp;$G$1)</f>
        <v>#N/A</v>
      </c>
      <c r="G8" s="1383"/>
      <c r="H8" s="304"/>
      <c r="I8" s="3801"/>
      <c r="J8" s="306"/>
      <c r="K8" s="307"/>
      <c r="L8" s="302" t="s">
        <v>698</v>
      </c>
      <c r="M8" s="303" t="e">
        <f ca="1">INDIRECT("'数据-取费表'!ai"&amp;$G$1)</f>
        <v>#N/A</v>
      </c>
    </row>
    <row r="9" spans="1:37" ht="18" customHeight="1">
      <c r="A9" s="304"/>
      <c r="B9" s="3802"/>
      <c r="C9" s="306"/>
      <c r="D9" s="307"/>
      <c r="E9" s="302" t="s">
        <v>699</v>
      </c>
      <c r="F9" s="312" t="e">
        <f ca="1">INDIRECT("'数据-取费表'!w"&amp;$G$1)</f>
        <v>#N/A</v>
      </c>
      <c r="G9" s="1383"/>
      <c r="H9" s="304"/>
      <c r="I9" s="3802"/>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2115</v>
      </c>
      <c r="E10" s="313" t="s">
        <v>701</v>
      </c>
      <c r="F10" s="1115" t="s">
        <v>3416</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ROUND(INDIRECT("'数据-取费表'!l"&amp;$G$1)*F43+'数据-取费表'!L14*INDIRECT("'数据-取费表'!S"&amp;$G$1),0)</f>
        <v>#N/A</v>
      </c>
      <c r="D14" s="1344" t="s">
        <v>708</v>
      </c>
      <c r="E14" s="1341"/>
      <c r="F14" s="319"/>
      <c r="G14" s="1383"/>
      <c r="H14" s="981" t="s">
        <v>398</v>
      </c>
      <c r="I14" s="302" t="s">
        <v>709</v>
      </c>
      <c r="J14" s="21" t="e">
        <f ca="1">C29</f>
        <v>#N/A</v>
      </c>
      <c r="K14" s="12"/>
      <c r="L14" s="806"/>
      <c r="M14" s="807"/>
    </row>
    <row r="15" spans="1:37" s="1396" customFormat="1" ht="18" customHeight="1" thickBot="1">
      <c r="A15" s="981" t="s">
        <v>399</v>
      </c>
      <c r="B15" s="302" t="s">
        <v>710</v>
      </c>
      <c r="C15" s="21" t="e">
        <f ca="1">ROUND(C14*F15,0)</f>
        <v>#N/A</v>
      </c>
      <c r="D15" s="320" t="s">
        <v>711</v>
      </c>
      <c r="E15" s="320" t="s">
        <v>712</v>
      </c>
      <c r="F15" s="321">
        <f>'数据-取费表'!B33</f>
        <v>0.05</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ROUND(INDIRECT("'数据-取费表'!l"&amp;$G$1)*F43*F16,0)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1087"/>
      <c r="M16" s="1071"/>
    </row>
    <row r="17" spans="1:37" s="1396" customFormat="1" ht="18" customHeight="1">
      <c r="A17" s="981" t="s">
        <v>681</v>
      </c>
      <c r="B17" s="302" t="s">
        <v>716</v>
      </c>
      <c r="C17" s="21" t="e">
        <f ca="1">ROUND(F17*(F43+INDIRECT("'数据-取费表'!S"&amp;$G$1)),0)</f>
        <v>#N/A</v>
      </c>
      <c r="D17" s="302" t="s">
        <v>717</v>
      </c>
      <c r="E17" s="302" t="s">
        <v>718</v>
      </c>
      <c r="F17" s="23">
        <f>'数据-取费表'!B35</f>
        <v>200</v>
      </c>
      <c r="G17" s="1395"/>
      <c r="H17" s="981" t="s">
        <v>398</v>
      </c>
      <c r="I17" s="302" t="s">
        <v>719</v>
      </c>
      <c r="J17" s="2315" t="e">
        <f ca="1">ROUND(IF(AND(项目基本情况!B11="自然人",项目基本情况!B10="北京市"),J6*M17/(1+'数据-取费表'!C42),J18+J19+J20),0)</f>
        <v>#N/A</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2.5000000000000001E-2</v>
      </c>
      <c r="G18" s="1395"/>
      <c r="H18" s="981" t="s">
        <v>397</v>
      </c>
      <c r="I18" s="302" t="s">
        <v>723</v>
      </c>
      <c r="J18" s="21" t="e">
        <f ca="1">ROUND(J6*M18/(1+'数据-取费表'!C42),0)</f>
        <v>#N/A</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1359"/>
      <c r="F19" s="23"/>
      <c r="G19" s="1383"/>
      <c r="H19" s="981" t="s">
        <v>399</v>
      </c>
      <c r="I19" s="302" t="s">
        <v>727</v>
      </c>
      <c r="J19" s="21" t="e">
        <f ca="1">IF(K19="按租金收入计税",ROUND(J6*M19/(1+'数据-取费表'!C42),0),ROUND(C29*M19*0.7,0))</f>
        <v>#N/A</v>
      </c>
      <c r="K19" s="1369" t="s">
        <v>3333</v>
      </c>
      <c r="L19" s="302" t="s">
        <v>712</v>
      </c>
      <c r="M19" s="322">
        <f>IF(K19="按租金收入计税",'数据-取费表'!B51,'数据-取费表'!B50)</f>
        <v>0.12</v>
      </c>
    </row>
    <row r="20" spans="1:37" s="1396" customFormat="1" ht="18" customHeight="1">
      <c r="A20" s="981" t="s">
        <v>402</v>
      </c>
      <c r="B20" s="302" t="s">
        <v>728</v>
      </c>
      <c r="C20" s="21" t="e">
        <f ca="1">ROUND(C19*F20,0)</f>
        <v>#N/A</v>
      </c>
      <c r="D20" s="323" t="s">
        <v>729</v>
      </c>
      <c r="E20" s="302" t="s">
        <v>712</v>
      </c>
      <c r="F20" s="322">
        <f>'数据-取费表'!B37</f>
        <v>0.03</v>
      </c>
      <c r="G20" s="1395"/>
      <c r="H20" s="981" t="s">
        <v>680</v>
      </c>
      <c r="I20" s="155" t="s">
        <v>730</v>
      </c>
      <c r="J20" s="22" t="e">
        <f ca="1">ROUND(M20*M21,0)</f>
        <v>#N/A</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t="e">
        <f ca="1">ROUND(J14*M22,0)</f>
        <v>#N/A</v>
      </c>
      <c r="K22" s="1343"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t="e">
        <f ca="1">ROUND(J13*M23,0)</f>
        <v>#N/A</v>
      </c>
      <c r="K23" s="1343"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5"/>
      <c r="H24" s="1088" t="s">
        <v>684</v>
      </c>
      <c r="I24" s="1089" t="s">
        <v>728</v>
      </c>
      <c r="J24" s="1090" t="e">
        <f ca="1">ROUND(J5*M24,0)</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t="e">
        <f ca="1">J5-J16</f>
        <v>#N/A</v>
      </c>
      <c r="K25" s="1094" t="s">
        <v>753</v>
      </c>
      <c r="L25" s="1095"/>
      <c r="M25" s="1096"/>
    </row>
    <row r="26" spans="1:37" ht="18" customHeight="1">
      <c r="A26" s="981" t="s">
        <v>397</v>
      </c>
      <c r="B26" s="302" t="s">
        <v>754</v>
      </c>
      <c r="C26" s="21" t="e">
        <f ca="1">ROUND((C19+C20)*F26,0)</f>
        <v>#N/A</v>
      </c>
      <c r="D26" s="323"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1087"/>
      <c r="F30" s="1071"/>
      <c r="G30" s="1383"/>
      <c r="H30" s="2694"/>
      <c r="I30" s="1397"/>
      <c r="J30" s="1398"/>
      <c r="K30" s="2473"/>
      <c r="L30" s="2695"/>
      <c r="M30" s="2696"/>
    </row>
    <row r="31" spans="1:37" ht="18" customHeight="1">
      <c r="A31" s="981" t="s">
        <v>398</v>
      </c>
      <c r="B31" s="302" t="s">
        <v>719</v>
      </c>
      <c r="C31" s="2315" t="e">
        <f ca="1">ROUND(IF(AND(项目基本情况!B11="自然人",项目基本情况!B10="北京市"),C6*F31/(1+'数据-取费表'!C42),C32+C33+C34),0)</f>
        <v>#N/A</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t="e">
        <f ca="1">IF(项目基本情况!B11="自然人","——",ROUND(C6*F32/(1+'数据-取费表'!C42),0))</f>
        <v>#N/A</v>
      </c>
      <c r="D32" s="1343" t="s">
        <v>724</v>
      </c>
      <c r="E32" s="302" t="s">
        <v>712</v>
      </c>
      <c r="F32" s="331">
        <f>'数据-取费表'!B41</f>
        <v>5.6000000000000001E-2</v>
      </c>
      <c r="G32" s="1383"/>
      <c r="H32" s="2694"/>
      <c r="I32" s="1397"/>
      <c r="J32" s="1398"/>
      <c r="K32" s="2473"/>
      <c r="L32" s="2695"/>
      <c r="M32" s="2696"/>
    </row>
    <row r="33" spans="1:18" ht="18" customHeight="1">
      <c r="A33" s="981" t="s">
        <v>399</v>
      </c>
      <c r="B33" s="302" t="s">
        <v>727</v>
      </c>
      <c r="C33" s="21" t="e">
        <f ca="1">IF(项目基本情况!B11="自然人","——",IF(D33="按租金收入计税",ROUND(C6*F33/(1+'数据-取费表'!C42),0),IF(D33="按房产原值计税",ROUND(C29*F33*0.7,0),INDIRECT("'数据-取费表'!Aj"&amp;$G$1))))</f>
        <v>#N/A</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t="e">
        <f ca="1">IF(项目基本情况!B11="自然人","——",ROUND(F34*F35,0))</f>
        <v>#N/A</v>
      </c>
      <c r="D34" s="324" t="s">
        <v>731</v>
      </c>
      <c r="E34" s="302" t="s">
        <v>732</v>
      </c>
      <c r="F34" s="325">
        <f>'数据-取费表'!B52</f>
        <v>1.5</v>
      </c>
      <c r="G34" s="1383"/>
      <c r="H34" s="2694"/>
      <c r="I34" s="1397"/>
      <c r="J34" s="1398"/>
      <c r="K34" s="2699"/>
      <c r="L34" s="2700"/>
      <c r="M34" s="2700"/>
    </row>
    <row r="35" spans="1:18" ht="18" customHeight="1">
      <c r="A35" s="1102"/>
      <c r="B35" s="1100"/>
      <c r="C35" s="26"/>
      <c r="D35" s="327"/>
      <c r="E35" s="302" t="s">
        <v>736</v>
      </c>
      <c r="F35" s="303" t="e">
        <f ca="1">INDIRECT("'数据-取费表'!r"&amp;$G$1)</f>
        <v>#N/A</v>
      </c>
      <c r="G35" s="1383"/>
      <c r="H35" s="2694"/>
      <c r="I35" s="1397"/>
      <c r="J35" s="1398"/>
      <c r="K35" s="2698"/>
      <c r="L35" s="2697"/>
      <c r="M35" s="2697"/>
    </row>
    <row r="36" spans="1:18" ht="18" customHeight="1">
      <c r="A36" s="1101" t="s">
        <v>402</v>
      </c>
      <c r="B36" s="302" t="s">
        <v>738</v>
      </c>
      <c r="C36" s="21" t="e">
        <f ca="1">ROUND(C29*F36,0)</f>
        <v>#N/A</v>
      </c>
      <c r="D36" s="1343" t="s">
        <v>771</v>
      </c>
      <c r="E36" s="302" t="s">
        <v>712</v>
      </c>
      <c r="F36" s="328" t="e">
        <f ca="1">INDIRECT("'数据-取费表'!Ak"&amp;$G$1)</f>
        <v>#N/A</v>
      </c>
      <c r="G36" s="1383"/>
      <c r="H36" s="2697"/>
      <c r="I36" s="1397"/>
      <c r="J36" s="1398"/>
      <c r="K36" s="2542"/>
      <c r="L36" s="2697"/>
      <c r="M36" s="2697"/>
    </row>
    <row r="37" spans="1:18" ht="18" customHeight="1">
      <c r="A37" s="981" t="s">
        <v>437</v>
      </c>
      <c r="B37" s="302" t="s">
        <v>742</v>
      </c>
      <c r="C37" s="21" t="e">
        <f ca="1">ROUND(C13*F37,0)</f>
        <v>#N/A</v>
      </c>
      <c r="D37" s="1343" t="s">
        <v>743</v>
      </c>
      <c r="E37" s="302" t="s">
        <v>744</v>
      </c>
      <c r="F37" s="330" t="e">
        <f ca="1">INDIRECT("'数据-取费表'!Al"&amp;$G$1)</f>
        <v>#N/A</v>
      </c>
      <c r="G37" s="1383"/>
      <c r="H37" s="2697"/>
      <c r="I37" s="1397"/>
      <c r="J37" s="1398"/>
      <c r="K37" s="2542"/>
      <c r="L37" s="2697"/>
      <c r="M37" s="2697"/>
    </row>
    <row r="38" spans="1:18" ht="18" customHeight="1" thickBot="1">
      <c r="A38" s="1088" t="s">
        <v>684</v>
      </c>
      <c r="B38" s="1089" t="s">
        <v>728</v>
      </c>
      <c r="C38" s="1090" t="e">
        <f ca="1">ROUND(C5*F38,0)</f>
        <v>#N/A</v>
      </c>
      <c r="D38" s="1091" t="s">
        <v>748</v>
      </c>
      <c r="E38" s="1089" t="s">
        <v>744</v>
      </c>
      <c r="F38" s="1085" t="e">
        <f ca="1">INDIRECT("'数据-取费表'!Am"&amp;$G$1)</f>
        <v>#N/A</v>
      </c>
      <c r="G38" s="1383"/>
      <c r="H38" s="2697"/>
      <c r="I38" s="1397"/>
      <c r="J38" s="1398"/>
      <c r="K38" s="2701"/>
      <c r="L38" s="2697"/>
      <c r="M38" s="2697"/>
    </row>
    <row r="39" spans="1:18" ht="24.6" customHeight="1" thickTop="1">
      <c r="A39" s="1078" t="s">
        <v>394</v>
      </c>
      <c r="B39" s="1093" t="s">
        <v>772</v>
      </c>
      <c r="C39" s="310" t="e">
        <f ca="1">C5-C30</f>
        <v>#N/A</v>
      </c>
      <c r="D39" s="1094" t="s">
        <v>773</v>
      </c>
      <c r="E39" s="1095"/>
      <c r="F39" s="1096"/>
      <c r="G39" s="1383"/>
      <c r="H39" s="2697"/>
      <c r="I39" s="1397"/>
      <c r="J39" s="1398"/>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1"/>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2"/>
      <c r="L41" s="1190"/>
      <c r="M41" s="1190"/>
    </row>
    <row r="42" spans="1:18" ht="18" customHeight="1">
      <c r="A42" s="308"/>
      <c r="B42" s="309"/>
      <c r="C42" s="310"/>
      <c r="D42" s="327"/>
      <c r="E42" s="302" t="s">
        <v>766</v>
      </c>
      <c r="F42" s="312" t="e">
        <f ca="1">INDIRECT("'数据-取费表'!v"&amp;$G$1)</f>
        <v>#N/A</v>
      </c>
      <c r="G42" s="1383"/>
      <c r="H42" s="1190"/>
      <c r="I42" s="1397"/>
      <c r="J42" s="1398"/>
      <c r="K42" s="2542"/>
      <c r="L42" s="1190"/>
      <c r="M42" s="1190"/>
    </row>
    <row r="43" spans="1:18" ht="18" customHeight="1" thickBot="1">
      <c r="A43" s="334" t="s">
        <v>396</v>
      </c>
      <c r="B43" s="335" t="s">
        <v>776</v>
      </c>
      <c r="C43" s="336" t="e">
        <f ca="1">ROUND(C40/F43,0)</f>
        <v>#N/A</v>
      </c>
      <c r="D43" s="337" t="s">
        <v>777</v>
      </c>
      <c r="E43" s="338" t="s">
        <v>778</v>
      </c>
      <c r="F43" s="339" t="e">
        <f ca="1">INDIRECT("'数据-取费表'!k"&amp;$G$1)</f>
        <v>#N/A</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8" t="s">
        <v>3349</v>
      </c>
      <c r="B45" s="1399"/>
      <c r="C45" s="1471" t="e">
        <f ca="1">ROUND((C68-C40)/10000,4)</f>
        <v>#N/A</v>
      </c>
      <c r="D45" s="3429" t="s">
        <v>3350</v>
      </c>
      <c r="E45" s="1399"/>
      <c r="F45" s="1399"/>
      <c r="O45" s="1402" t="s">
        <v>808</v>
      </c>
      <c r="P45" s="1460"/>
      <c r="Q45" s="1460"/>
      <c r="R45" s="1460"/>
    </row>
    <row r="46" spans="1:18" s="1383" customFormat="1" ht="13.5" thickBot="1">
      <c r="A46" s="1403" t="s">
        <v>809</v>
      </c>
      <c r="C46" s="1404" t="e">
        <f ca="1">ROUND(C45,0)</f>
        <v>#N/A</v>
      </c>
      <c r="D46" s="1405" t="str">
        <f>C2</f>
        <v>万元</v>
      </c>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3471</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1358" t="e">
        <f ca="1">C49+C53+C55</f>
        <v>#N/A</v>
      </c>
      <c r="D48" s="1111"/>
      <c r="E48" s="1112"/>
      <c r="F48" s="961"/>
      <c r="G48" s="721"/>
      <c r="H48" s="722"/>
      <c r="I48" s="1420" t="s">
        <v>819</v>
      </c>
      <c r="J48" s="1421" t="s">
        <v>3415</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ROUND(F49*F51*F50*(1-F52),0)</f>
        <v>#N/A</v>
      </c>
      <c r="D49" s="1054" t="s">
        <v>695</v>
      </c>
      <c r="E49" s="1371" t="s">
        <v>780</v>
      </c>
      <c r="F49" s="1059"/>
      <c r="G49" s="1424"/>
      <c r="H49" s="722"/>
      <c r="I49" s="1420" t="s">
        <v>823</v>
      </c>
      <c r="J49" s="1425">
        <f>'数据-取费表'!N18</f>
        <v>1992</v>
      </c>
      <c r="K49" s="1422" t="s">
        <v>824</v>
      </c>
      <c r="L49" s="1426"/>
      <c r="O49" s="1427" t="s">
        <v>405</v>
      </c>
      <c r="P49" s="1418" t="s">
        <v>825</v>
      </c>
      <c r="Q49" s="1419" t="e">
        <f ca="1">C29</f>
        <v>#N/A</v>
      </c>
      <c r="R49" s="1419" t="s">
        <v>818</v>
      </c>
    </row>
    <row r="50" spans="1:18" s="1383" customFormat="1" ht="13.5" thickBot="1">
      <c r="A50" s="975"/>
      <c r="B50" s="978"/>
      <c r="C50" s="979"/>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27</v>
      </c>
      <c r="K51" s="1433" t="s">
        <v>830</v>
      </c>
      <c r="L51" s="1434" t="e">
        <f ca="1">ROUND(-PV(INDIRECT("'数据-取费表'!h"&amp;$G$1),J51,(C39-C13*C76),0),0)</f>
        <v>#N/A</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t="e">
        <f ca="1">J53</f>
        <v>#N/A</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t="e">
        <f ca="1">IF(M47="住宅",IF(D1="——",MAX(J51,L48),MAX(J51,L48-'数据-取费表'!B24)),IF(D1="——",MIN(J51,L48),MIN(J51,L48-'数据-取费表'!B24)))</f>
        <v>#N/A</v>
      </c>
      <c r="K53" s="3798" t="s">
        <v>837</v>
      </c>
      <c r="L53" s="3799"/>
      <c r="O53" s="1417" t="s">
        <v>409</v>
      </c>
      <c r="P53" s="1418" t="s">
        <v>838</v>
      </c>
      <c r="Q53" s="1419" t="e">
        <f ca="1">Q47+Q48</f>
        <v>#N/A</v>
      </c>
      <c r="R53" s="1419" t="s">
        <v>410</v>
      </c>
    </row>
    <row r="54" spans="1:18" s="1383" customFormat="1" ht="13.5" thickBot="1">
      <c r="A54" s="974"/>
      <c r="B54" s="1472" t="s">
        <v>891</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36" customHeight="1" thickTop="1" thickBot="1">
      <c r="A56" s="956">
        <v>2</v>
      </c>
      <c r="B56" s="957" t="s">
        <v>704</v>
      </c>
      <c r="C56" s="232" t="e">
        <f ca="1">C13</f>
        <v>#N/A</v>
      </c>
      <c r="D56" s="1446"/>
      <c r="E56" s="1447"/>
      <c r="F56" s="1439"/>
      <c r="I56" s="1448" t="s">
        <v>842</v>
      </c>
      <c r="J56" s="1449" t="s">
        <v>3407</v>
      </c>
      <c r="K56" s="1420" t="s">
        <v>843</v>
      </c>
      <c r="L56" s="1423" t="e">
        <f ca="1">IF(L48&lt;J51,"——",L48-J51)</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892</v>
      </c>
      <c r="L57" s="1423" t="e">
        <f ca="1">IF(L48&lt;J51,"——",IF(L55="比较法",L49,IF(L55="基准地价",L50,L51)))</f>
        <v>#N/A</v>
      </c>
      <c r="O57" s="1417" t="s">
        <v>404</v>
      </c>
      <c r="P57" s="1418" t="s">
        <v>893</v>
      </c>
      <c r="Q57" s="1419" t="e">
        <f ca="1">L60</f>
        <v>#N/A</v>
      </c>
      <c r="R57" s="1419" t="s">
        <v>894</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895</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IF(项目基本情况!B11="自然人","——",ROUND(C48*F60/(1+'数据-取费表'!C42),0))</f>
        <v>#N/A</v>
      </c>
      <c r="D60" s="963" t="s">
        <v>724</v>
      </c>
      <c r="E60" s="949" t="s">
        <v>712</v>
      </c>
      <c r="F60" s="331">
        <f t="shared" ref="F60:F66" si="0">F32</f>
        <v>5.6000000000000001E-2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e">
        <f ca="1">IF(项目基本情况!B11="自然人","——",IF(D61="按租金收入计税",ROUND(C49*F61/(1+'数据-取费表'!C42),0),IF(D61="按房产原值计税",ROUND(C57*F61*0.7,0),INDIRECT("'数据-取费表'!Aj"&amp;$G$1))))</f>
        <v>#N/A</v>
      </c>
      <c r="D61" s="1369" t="s">
        <v>3333</v>
      </c>
      <c r="E61" s="949" t="s">
        <v>783</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e">
        <f ca="1">IF(项目基本情况!B11="自然人","——",ROUND(F62*F63,0))</f>
        <v>#N/A</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ROUND(C57*F64,0)</f>
        <v>#N/A</v>
      </c>
      <c r="D64" s="963" t="s">
        <v>791</v>
      </c>
      <c r="E64" s="949" t="s">
        <v>783</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ROUND(C56*F65,0)</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ROUND(C48*F66,0)</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4" t="s">
        <v>2314</v>
      </c>
      <c r="B2" s="2840" t="e">
        <f>IF(D2="——",C40,C40+E2)</f>
        <v>#DIV/0!</v>
      </c>
      <c r="C2" s="2841" t="s">
        <v>2315</v>
      </c>
      <c r="D2" s="3440" t="s">
        <v>3356</v>
      </c>
      <c r="E2" s="3441"/>
      <c r="F2" s="2843"/>
      <c r="G2" s="2844"/>
      <c r="H2" s="2845"/>
      <c r="I2" s="2846"/>
      <c r="J2" s="3854" t="s">
        <v>2316</v>
      </c>
      <c r="K2" s="3855"/>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856" t="s">
        <v>2326</v>
      </c>
      <c r="K3" s="3857"/>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856" t="s">
        <v>2328</v>
      </c>
      <c r="K4" s="3857"/>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858" t="s">
        <v>2332</v>
      </c>
      <c r="B6" s="3859"/>
      <c r="C6" s="3860"/>
      <c r="D6" s="2867"/>
      <c r="E6" s="2868"/>
      <c r="F6" s="2869"/>
      <c r="G6" s="2870"/>
      <c r="H6" s="2845"/>
      <c r="I6" s="2846"/>
      <c r="J6" s="3861">
        <v>1</v>
      </c>
      <c r="K6" s="3862"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861"/>
      <c r="K7" s="3863"/>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865" t="s">
        <v>2346</v>
      </c>
      <c r="C8" s="3866"/>
      <c r="D8" s="2886" t="s">
        <v>2347</v>
      </c>
      <c r="E8" s="2887" t="s">
        <v>2348</v>
      </c>
      <c r="F8" s="2888" t="s">
        <v>2349</v>
      </c>
      <c r="G8" s="2889"/>
      <c r="H8" s="2845"/>
      <c r="I8" s="2846"/>
      <c r="J8" s="3861"/>
      <c r="K8" s="3863"/>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865" t="s">
        <v>2352</v>
      </c>
      <c r="C9" s="3866"/>
      <c r="D9" s="2886">
        <f>ROUND(D6*E9,0)</f>
        <v>0</v>
      </c>
      <c r="E9" s="2890"/>
      <c r="F9" s="2891" t="s">
        <v>2353</v>
      </c>
      <c r="G9" s="2870"/>
      <c r="H9" s="2845"/>
      <c r="I9" s="2846"/>
      <c r="J9" s="3861"/>
      <c r="K9" s="3863"/>
      <c r="L9" s="2880" t="s">
        <v>2354</v>
      </c>
      <c r="M9" s="2881"/>
      <c r="N9" s="2857"/>
      <c r="O9" s="2882"/>
      <c r="P9" s="2882"/>
      <c r="Q9" s="2883">
        <v>365</v>
      </c>
      <c r="R9" s="2884">
        <f t="shared" si="0"/>
        <v>0</v>
      </c>
      <c r="S9" s="2838"/>
      <c r="T9" s="2838"/>
      <c r="U9" s="2838"/>
      <c r="V9" s="2846"/>
    </row>
    <row r="10" spans="1:22" s="2850" customFormat="1" ht="13.15" customHeight="1">
      <c r="A10" s="2885">
        <v>2</v>
      </c>
      <c r="B10" s="3865" t="s">
        <v>2355</v>
      </c>
      <c r="C10" s="3866"/>
      <c r="D10" s="2886">
        <f>ROUND(D6*E10,0)</f>
        <v>0</v>
      </c>
      <c r="E10" s="2890"/>
      <c r="F10" s="2891" t="s">
        <v>2356</v>
      </c>
      <c r="G10" s="2870"/>
      <c r="H10" s="2845"/>
      <c r="I10" s="2846"/>
      <c r="J10" s="3861"/>
      <c r="K10" s="3863"/>
      <c r="L10" s="2880" t="s">
        <v>2357</v>
      </c>
      <c r="M10" s="2881"/>
      <c r="N10" s="2857"/>
      <c r="O10" s="2882"/>
      <c r="P10" s="2882"/>
      <c r="Q10" s="2883">
        <v>365</v>
      </c>
      <c r="R10" s="2884">
        <f t="shared" si="0"/>
        <v>0</v>
      </c>
      <c r="S10" s="2838"/>
      <c r="T10" s="2838"/>
      <c r="U10" s="2838"/>
      <c r="V10" s="2846"/>
    </row>
    <row r="11" spans="1:22" s="2850" customFormat="1" ht="13.15" customHeight="1">
      <c r="A11" s="2885">
        <v>3</v>
      </c>
      <c r="B11" s="3865" t="s">
        <v>2358</v>
      </c>
      <c r="C11" s="3866"/>
      <c r="D11" s="2886">
        <f>D12+D14+D15+D16</f>
        <v>0</v>
      </c>
      <c r="E11" s="2892" t="e">
        <f>D11/D6</f>
        <v>#DIV/0!</v>
      </c>
      <c r="F11" s="2888"/>
      <c r="G11" s="2889"/>
      <c r="H11" s="2845"/>
      <c r="I11" s="2846"/>
      <c r="J11" s="3861"/>
      <c r="K11" s="3863"/>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867" t="s">
        <v>2361</v>
      </c>
      <c r="C12" s="3868"/>
      <c r="D12" s="2894">
        <f>ROUND(D13*1.2%*(1-30%),0)</f>
        <v>0</v>
      </c>
      <c r="E12" s="2895">
        <v>1.2E-2</v>
      </c>
      <c r="F12" s="2888" t="s">
        <v>2362</v>
      </c>
      <c r="G12" s="2889"/>
      <c r="H12" s="2845"/>
      <c r="I12" s="2846"/>
      <c r="J12" s="3861"/>
      <c r="K12" s="3863"/>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861"/>
      <c r="K13" s="3863"/>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867" t="s">
        <v>2367</v>
      </c>
      <c r="C14" s="3868"/>
      <c r="D14" s="2894">
        <f>ROUND(E14*B5/10000,0)</f>
        <v>0</v>
      </c>
      <c r="E14" s="2883"/>
      <c r="F14" s="2888" t="s">
        <v>2368</v>
      </c>
      <c r="G14" s="2889"/>
      <c r="H14" s="2845"/>
      <c r="I14" s="2846"/>
      <c r="J14" s="3861"/>
      <c r="K14" s="3864"/>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867" t="s">
        <v>2371</v>
      </c>
      <c r="C15" s="3868"/>
      <c r="D15" s="2894">
        <f>ROUND(D6*E15,0)</f>
        <v>0</v>
      </c>
      <c r="E15" s="2895">
        <v>5.5E-2</v>
      </c>
      <c r="F15" s="2888" t="s">
        <v>2372</v>
      </c>
      <c r="G15" s="2870"/>
      <c r="H15" s="2845"/>
      <c r="I15" s="2846"/>
      <c r="J15" s="3861">
        <v>2</v>
      </c>
      <c r="K15" s="3862"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867" t="s">
        <v>2380</v>
      </c>
      <c r="C16" s="3868"/>
      <c r="D16" s="2905">
        <f>D6*E16</f>
        <v>0</v>
      </c>
      <c r="E16" s="2906"/>
      <c r="F16" s="2891" t="s">
        <v>2381</v>
      </c>
      <c r="G16" s="2870"/>
      <c r="H16" s="2845"/>
      <c r="I16" s="2846"/>
      <c r="J16" s="3861"/>
      <c r="K16" s="3863"/>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869" t="s">
        <v>2383</v>
      </c>
      <c r="C17" s="3870"/>
      <c r="D17" s="2908">
        <f>ROUND(D6*E17,0)</f>
        <v>0</v>
      </c>
      <c r="E17" s="2909"/>
      <c r="F17" s="2910" t="s">
        <v>2384</v>
      </c>
      <c r="G17" s="2870"/>
      <c r="H17" s="2845"/>
      <c r="I17" s="2846"/>
      <c r="J17" s="3861"/>
      <c r="K17" s="3863"/>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861"/>
      <c r="K18" s="3863"/>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861"/>
      <c r="K19" s="3864"/>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861">
        <v>3</v>
      </c>
      <c r="K20" s="3862"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861"/>
      <c r="K21" s="3863"/>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861"/>
      <c r="K22" s="3863"/>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861"/>
      <c r="K23" s="3863"/>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861"/>
      <c r="K24" s="3864"/>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871">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872"/>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854" t="s">
        <v>2316</v>
      </c>
      <c r="K32" s="3855"/>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856" t="s">
        <v>2326</v>
      </c>
      <c r="K33" s="3857"/>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856" t="s">
        <v>2328</v>
      </c>
      <c r="K34" s="3857"/>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861">
        <v>1</v>
      </c>
      <c r="K36" s="3862"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861"/>
      <c r="K37" s="3863"/>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861"/>
      <c r="K38" s="3863"/>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861"/>
      <c r="K39" s="3863"/>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861"/>
      <c r="K40" s="3864"/>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871">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872"/>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2734</v>
      </c>
      <c r="C2" s="1871" t="s">
        <v>1651</v>
      </c>
      <c r="D2" s="1872" t="s">
        <v>1652</v>
      </c>
      <c r="E2" s="2605">
        <f>SUM(E6:E13)</f>
        <v>4460</v>
      </c>
      <c r="F2" s="2704"/>
      <c r="G2" s="1488"/>
      <c r="H2" s="1488"/>
      <c r="I2" s="1488"/>
      <c r="J2" s="1488"/>
      <c r="K2" s="1488"/>
      <c r="L2" s="1488"/>
      <c r="M2" s="1488"/>
      <c r="N2" s="1488"/>
      <c r="O2" s="1488"/>
      <c r="P2" s="1488"/>
      <c r="Q2" s="1488"/>
      <c r="R2" s="1488"/>
      <c r="S2" s="1488"/>
    </row>
    <row r="3" spans="1:22" ht="15.75">
      <c r="A3" s="1869" t="s">
        <v>686</v>
      </c>
      <c r="B3" s="2599">
        <f ca="1">ROUND(B2*10000/E2,0)</f>
        <v>6130</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1" t="s">
        <v>1653</v>
      </c>
      <c r="B5" s="3873" t="s">
        <v>1654</v>
      </c>
      <c r="C5" s="3874"/>
      <c r="D5" s="2705"/>
      <c r="E5" s="1873" t="s">
        <v>1655</v>
      </c>
      <c r="F5" s="1874" t="s">
        <v>1656</v>
      </c>
      <c r="G5" s="1488"/>
      <c r="H5" s="1488"/>
      <c r="I5" s="1488"/>
      <c r="J5" s="1488"/>
      <c r="K5" s="1488"/>
      <c r="L5" s="1488"/>
      <c r="M5" s="1488"/>
      <c r="N5" s="1488"/>
      <c r="O5" s="1488"/>
      <c r="P5" s="1488"/>
      <c r="Q5" s="1488"/>
      <c r="R5" s="1488"/>
      <c r="S5" s="1488"/>
    </row>
    <row r="6" spans="1:22">
      <c r="A6" s="2602" t="str">
        <f>'数据-取费表'!AN6</f>
        <v>收益法</v>
      </c>
      <c r="B6" s="2600">
        <f ca="1">IF(F6="是",'数据-取费表'!AO6,0)</f>
        <v>2734</v>
      </c>
      <c r="C6" s="1871" t="s">
        <v>1651</v>
      </c>
      <c r="D6" s="2706"/>
      <c r="E6" s="2604">
        <f>IF(OR(A6=0,F6="否"),0,'数据-取费表'!K6+'数据-取费表'!S6)</f>
        <v>4460</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6"/>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6"/>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6"/>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6"/>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6"/>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6"/>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7"/>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中行：</v>
      </c>
    </row>
    <row r="4" spans="1:1" ht="36">
      <c r="A4" s="1479" t="str">
        <f>"受贵公司委托，我公司对"&amp;项目基本情况!S1&amp;"进行了预评估。"</f>
        <v>受贵公司委托，我公司对北京市延庆区延庆镇东街2号（北侧）-1层地下室等[2]套商业用房房地产抵押价值进行了预评估。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估价对象为北京市延庆区延庆镇东街2号（北侧）-1层地下室等[2]套商业用房房地产，为所有。根据《国有土地使用证》[]，估价对象（分摊）出让国有建设用地使用权面积为1510.07平方米，建筑面积为4460平方米。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延庆镇东街2号（北侧）-1层地下室等[2]套商业用房房地产,属开发建设的综合项目（商业、办公），该项目尚在开发建设中。根据《国有土地使用证》[]，估价对象（分摊）出让国有建设用地使用权面积为1510.07平方米，规划建筑面积为4460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2025年2月18日（评估专业人员实地查勘之日）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4460</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ht="15">
      <c r="A4" s="355" t="s">
        <v>1666</v>
      </c>
      <c r="B4" s="356"/>
      <c r="C4" s="3824" t="s">
        <v>1667</v>
      </c>
      <c r="D4" s="3825"/>
      <c r="E4" s="3826" t="s">
        <v>1668</v>
      </c>
      <c r="F4" s="3827"/>
      <c r="G4" s="3824" t="s">
        <v>1669</v>
      </c>
      <c r="H4" s="3825"/>
      <c r="I4" s="3824" t="s">
        <v>1670</v>
      </c>
      <c r="J4" s="3825"/>
      <c r="K4" s="1888" t="s">
        <v>1671</v>
      </c>
      <c r="L4" s="2712"/>
      <c r="M4" s="2713"/>
      <c r="N4" s="2713"/>
      <c r="O4" s="2713"/>
      <c r="P4" s="3880" t="s">
        <v>1672</v>
      </c>
      <c r="Q4" s="3881"/>
      <c r="R4" s="3876" t="s">
        <v>1668</v>
      </c>
      <c r="S4" s="3877"/>
      <c r="T4" s="3876" t="s">
        <v>1669</v>
      </c>
      <c r="U4" s="3877"/>
      <c r="V4" s="3837" t="s">
        <v>1670</v>
      </c>
      <c r="W4" s="3837"/>
      <c r="X4" s="1354"/>
      <c r="Y4" s="3876" t="s">
        <v>1672</v>
      </c>
      <c r="Z4" s="3877"/>
      <c r="AA4" s="3875" t="s">
        <v>1668</v>
      </c>
      <c r="AB4" s="3875" t="s">
        <v>1669</v>
      </c>
      <c r="AC4" s="3875" t="s">
        <v>1670</v>
      </c>
    </row>
    <row r="5" spans="1:29" ht="15">
      <c r="A5" s="358"/>
      <c r="B5" s="359"/>
      <c r="C5" s="3879" t="s">
        <v>1673</v>
      </c>
      <c r="D5" s="3815"/>
      <c r="E5" s="3878" t="s">
        <v>1674</v>
      </c>
      <c r="F5" s="3813"/>
      <c r="G5" s="3879" t="s">
        <v>1675</v>
      </c>
      <c r="H5" s="3815"/>
      <c r="I5" s="3879" t="s">
        <v>1676</v>
      </c>
      <c r="J5" s="3815"/>
      <c r="K5" s="1889"/>
      <c r="L5" s="2712"/>
      <c r="M5" s="2713"/>
      <c r="N5" s="2713"/>
      <c r="O5" s="2713"/>
      <c r="P5" s="3882"/>
      <c r="Q5" s="3831"/>
      <c r="R5" s="3810"/>
      <c r="S5" s="3811"/>
      <c r="T5" s="3810"/>
      <c r="U5" s="3811"/>
      <c r="V5" s="3837"/>
      <c r="W5" s="3837"/>
      <c r="X5" s="1354"/>
      <c r="Y5" s="3810"/>
      <c r="Z5" s="3811"/>
      <c r="AA5" s="3804"/>
      <c r="AB5" s="3804"/>
      <c r="AC5" s="3804"/>
    </row>
    <row r="6" spans="1:29" ht="15.75" thickBot="1">
      <c r="A6" s="360"/>
      <c r="B6" s="361"/>
      <c r="C6" s="3816" t="s">
        <v>1677</v>
      </c>
      <c r="D6" s="3817"/>
      <c r="E6" s="3818" t="s">
        <v>1677</v>
      </c>
      <c r="F6" s="3819"/>
      <c r="G6" s="3816" t="s">
        <v>1677</v>
      </c>
      <c r="H6" s="3817"/>
      <c r="I6" s="3816" t="s">
        <v>1677</v>
      </c>
      <c r="J6" s="3817"/>
      <c r="K6" s="1889" t="s">
        <v>1678</v>
      </c>
      <c r="L6" s="2712"/>
      <c r="M6" s="2713"/>
      <c r="N6" s="2713"/>
      <c r="O6" s="2713"/>
      <c r="P6" s="3883"/>
      <c r="Q6" s="3833"/>
      <c r="R6" s="3810"/>
      <c r="S6" s="3811"/>
      <c r="T6" s="3834"/>
      <c r="U6" s="3835"/>
      <c r="V6" s="3837"/>
      <c r="W6" s="3837"/>
      <c r="X6" s="1354"/>
      <c r="Y6" s="3834"/>
      <c r="Z6" s="3835"/>
      <c r="AA6" s="3805"/>
      <c r="AB6" s="3805"/>
      <c r="AC6" s="3805"/>
    </row>
    <row r="7" spans="1:29" s="108" customFormat="1" ht="15.75" thickBot="1">
      <c r="A7" s="362" t="s">
        <v>1679</v>
      </c>
      <c r="B7" s="363"/>
      <c r="C7" s="364">
        <f>'数据-取费表'!B2</f>
        <v>45706</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806" t="s">
        <v>1680</v>
      </c>
      <c r="Q7" s="3839"/>
      <c r="R7" s="700" t="s">
        <v>20</v>
      </c>
      <c r="S7" s="701">
        <f t="shared" ref="S7:S15" si="0">F7</f>
        <v>0</v>
      </c>
      <c r="T7" s="700" t="s">
        <v>20</v>
      </c>
      <c r="U7" s="701">
        <f t="shared" ref="U7:U15" si="1">H7</f>
        <v>0</v>
      </c>
      <c r="V7" s="700" t="s">
        <v>20</v>
      </c>
      <c r="W7" s="701">
        <f t="shared" ref="W7:W15" si="2">J7</f>
        <v>0</v>
      </c>
      <c r="X7" s="702"/>
      <c r="Y7" s="3806" t="s">
        <v>1680</v>
      </c>
      <c r="Z7" s="3807"/>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806" t="s">
        <v>1683</v>
      </c>
      <c r="Q8" s="3807"/>
      <c r="R8" s="700" t="s">
        <v>20</v>
      </c>
      <c r="S8" s="701">
        <f t="shared" si="0"/>
        <v>100</v>
      </c>
      <c r="T8" s="700" t="s">
        <v>20</v>
      </c>
      <c r="U8" s="701">
        <f t="shared" si="1"/>
        <v>100</v>
      </c>
      <c r="V8" s="700" t="s">
        <v>20</v>
      </c>
      <c r="W8" s="701">
        <f t="shared" si="2"/>
        <v>100</v>
      </c>
      <c r="X8" s="702"/>
      <c r="Y8" s="3806" t="s">
        <v>1683</v>
      </c>
      <c r="Z8" s="3807"/>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820" t="s">
        <v>1686</v>
      </c>
      <c r="Q9" s="1342" t="str">
        <f t="shared" ref="Q9:Q15" si="6">B9</f>
        <v>用途</v>
      </c>
      <c r="R9" s="700" t="s">
        <v>14</v>
      </c>
      <c r="S9" s="701">
        <f t="shared" si="0"/>
        <v>100</v>
      </c>
      <c r="T9" s="700" t="s">
        <v>14</v>
      </c>
      <c r="U9" s="701">
        <f t="shared" si="1"/>
        <v>100</v>
      </c>
      <c r="V9" s="700" t="s">
        <v>14</v>
      </c>
      <c r="W9" s="701">
        <f t="shared" si="2"/>
        <v>100</v>
      </c>
      <c r="X9" s="702"/>
      <c r="Y9" s="3752"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820"/>
      <c r="Q10" s="1342" t="str">
        <f t="shared" si="6"/>
        <v>土地使用年限（年）</v>
      </c>
      <c r="R10" s="700" t="s">
        <v>14</v>
      </c>
      <c r="S10" s="701">
        <f t="shared" si="0"/>
        <v>100</v>
      </c>
      <c r="T10" s="700" t="s">
        <v>14</v>
      </c>
      <c r="U10" s="701">
        <f t="shared" si="1"/>
        <v>100</v>
      </c>
      <c r="V10" s="700" t="s">
        <v>14</v>
      </c>
      <c r="W10" s="701">
        <f t="shared" si="2"/>
        <v>100</v>
      </c>
      <c r="X10" s="702"/>
      <c r="Y10" s="375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820"/>
      <c r="Q11" s="1342" t="str">
        <f t="shared" si="6"/>
        <v>容积率</v>
      </c>
      <c r="R11" s="700" t="s">
        <v>18</v>
      </c>
      <c r="S11" s="701" t="e">
        <f t="shared" si="0"/>
        <v>#N/A</v>
      </c>
      <c r="T11" s="700" t="s">
        <v>18</v>
      </c>
      <c r="U11" s="701" t="e">
        <f t="shared" si="1"/>
        <v>#N/A</v>
      </c>
      <c r="V11" s="700" t="s">
        <v>18</v>
      </c>
      <c r="W11" s="701" t="e">
        <f t="shared" si="2"/>
        <v>#N/A</v>
      </c>
      <c r="X11" s="702"/>
      <c r="Y11" s="375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820"/>
      <c r="Q12" s="1342">
        <f t="shared" si="6"/>
        <v>111</v>
      </c>
      <c r="R12" s="700" t="s">
        <v>18</v>
      </c>
      <c r="S12" s="701">
        <f t="shared" si="0"/>
        <v>100</v>
      </c>
      <c r="T12" s="700" t="s">
        <v>18</v>
      </c>
      <c r="U12" s="701">
        <f t="shared" si="1"/>
        <v>100</v>
      </c>
      <c r="V12" s="700" t="s">
        <v>18</v>
      </c>
      <c r="W12" s="701">
        <f t="shared" si="2"/>
        <v>100</v>
      </c>
      <c r="X12" s="702"/>
      <c r="Y12" s="375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820"/>
      <c r="Q13" s="1342">
        <f t="shared" si="6"/>
        <v>111</v>
      </c>
      <c r="R13" s="700" t="s">
        <v>18</v>
      </c>
      <c r="S13" s="701">
        <f t="shared" si="0"/>
        <v>100</v>
      </c>
      <c r="T13" s="700" t="s">
        <v>18</v>
      </c>
      <c r="U13" s="701">
        <f t="shared" si="1"/>
        <v>100</v>
      </c>
      <c r="V13" s="700" t="s">
        <v>18</v>
      </c>
      <c r="W13" s="701">
        <f t="shared" si="2"/>
        <v>100</v>
      </c>
      <c r="X13" s="702"/>
      <c r="Y13" s="375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820"/>
      <c r="Q14" s="1342">
        <f t="shared" si="6"/>
        <v>111</v>
      </c>
      <c r="R14" s="700" t="s">
        <v>18</v>
      </c>
      <c r="S14" s="701">
        <f t="shared" si="0"/>
        <v>100</v>
      </c>
      <c r="T14" s="700" t="s">
        <v>18</v>
      </c>
      <c r="U14" s="701">
        <f t="shared" si="1"/>
        <v>100</v>
      </c>
      <c r="V14" s="700" t="s">
        <v>18</v>
      </c>
      <c r="W14" s="701">
        <f t="shared" si="2"/>
        <v>100</v>
      </c>
      <c r="X14" s="702"/>
      <c r="Y14" s="3752"/>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840" t="s">
        <v>1691</v>
      </c>
      <c r="Q15" s="1351" t="str">
        <f t="shared" si="6"/>
        <v>居住社区成熟度</v>
      </c>
      <c r="R15" s="704" t="s">
        <v>18</v>
      </c>
      <c r="S15" s="705">
        <f t="shared" si="0"/>
        <v>100</v>
      </c>
      <c r="T15" s="704" t="s">
        <v>18</v>
      </c>
      <c r="U15" s="705">
        <f t="shared" si="1"/>
        <v>100</v>
      </c>
      <c r="V15" s="704" t="s">
        <v>18</v>
      </c>
      <c r="W15" s="705">
        <f t="shared" si="2"/>
        <v>100</v>
      </c>
      <c r="X15" s="1354"/>
      <c r="Y15" s="3842"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841"/>
      <c r="Q16" s="1351"/>
      <c r="R16" s="704"/>
      <c r="S16" s="705"/>
      <c r="T16" s="704"/>
      <c r="U16" s="705"/>
      <c r="V16" s="704"/>
      <c r="W16" s="705"/>
      <c r="X16" s="1354"/>
      <c r="Y16" s="3843"/>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841"/>
      <c r="Q17" s="1351" t="str">
        <f>B17</f>
        <v>交通便捷度</v>
      </c>
      <c r="R17" s="704" t="s">
        <v>18</v>
      </c>
      <c r="S17" s="705">
        <f>F17</f>
        <v>100</v>
      </c>
      <c r="T17" s="704" t="s">
        <v>18</v>
      </c>
      <c r="U17" s="705">
        <f>H17</f>
        <v>100</v>
      </c>
      <c r="V17" s="704" t="s">
        <v>18</v>
      </c>
      <c r="W17" s="705">
        <f>J17</f>
        <v>100</v>
      </c>
      <c r="X17" s="1354"/>
      <c r="Y17" s="3843"/>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841"/>
      <c r="Q18" s="1351"/>
      <c r="R18" s="704"/>
      <c r="S18" s="705"/>
      <c r="T18" s="704"/>
      <c r="U18" s="705"/>
      <c r="V18" s="704"/>
      <c r="W18" s="705"/>
      <c r="X18" s="1354"/>
      <c r="Y18" s="3843"/>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841"/>
      <c r="Q19" s="1351" t="str">
        <f>B19</f>
        <v>公共配套设施</v>
      </c>
      <c r="R19" s="704" t="s">
        <v>18</v>
      </c>
      <c r="S19" s="705">
        <f>F19</f>
        <v>100</v>
      </c>
      <c r="T19" s="704" t="s">
        <v>18</v>
      </c>
      <c r="U19" s="705">
        <f>H19</f>
        <v>100</v>
      </c>
      <c r="V19" s="704" t="s">
        <v>18</v>
      </c>
      <c r="W19" s="705">
        <f>J19</f>
        <v>100</v>
      </c>
      <c r="X19" s="1354"/>
      <c r="Y19" s="3843"/>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841"/>
      <c r="Q20" s="1351"/>
      <c r="R20" s="704"/>
      <c r="S20" s="705"/>
      <c r="T20" s="704"/>
      <c r="U20" s="705"/>
      <c r="V20" s="704"/>
      <c r="W20" s="705"/>
      <c r="X20" s="1354"/>
      <c r="Y20" s="3843"/>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841"/>
      <c r="Q21" s="1351" t="str">
        <f>B21</f>
        <v>基础设施水平</v>
      </c>
      <c r="R21" s="704" t="s">
        <v>14</v>
      </c>
      <c r="S21" s="705">
        <f>F21</f>
        <v>100</v>
      </c>
      <c r="T21" s="704" t="s">
        <v>14</v>
      </c>
      <c r="U21" s="705">
        <f>H21</f>
        <v>100</v>
      </c>
      <c r="V21" s="704" t="s">
        <v>14</v>
      </c>
      <c r="W21" s="705">
        <f>J21</f>
        <v>100</v>
      </c>
      <c r="X21" s="1354"/>
      <c r="Y21" s="384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9"/>
      <c r="M22" s="2713"/>
      <c r="N22" s="2713"/>
      <c r="O22" s="2713"/>
      <c r="P22" s="3841"/>
      <c r="Q22" s="1351"/>
      <c r="R22" s="704"/>
      <c r="S22" s="705"/>
      <c r="T22" s="704"/>
      <c r="U22" s="705"/>
      <c r="V22" s="704"/>
      <c r="W22" s="705"/>
      <c r="X22" s="1354"/>
      <c r="Y22" s="3843"/>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841"/>
      <c r="Q23" s="1351" t="str">
        <f>B23</f>
        <v>自然及人文环境</v>
      </c>
      <c r="R23" s="704" t="s">
        <v>18</v>
      </c>
      <c r="S23" s="705">
        <f>F23</f>
        <v>100</v>
      </c>
      <c r="T23" s="704" t="s">
        <v>18</v>
      </c>
      <c r="U23" s="705">
        <f>H23</f>
        <v>100</v>
      </c>
      <c r="V23" s="704" t="s">
        <v>18</v>
      </c>
      <c r="W23" s="705">
        <f>J23</f>
        <v>100</v>
      </c>
      <c r="X23" s="1354"/>
      <c r="Y23" s="3843"/>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841"/>
      <c r="Q24" s="1351"/>
      <c r="R24" s="704"/>
      <c r="S24" s="705"/>
      <c r="T24" s="704"/>
      <c r="U24" s="705"/>
      <c r="V24" s="704"/>
      <c r="W24" s="705"/>
      <c r="X24" s="1354"/>
      <c r="Y24" s="3843"/>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841"/>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843"/>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841"/>
      <c r="Q26" s="1351" t="str">
        <f t="shared" si="11"/>
        <v>朝向</v>
      </c>
      <c r="R26" s="704" t="s">
        <v>18</v>
      </c>
      <c r="S26" s="705">
        <f t="shared" si="12"/>
        <v>100</v>
      </c>
      <c r="T26" s="704" t="s">
        <v>18</v>
      </c>
      <c r="U26" s="705">
        <f t="shared" si="13"/>
        <v>100</v>
      </c>
      <c r="V26" s="704" t="s">
        <v>18</v>
      </c>
      <c r="W26" s="705">
        <f t="shared" si="14"/>
        <v>100</v>
      </c>
      <c r="X26" s="1354"/>
      <c r="Y26" s="3843"/>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841"/>
      <c r="Q27" s="1342">
        <f t="shared" si="11"/>
        <v>111</v>
      </c>
      <c r="R27" s="700" t="s">
        <v>18</v>
      </c>
      <c r="S27" s="701">
        <f t="shared" si="12"/>
        <v>100</v>
      </c>
      <c r="T27" s="700" t="s">
        <v>18</v>
      </c>
      <c r="U27" s="701">
        <f t="shared" si="13"/>
        <v>100</v>
      </c>
      <c r="V27" s="700" t="s">
        <v>18</v>
      </c>
      <c r="W27" s="701">
        <f t="shared" si="14"/>
        <v>100</v>
      </c>
      <c r="X27" s="702"/>
      <c r="Y27" s="3843"/>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841"/>
      <c r="Q28" s="1351">
        <f t="shared" si="11"/>
        <v>111</v>
      </c>
      <c r="R28" s="704" t="s">
        <v>18</v>
      </c>
      <c r="S28" s="705">
        <f t="shared" si="12"/>
        <v>100</v>
      </c>
      <c r="T28" s="704" t="s">
        <v>18</v>
      </c>
      <c r="U28" s="705">
        <f t="shared" si="13"/>
        <v>100</v>
      </c>
      <c r="V28" s="704" t="s">
        <v>18</v>
      </c>
      <c r="W28" s="705">
        <f t="shared" si="14"/>
        <v>100</v>
      </c>
      <c r="X28" s="1354"/>
      <c r="Y28" s="3843"/>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841"/>
      <c r="Q29" s="1351">
        <f t="shared" si="11"/>
        <v>111</v>
      </c>
      <c r="R29" s="704" t="s">
        <v>18</v>
      </c>
      <c r="S29" s="705">
        <f t="shared" si="12"/>
        <v>100</v>
      </c>
      <c r="T29" s="704" t="s">
        <v>18</v>
      </c>
      <c r="U29" s="705">
        <f t="shared" si="13"/>
        <v>100</v>
      </c>
      <c r="V29" s="704" t="s">
        <v>18</v>
      </c>
      <c r="W29" s="705">
        <f t="shared" si="14"/>
        <v>100</v>
      </c>
      <c r="X29" s="1354"/>
      <c r="Y29" s="3843"/>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841"/>
      <c r="Q30" s="1351">
        <f t="shared" si="11"/>
        <v>111</v>
      </c>
      <c r="R30" s="704" t="s">
        <v>18</v>
      </c>
      <c r="S30" s="705">
        <f t="shared" si="12"/>
        <v>100</v>
      </c>
      <c r="T30" s="704" t="s">
        <v>18</v>
      </c>
      <c r="U30" s="705">
        <f t="shared" si="13"/>
        <v>100</v>
      </c>
      <c r="V30" s="704" t="s">
        <v>18</v>
      </c>
      <c r="W30" s="705">
        <f t="shared" si="14"/>
        <v>100</v>
      </c>
      <c r="X30" s="1354"/>
      <c r="Y30" s="3843"/>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841"/>
      <c r="Q31" s="1351">
        <f t="shared" si="11"/>
        <v>111</v>
      </c>
      <c r="R31" s="704" t="s">
        <v>18</v>
      </c>
      <c r="S31" s="705">
        <f t="shared" si="12"/>
        <v>100</v>
      </c>
      <c r="T31" s="704" t="s">
        <v>18</v>
      </c>
      <c r="U31" s="705">
        <f t="shared" si="13"/>
        <v>100</v>
      </c>
      <c r="V31" s="704" t="s">
        <v>18</v>
      </c>
      <c r="W31" s="705">
        <f t="shared" si="14"/>
        <v>100</v>
      </c>
      <c r="X31" s="1354"/>
      <c r="Y31" s="3843"/>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844" t="s">
        <v>1696</v>
      </c>
      <c r="Q32" s="1351" t="str">
        <f t="shared" si="11"/>
        <v>建筑类型</v>
      </c>
      <c r="R32" s="704" t="s">
        <v>18</v>
      </c>
      <c r="S32" s="705">
        <f t="shared" si="12"/>
        <v>100</v>
      </c>
      <c r="T32" s="704" t="s">
        <v>18</v>
      </c>
      <c r="U32" s="705">
        <f t="shared" si="13"/>
        <v>100</v>
      </c>
      <c r="V32" s="704" t="s">
        <v>18</v>
      </c>
      <c r="W32" s="705">
        <f t="shared" si="14"/>
        <v>100</v>
      </c>
      <c r="X32" s="1354"/>
      <c r="Y32" s="3847"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845"/>
      <c r="Q33" s="706" t="str">
        <f t="shared" si="11"/>
        <v>项目建筑规模</v>
      </c>
      <c r="R33" s="707" t="s">
        <v>18</v>
      </c>
      <c r="S33" s="708" t="e">
        <f t="shared" si="12"/>
        <v>#N/A</v>
      </c>
      <c r="T33" s="707" t="s">
        <v>18</v>
      </c>
      <c r="U33" s="708" t="e">
        <f t="shared" si="13"/>
        <v>#N/A</v>
      </c>
      <c r="V33" s="707" t="s">
        <v>18</v>
      </c>
      <c r="W33" s="708" t="e">
        <f t="shared" si="14"/>
        <v>#N/A</v>
      </c>
      <c r="X33" s="709"/>
      <c r="Y33" s="3847"/>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845"/>
      <c r="Q34" s="1351" t="str">
        <f t="shared" si="11"/>
        <v>建筑结构</v>
      </c>
      <c r="R34" s="704" t="s">
        <v>18</v>
      </c>
      <c r="S34" s="705">
        <f t="shared" si="12"/>
        <v>100</v>
      </c>
      <c r="T34" s="704" t="s">
        <v>18</v>
      </c>
      <c r="U34" s="705">
        <f t="shared" si="13"/>
        <v>100</v>
      </c>
      <c r="V34" s="704" t="s">
        <v>18</v>
      </c>
      <c r="W34" s="705">
        <f t="shared" si="14"/>
        <v>100</v>
      </c>
      <c r="X34" s="1354"/>
      <c r="Y34" s="3847"/>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845"/>
      <c r="Q35" s="1351" t="str">
        <f t="shared" si="11"/>
        <v>建筑品质</v>
      </c>
      <c r="R35" s="704" t="s">
        <v>18</v>
      </c>
      <c r="S35" s="705">
        <f t="shared" si="12"/>
        <v>100</v>
      </c>
      <c r="T35" s="704" t="s">
        <v>18</v>
      </c>
      <c r="U35" s="705">
        <f t="shared" si="13"/>
        <v>100</v>
      </c>
      <c r="V35" s="704" t="s">
        <v>18</v>
      </c>
      <c r="W35" s="705">
        <f t="shared" si="14"/>
        <v>100</v>
      </c>
      <c r="X35" s="1354"/>
      <c r="Y35" s="3847"/>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845"/>
      <c r="Q36" s="1351" t="str">
        <f t="shared" si="11"/>
        <v>公共部分装修</v>
      </c>
      <c r="R36" s="704" t="s">
        <v>18</v>
      </c>
      <c r="S36" s="705">
        <f t="shared" si="12"/>
        <v>100</v>
      </c>
      <c r="T36" s="704" t="s">
        <v>18</v>
      </c>
      <c r="U36" s="705">
        <f t="shared" si="13"/>
        <v>100</v>
      </c>
      <c r="V36" s="704" t="s">
        <v>18</v>
      </c>
      <c r="W36" s="705">
        <f t="shared" si="14"/>
        <v>100</v>
      </c>
      <c r="X36" s="1354"/>
      <c r="Y36" s="3847"/>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845"/>
      <c r="Q37" s="1342" t="str">
        <f t="shared" si="11"/>
        <v>成新度</v>
      </c>
      <c r="R37" s="700" t="s">
        <v>18</v>
      </c>
      <c r="S37" s="701" t="e">
        <f t="shared" si="12"/>
        <v>#N/A</v>
      </c>
      <c r="T37" s="700" t="s">
        <v>18</v>
      </c>
      <c r="U37" s="701" t="e">
        <f t="shared" si="13"/>
        <v>#N/A</v>
      </c>
      <c r="V37" s="700" t="s">
        <v>18</v>
      </c>
      <c r="W37" s="701" t="e">
        <f t="shared" si="14"/>
        <v>#N/A</v>
      </c>
      <c r="X37" s="702"/>
      <c r="Y37" s="3847"/>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845" t="s">
        <v>1696</v>
      </c>
      <c r="Q38" s="1351" t="str">
        <f t="shared" si="11"/>
        <v>物业管理</v>
      </c>
      <c r="R38" s="704" t="s">
        <v>18</v>
      </c>
      <c r="S38" s="705">
        <f t="shared" si="12"/>
        <v>100</v>
      </c>
      <c r="T38" s="704" t="s">
        <v>18</v>
      </c>
      <c r="U38" s="705">
        <f t="shared" si="13"/>
        <v>100</v>
      </c>
      <c r="V38" s="704" t="s">
        <v>18</v>
      </c>
      <c r="W38" s="705">
        <f t="shared" si="14"/>
        <v>100</v>
      </c>
      <c r="X38" s="1354"/>
      <c r="Y38" s="3847"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845"/>
      <c r="Q39" s="1351" t="str">
        <f t="shared" si="11"/>
        <v>市政基础设施</v>
      </c>
      <c r="R39" s="704" t="s">
        <v>18</v>
      </c>
      <c r="S39" s="705">
        <f t="shared" si="12"/>
        <v>100</v>
      </c>
      <c r="T39" s="704" t="s">
        <v>18</v>
      </c>
      <c r="U39" s="705">
        <f t="shared" si="13"/>
        <v>100</v>
      </c>
      <c r="V39" s="704" t="s">
        <v>18</v>
      </c>
      <c r="W39" s="705">
        <f t="shared" si="14"/>
        <v>100</v>
      </c>
      <c r="X39" s="1354"/>
      <c r="Y39" s="3847"/>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845"/>
      <c r="Q40" s="1351" t="str">
        <f t="shared" si="11"/>
        <v>房型</v>
      </c>
      <c r="R40" s="704" t="s">
        <v>18</v>
      </c>
      <c r="S40" s="705">
        <f t="shared" si="12"/>
        <v>100</v>
      </c>
      <c r="T40" s="704" t="s">
        <v>18</v>
      </c>
      <c r="U40" s="705">
        <f t="shared" si="13"/>
        <v>100</v>
      </c>
      <c r="V40" s="704" t="s">
        <v>18</v>
      </c>
      <c r="W40" s="705">
        <f t="shared" si="14"/>
        <v>100</v>
      </c>
      <c r="X40" s="1354"/>
      <c r="Y40" s="3847"/>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845"/>
      <c r="Q41" s="706" t="str">
        <f t="shared" si="11"/>
        <v>单套/主力户型建筑面积</v>
      </c>
      <c r="R41" s="707" t="s">
        <v>18</v>
      </c>
      <c r="S41" s="708">
        <f t="shared" si="12"/>
        <v>100</v>
      </c>
      <c r="T41" s="707" t="s">
        <v>18</v>
      </c>
      <c r="U41" s="708">
        <f t="shared" si="13"/>
        <v>100</v>
      </c>
      <c r="V41" s="707" t="s">
        <v>18</v>
      </c>
      <c r="W41" s="708">
        <f t="shared" si="14"/>
        <v>100</v>
      </c>
      <c r="X41" s="709"/>
      <c r="Y41" s="3847"/>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845"/>
      <c r="Q42" s="1351" t="str">
        <f t="shared" si="11"/>
        <v>内部装修</v>
      </c>
      <c r="R42" s="704" t="s">
        <v>18</v>
      </c>
      <c r="S42" s="705">
        <f t="shared" si="12"/>
        <v>100</v>
      </c>
      <c r="T42" s="704" t="s">
        <v>18</v>
      </c>
      <c r="U42" s="705">
        <f t="shared" si="13"/>
        <v>100</v>
      </c>
      <c r="V42" s="704" t="s">
        <v>18</v>
      </c>
      <c r="W42" s="705">
        <f t="shared" si="14"/>
        <v>100</v>
      </c>
      <c r="X42" s="1354"/>
      <c r="Y42" s="3847"/>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845"/>
      <c r="Q43" s="1351" t="str">
        <f t="shared" si="11"/>
        <v>内部装修维护情况</v>
      </c>
      <c r="R43" s="704" t="s">
        <v>18</v>
      </c>
      <c r="S43" s="705">
        <f t="shared" si="12"/>
        <v>100</v>
      </c>
      <c r="T43" s="704" t="s">
        <v>18</v>
      </c>
      <c r="U43" s="705">
        <f t="shared" si="13"/>
        <v>100</v>
      </c>
      <c r="V43" s="704" t="s">
        <v>18</v>
      </c>
      <c r="W43" s="705">
        <f t="shared" si="14"/>
        <v>100</v>
      </c>
      <c r="X43" s="1354"/>
      <c r="Y43" s="3847"/>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845"/>
      <c r="Q44" s="1342">
        <f t="shared" si="11"/>
        <v>111</v>
      </c>
      <c r="R44" s="700" t="s">
        <v>18</v>
      </c>
      <c r="S44" s="701">
        <f t="shared" si="12"/>
        <v>100</v>
      </c>
      <c r="T44" s="700" t="s">
        <v>18</v>
      </c>
      <c r="U44" s="701">
        <f t="shared" si="13"/>
        <v>100</v>
      </c>
      <c r="V44" s="700" t="s">
        <v>18</v>
      </c>
      <c r="W44" s="701">
        <f t="shared" si="14"/>
        <v>100</v>
      </c>
      <c r="X44" s="702"/>
      <c r="Y44" s="3847"/>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845"/>
      <c r="Q45" s="1351">
        <f t="shared" si="11"/>
        <v>111</v>
      </c>
      <c r="R45" s="704" t="s">
        <v>18</v>
      </c>
      <c r="S45" s="705">
        <f t="shared" si="12"/>
        <v>100</v>
      </c>
      <c r="T45" s="704" t="s">
        <v>18</v>
      </c>
      <c r="U45" s="705">
        <f t="shared" si="13"/>
        <v>100</v>
      </c>
      <c r="V45" s="704" t="s">
        <v>18</v>
      </c>
      <c r="W45" s="705">
        <f t="shared" si="14"/>
        <v>100</v>
      </c>
      <c r="X45" s="1354"/>
      <c r="Y45" s="3847"/>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846"/>
      <c r="Q46" s="1351">
        <f t="shared" si="11"/>
        <v>111</v>
      </c>
      <c r="R46" s="704" t="s">
        <v>17</v>
      </c>
      <c r="S46" s="705">
        <f t="shared" si="12"/>
        <v>100</v>
      </c>
      <c r="T46" s="704" t="s">
        <v>17</v>
      </c>
      <c r="U46" s="705">
        <f t="shared" si="13"/>
        <v>100</v>
      </c>
      <c r="V46" s="704" t="s">
        <v>17</v>
      </c>
      <c r="W46" s="705">
        <f t="shared" si="14"/>
        <v>100</v>
      </c>
      <c r="X46" s="1354"/>
      <c r="Y46" s="3848"/>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1"/>
      <c r="M47" s="2722"/>
      <c r="N47" s="2713"/>
      <c r="O47" s="2722"/>
      <c r="P47" s="3849" t="str">
        <f>A47</f>
        <v>成交单价（元/平方米）</v>
      </c>
      <c r="Q47" s="3849"/>
      <c r="R47" s="3850">
        <f>E47</f>
        <v>0</v>
      </c>
      <c r="S47" s="3850"/>
      <c r="T47" s="3850">
        <f>G47</f>
        <v>0</v>
      </c>
      <c r="U47" s="3850"/>
      <c r="V47" s="3850">
        <f>I47</f>
        <v>0</v>
      </c>
      <c r="W47" s="3850"/>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1"/>
      <c r="M48" s="2722"/>
      <c r="N48" s="2722"/>
      <c r="O48" s="2722"/>
      <c r="P48" s="3849" t="str">
        <f>A48</f>
        <v>比较价值（元/平方米）</v>
      </c>
      <c r="Q48" s="3849"/>
      <c r="R48" s="3850" t="e">
        <f>IF(F1="售价",ROUND(PRODUCT(R47,AA7:AA46),0),ROUND(PRODUCT(R47,AA7:AA46),1))</f>
        <v>#DIV/0!</v>
      </c>
      <c r="S48" s="3850"/>
      <c r="T48" s="3850" t="e">
        <f>IF(F1="售价",ROUND(PRODUCT(T47,AB7:AB46),0),ROUND(PRODUCT(T47,AB7:AB46),1))</f>
        <v>#DIV/0!</v>
      </c>
      <c r="U48" s="3850"/>
      <c r="V48" s="3850" t="e">
        <f>IF(F1="售价",ROUND(PRODUCT(V47,AC7:AC46),0),ROUND(PRODUCT(V47,AC7:AC46),1))</f>
        <v>#DIV/0!</v>
      </c>
      <c r="W48" s="3850"/>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1"/>
      <c r="M49" s="2722"/>
      <c r="N49" s="2722"/>
      <c r="O49" s="2722"/>
      <c r="P49" s="3884" t="str">
        <f>A49</f>
        <v>估价对象XX用房的比较价值（楼面单价，元/平方米）</v>
      </c>
      <c r="Q49" s="3885"/>
      <c r="R49" s="3886" t="e">
        <f>IF(F1="售价",ROUND(IF(D48="简单平均",AVERAGE(R48:V48),R48*F48+T48*H48+V48*J48),0),ROUND(IF(D48="简单平均",AVERAGE(R48:V48),R48*F48+T48*H48+V48*J48),1))</f>
        <v>#DIV/0!</v>
      </c>
      <c r="S49" s="3886"/>
      <c r="T49" s="3886"/>
      <c r="U49" s="3886"/>
      <c r="V49" s="3886"/>
      <c r="W49" s="3886"/>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2025-2</v>
      </c>
      <c r="D58" s="1184">
        <f>EDATE(C58,-1)</f>
        <v>45658</v>
      </c>
      <c r="E58" s="1184">
        <f>EDATE(D58,-1)</f>
        <v>45627</v>
      </c>
      <c r="F58" s="1184">
        <f t="shared" ref="F58:O58" si="19">EDATE(E58,-1)</f>
        <v>45597</v>
      </c>
      <c r="G58" s="1184">
        <f t="shared" si="19"/>
        <v>45566</v>
      </c>
      <c r="H58" s="1184">
        <f t="shared" si="19"/>
        <v>45536</v>
      </c>
      <c r="I58" s="1184">
        <f t="shared" si="19"/>
        <v>45505</v>
      </c>
      <c r="J58" s="1184">
        <f t="shared" si="19"/>
        <v>45474</v>
      </c>
      <c r="K58" s="1184">
        <f t="shared" si="19"/>
        <v>45444</v>
      </c>
      <c r="L58" s="1184">
        <f t="shared" si="19"/>
        <v>45413</v>
      </c>
      <c r="M58" s="1184">
        <f t="shared" si="19"/>
        <v>45383</v>
      </c>
      <c r="N58" s="1184">
        <f t="shared" si="19"/>
        <v>45352</v>
      </c>
      <c r="O58" s="1184">
        <f t="shared" si="19"/>
        <v>45323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6" zoomScale="90" zoomScaleNormal="70" zoomScaleSheetLayoutView="90" workbookViewId="0">
      <selection activeCell="C65" sqref="C65:F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3411</v>
      </c>
      <c r="E1" s="3423" t="s">
        <v>3432</v>
      </c>
      <c r="F1" s="1878" t="s">
        <v>3433</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23757</v>
      </c>
      <c r="C3" s="354" t="s">
        <v>1768</v>
      </c>
      <c r="D3" s="353">
        <f>IF(D1="",'数据-汇总表'!E3,SUMIF('数据-汇总表'!$C19:$C33,D1,'数据-汇总表'!$E19:$E33))</f>
        <v>0</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5" t="s">
        <v>1769</v>
      </c>
      <c r="B4" s="356"/>
      <c r="C4" s="3824" t="s">
        <v>1770</v>
      </c>
      <c r="D4" s="3825"/>
      <c r="E4" s="3826" t="s">
        <v>1771</v>
      </c>
      <c r="F4" s="3827"/>
      <c r="G4" s="3824" t="s">
        <v>1772</v>
      </c>
      <c r="H4" s="3825"/>
      <c r="I4" s="3824" t="s">
        <v>1773</v>
      </c>
      <c r="J4" s="3825"/>
      <c r="K4" s="559" t="s">
        <v>1774</v>
      </c>
      <c r="L4" s="2712"/>
      <c r="M4" s="2713"/>
      <c r="N4" s="2713"/>
      <c r="O4" s="2713"/>
      <c r="P4" s="3880" t="s">
        <v>1775</v>
      </c>
      <c r="Q4" s="3881"/>
      <c r="R4" s="3876" t="s">
        <v>1771</v>
      </c>
      <c r="S4" s="3877"/>
      <c r="T4" s="3876" t="s">
        <v>1772</v>
      </c>
      <c r="U4" s="3877"/>
      <c r="V4" s="3837" t="s">
        <v>1773</v>
      </c>
      <c r="W4" s="3837"/>
      <c r="X4" s="1354"/>
      <c r="Y4" s="3876" t="s">
        <v>1775</v>
      </c>
      <c r="Z4" s="3877"/>
      <c r="AA4" s="3875" t="s">
        <v>1771</v>
      </c>
      <c r="AB4" s="3837" t="s">
        <v>1772</v>
      </c>
      <c r="AC4" s="3875" t="s">
        <v>1773</v>
      </c>
    </row>
    <row r="5" spans="1:29" ht="15">
      <c r="A5" s="358"/>
      <c r="B5" s="359"/>
      <c r="C5" s="3879" t="s">
        <v>1673</v>
      </c>
      <c r="D5" s="3815"/>
      <c r="E5" s="3812" t="s">
        <v>3450</v>
      </c>
      <c r="F5" s="3813"/>
      <c r="G5" s="3814" t="s">
        <v>3475</v>
      </c>
      <c r="H5" s="3815"/>
      <c r="I5" s="3814" t="s">
        <v>3476</v>
      </c>
      <c r="J5" s="3815"/>
      <c r="K5" s="559"/>
      <c r="L5" s="2712"/>
      <c r="M5" s="2713"/>
      <c r="N5" s="2713"/>
      <c r="O5" s="2713"/>
      <c r="P5" s="3882"/>
      <c r="Q5" s="3831"/>
      <c r="R5" s="3810"/>
      <c r="S5" s="3811"/>
      <c r="T5" s="3810"/>
      <c r="U5" s="3811"/>
      <c r="V5" s="3837"/>
      <c r="W5" s="3837"/>
      <c r="X5" s="1354"/>
      <c r="Y5" s="3810"/>
      <c r="Z5" s="3811"/>
      <c r="AA5" s="3804"/>
      <c r="AB5" s="3837"/>
      <c r="AC5" s="3804"/>
    </row>
    <row r="6" spans="1:29" ht="15.75" thickBot="1">
      <c r="A6" s="360"/>
      <c r="B6" s="361"/>
      <c r="C6" s="3816" t="s">
        <v>1677</v>
      </c>
      <c r="D6" s="3817"/>
      <c r="E6" s="3818" t="s">
        <v>1677</v>
      </c>
      <c r="F6" s="3819"/>
      <c r="G6" s="3816" t="s">
        <v>1677</v>
      </c>
      <c r="H6" s="3817"/>
      <c r="I6" s="3816" t="s">
        <v>1677</v>
      </c>
      <c r="J6" s="3817"/>
      <c r="K6" s="559" t="s">
        <v>1678</v>
      </c>
      <c r="L6" s="2712"/>
      <c r="M6" s="2713"/>
      <c r="N6" s="2713"/>
      <c r="O6" s="2713"/>
      <c r="P6" s="3883"/>
      <c r="Q6" s="3833"/>
      <c r="R6" s="3810"/>
      <c r="S6" s="3811"/>
      <c r="T6" s="3834"/>
      <c r="U6" s="3835"/>
      <c r="V6" s="3837"/>
      <c r="W6" s="3837"/>
      <c r="X6" s="1354"/>
      <c r="Y6" s="3834"/>
      <c r="Z6" s="3835"/>
      <c r="AA6" s="3805"/>
      <c r="AB6" s="3837"/>
      <c r="AC6" s="3805"/>
    </row>
    <row r="7" spans="1:29" s="108" customFormat="1" ht="15.75" thickBot="1">
      <c r="A7" s="362" t="s">
        <v>1679</v>
      </c>
      <c r="B7" s="363"/>
      <c r="C7" s="364">
        <f>'数据-取费表'!B2</f>
        <v>45706</v>
      </c>
      <c r="D7" s="365">
        <v>100</v>
      </c>
      <c r="E7" s="366">
        <f>C7</f>
        <v>45706</v>
      </c>
      <c r="F7" s="367">
        <f>SUMIF(58:58,YEAR(E7)&amp;"-"&amp;MONTH(E7),59:59)</f>
        <v>100</v>
      </c>
      <c r="G7" s="366">
        <f>C7</f>
        <v>45706</v>
      </c>
      <c r="H7" s="365">
        <f>SUMIF(58:58,YEAR(G7)&amp;"-"&amp;MONTH(G7),59:59)</f>
        <v>100</v>
      </c>
      <c r="I7" s="366">
        <f>C7</f>
        <v>45706</v>
      </c>
      <c r="J7" s="365">
        <f>SUMIF(58:58,YEAR(I7)&amp;"-"&amp;MONTH(I7),59:59)</f>
        <v>100</v>
      </c>
      <c r="K7" s="560"/>
      <c r="L7" s="2714"/>
      <c r="M7" s="2715"/>
      <c r="N7" s="2715"/>
      <c r="O7" s="2715"/>
      <c r="P7" s="3806" t="s">
        <v>1680</v>
      </c>
      <c r="Q7" s="3839"/>
      <c r="R7" s="700" t="s">
        <v>14</v>
      </c>
      <c r="S7" s="701">
        <f t="shared" ref="S7:S15" si="0">F7</f>
        <v>100</v>
      </c>
      <c r="T7" s="700" t="s">
        <v>14</v>
      </c>
      <c r="U7" s="701">
        <f t="shared" ref="U7:U15" si="1">H7</f>
        <v>100</v>
      </c>
      <c r="V7" s="700" t="s">
        <v>14</v>
      </c>
      <c r="W7" s="701">
        <f t="shared" ref="W7:W15" si="2">J7</f>
        <v>100</v>
      </c>
      <c r="X7" s="702"/>
      <c r="Y7" s="3806" t="s">
        <v>1680</v>
      </c>
      <c r="Z7" s="3807"/>
      <c r="AA7" s="703">
        <f>D7/F7</f>
        <v>1</v>
      </c>
      <c r="AB7" s="703">
        <f>D7/H7</f>
        <v>1</v>
      </c>
      <c r="AC7" s="703">
        <f>D7/J7</f>
        <v>1</v>
      </c>
    </row>
    <row r="8" spans="1:29" s="108" customFormat="1" ht="15.75" thickBot="1">
      <c r="A8" s="362" t="s">
        <v>1681</v>
      </c>
      <c r="B8" s="363"/>
      <c r="C8" s="368" t="s">
        <v>3434</v>
      </c>
      <c r="D8" s="365">
        <v>100</v>
      </c>
      <c r="E8" s="368" t="s">
        <v>3435</v>
      </c>
      <c r="F8" s="367">
        <f>SUMIF(61:61,E8,62:62)-SUMIF(61:61,C8,62:62)+100</f>
        <v>103</v>
      </c>
      <c r="G8" s="368" t="s">
        <v>3435</v>
      </c>
      <c r="H8" s="365">
        <f>SUMIF(61:61,G8,62:62)-SUMIF(61:61,C8,62:62)+100</f>
        <v>103</v>
      </c>
      <c r="I8" s="368" t="s">
        <v>3435</v>
      </c>
      <c r="J8" s="365">
        <f>SUMIF(61:61,I8,62:62)-SUMIF(61:61,C8,62:62)+100</f>
        <v>103</v>
      </c>
      <c r="K8" s="560"/>
      <c r="L8" s="2714"/>
      <c r="M8" s="2715"/>
      <c r="N8" s="2715"/>
      <c r="O8" s="2715"/>
      <c r="P8" s="3806" t="s">
        <v>1683</v>
      </c>
      <c r="Q8" s="3807"/>
      <c r="R8" s="700" t="s">
        <v>14</v>
      </c>
      <c r="S8" s="701">
        <f t="shared" si="0"/>
        <v>103</v>
      </c>
      <c r="T8" s="700" t="s">
        <v>14</v>
      </c>
      <c r="U8" s="701">
        <f t="shared" si="1"/>
        <v>103</v>
      </c>
      <c r="V8" s="700" t="s">
        <v>14</v>
      </c>
      <c r="W8" s="701">
        <f t="shared" si="2"/>
        <v>103</v>
      </c>
      <c r="X8" s="702"/>
      <c r="Y8" s="3806" t="s">
        <v>1683</v>
      </c>
      <c r="Z8" s="3807"/>
      <c r="AA8" s="703">
        <f t="shared" ref="AA8:AA46" si="3">D8/F8</f>
        <v>0.970873786407767</v>
      </c>
      <c r="AB8" s="703">
        <f t="shared" ref="AB8:AB46" si="4">D8/H8</f>
        <v>0.970873786407767</v>
      </c>
      <c r="AC8" s="703">
        <f t="shared" ref="AC8:AC46" si="5">D8/J8</f>
        <v>0.970873786407767</v>
      </c>
    </row>
    <row r="9" spans="1:29" s="108" customFormat="1">
      <c r="A9" s="369" t="s">
        <v>1684</v>
      </c>
      <c r="B9" s="63" t="s">
        <v>1685</v>
      </c>
      <c r="C9" s="3461" t="s">
        <v>3437</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820" t="s">
        <v>1686</v>
      </c>
      <c r="Q9" s="1342" t="str">
        <f t="shared" ref="Q9:Q15" si="6">B9</f>
        <v>用途</v>
      </c>
      <c r="R9" s="700" t="s">
        <v>14</v>
      </c>
      <c r="S9" s="701">
        <f t="shared" si="0"/>
        <v>100</v>
      </c>
      <c r="T9" s="700" t="s">
        <v>14</v>
      </c>
      <c r="U9" s="701">
        <f t="shared" si="1"/>
        <v>100</v>
      </c>
      <c r="V9" s="700" t="s">
        <v>14</v>
      </c>
      <c r="W9" s="701">
        <f t="shared" si="2"/>
        <v>100</v>
      </c>
      <c r="X9" s="702"/>
      <c r="Y9" s="3752" t="s">
        <v>1687</v>
      </c>
      <c r="Z9" s="52" t="str">
        <f t="shared" ref="Z9:Z15" si="7">Q9</f>
        <v>用途</v>
      </c>
      <c r="AA9" s="703">
        <f t="shared" si="3"/>
        <v>1</v>
      </c>
      <c r="AB9" s="703">
        <f t="shared" si="4"/>
        <v>1</v>
      </c>
      <c r="AC9" s="703">
        <f t="shared" si="5"/>
        <v>1</v>
      </c>
    </row>
    <row r="10" spans="1:29" s="378" customFormat="1" ht="27">
      <c r="A10" s="374"/>
      <c r="B10" s="375" t="s">
        <v>1688</v>
      </c>
      <c r="C10" s="3431" t="str">
        <f>E65</f>
        <v>20（含）-10</v>
      </c>
      <c r="D10" s="127">
        <v>100</v>
      </c>
      <c r="E10" s="3432" t="str">
        <f>D65</f>
        <v>30（含）-20</v>
      </c>
      <c r="F10" s="376">
        <f>SUMIF(65:65,E10,66:66)-SUMIF(65:65,C10,66:66)+100</f>
        <v>102</v>
      </c>
      <c r="G10" s="3431" t="str">
        <f>D65</f>
        <v>30（含）-20</v>
      </c>
      <c r="H10" s="127">
        <f>SUMIF(65:65,G10,66:66)-SUMIF(65:65,C10,66:66)+100</f>
        <v>102</v>
      </c>
      <c r="I10" s="3431" t="str">
        <f>D65</f>
        <v>30（含）-20</v>
      </c>
      <c r="J10" s="127">
        <f>SUMIF(65:65,I10,66:66)-SUMIF(65:65,C10,66:66)+100</f>
        <v>102</v>
      </c>
      <c r="K10" s="560"/>
      <c r="L10" s="2716"/>
      <c r="M10" s="2717"/>
      <c r="N10" s="2717"/>
      <c r="O10" s="2717"/>
      <c r="P10" s="3820"/>
      <c r="Q10" s="1342" t="str">
        <f t="shared" si="6"/>
        <v>土地使用年限（年）</v>
      </c>
      <c r="R10" s="700" t="s">
        <v>14</v>
      </c>
      <c r="S10" s="701">
        <f t="shared" si="0"/>
        <v>102</v>
      </c>
      <c r="T10" s="700" t="s">
        <v>14</v>
      </c>
      <c r="U10" s="701">
        <f t="shared" si="1"/>
        <v>102</v>
      </c>
      <c r="V10" s="700" t="s">
        <v>14</v>
      </c>
      <c r="W10" s="701">
        <f t="shared" si="2"/>
        <v>102</v>
      </c>
      <c r="X10" s="702"/>
      <c r="Y10" s="3752"/>
      <c r="Z10" s="52" t="str">
        <f t="shared" si="7"/>
        <v>土地使用年限（年）</v>
      </c>
      <c r="AA10" s="703">
        <f t="shared" si="3"/>
        <v>0.98039215686274506</v>
      </c>
      <c r="AB10" s="703">
        <f t="shared" si="4"/>
        <v>0.98039215686274506</v>
      </c>
      <c r="AC10" s="703">
        <f t="shared" si="5"/>
        <v>0.98039215686274506</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820"/>
      <c r="Q11" s="1342" t="str">
        <f t="shared" si="6"/>
        <v>容积率</v>
      </c>
      <c r="R11" s="700" t="s">
        <v>14</v>
      </c>
      <c r="S11" s="701">
        <f t="shared" si="0"/>
        <v>100</v>
      </c>
      <c r="T11" s="700" t="s">
        <v>14</v>
      </c>
      <c r="U11" s="701">
        <f t="shared" si="1"/>
        <v>100</v>
      </c>
      <c r="V11" s="700" t="s">
        <v>14</v>
      </c>
      <c r="W11" s="701">
        <f t="shared" si="2"/>
        <v>100</v>
      </c>
      <c r="X11" s="702"/>
      <c r="Y11" s="3752"/>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20"/>
      <c r="Q12" s="1342">
        <f t="shared" si="6"/>
        <v>111</v>
      </c>
      <c r="R12" s="700" t="s">
        <v>14</v>
      </c>
      <c r="S12" s="701">
        <f t="shared" si="0"/>
        <v>100</v>
      </c>
      <c r="T12" s="700" t="s">
        <v>14</v>
      </c>
      <c r="U12" s="701">
        <f t="shared" si="1"/>
        <v>100</v>
      </c>
      <c r="V12" s="700" t="s">
        <v>14</v>
      </c>
      <c r="W12" s="701">
        <f t="shared" si="2"/>
        <v>100</v>
      </c>
      <c r="X12" s="702"/>
      <c r="Y12" s="375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20"/>
      <c r="Q13" s="1342">
        <f t="shared" si="6"/>
        <v>111</v>
      </c>
      <c r="R13" s="700" t="s">
        <v>14</v>
      </c>
      <c r="S13" s="701">
        <f t="shared" si="0"/>
        <v>100</v>
      </c>
      <c r="T13" s="700" t="s">
        <v>14</v>
      </c>
      <c r="U13" s="701">
        <f t="shared" si="1"/>
        <v>100</v>
      </c>
      <c r="V13" s="700" t="s">
        <v>14</v>
      </c>
      <c r="W13" s="701">
        <f t="shared" si="2"/>
        <v>100</v>
      </c>
      <c r="X13" s="702"/>
      <c r="Y13" s="3752"/>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20"/>
      <c r="Q14" s="1342">
        <f t="shared" si="6"/>
        <v>111</v>
      </c>
      <c r="R14" s="700" t="s">
        <v>14</v>
      </c>
      <c r="S14" s="701">
        <f t="shared" si="0"/>
        <v>100</v>
      </c>
      <c r="T14" s="700" t="s">
        <v>14</v>
      </c>
      <c r="U14" s="701">
        <f t="shared" si="1"/>
        <v>100</v>
      </c>
      <c r="V14" s="700" t="s">
        <v>14</v>
      </c>
      <c r="W14" s="701">
        <f t="shared" si="2"/>
        <v>100</v>
      </c>
      <c r="X14" s="702"/>
      <c r="Y14" s="3752"/>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840" t="s">
        <v>1691</v>
      </c>
      <c r="Q15" s="1351" t="str">
        <f t="shared" si="6"/>
        <v>商业繁华度</v>
      </c>
      <c r="R15" s="704" t="s">
        <v>14</v>
      </c>
      <c r="S15" s="705">
        <f t="shared" si="0"/>
        <v>100</v>
      </c>
      <c r="T15" s="704" t="s">
        <v>14</v>
      </c>
      <c r="U15" s="705">
        <f t="shared" si="1"/>
        <v>100</v>
      </c>
      <c r="V15" s="704" t="s">
        <v>14</v>
      </c>
      <c r="W15" s="705">
        <f t="shared" si="2"/>
        <v>100</v>
      </c>
      <c r="X15" s="1354"/>
      <c r="Y15" s="3842" t="s">
        <v>1691</v>
      </c>
      <c r="Z15" s="1355" t="str">
        <f t="shared" si="7"/>
        <v>商业繁华度</v>
      </c>
      <c r="AA15" s="1352">
        <f t="shared" si="3"/>
        <v>1</v>
      </c>
      <c r="AB15" s="1352">
        <f t="shared" si="4"/>
        <v>1</v>
      </c>
      <c r="AC15" s="1352">
        <f t="shared" si="5"/>
        <v>1</v>
      </c>
    </row>
    <row r="16" spans="1:29" ht="15">
      <c r="A16" s="379"/>
      <c r="B16" s="397"/>
      <c r="C16" s="398" t="s">
        <v>3426</v>
      </c>
      <c r="D16" s="399"/>
      <c r="E16" s="398" t="s">
        <v>3426</v>
      </c>
      <c r="F16" s="400"/>
      <c r="G16" s="398" t="s">
        <v>3426</v>
      </c>
      <c r="H16" s="401"/>
      <c r="I16" s="398" t="s">
        <v>3426</v>
      </c>
      <c r="J16" s="399"/>
      <c r="K16" s="564"/>
      <c r="L16" s="2719"/>
      <c r="M16" s="2713"/>
      <c r="N16" s="2713"/>
      <c r="O16" s="2713"/>
      <c r="P16" s="3841"/>
      <c r="Q16" s="1351"/>
      <c r="R16" s="704"/>
      <c r="S16" s="705"/>
      <c r="T16" s="704"/>
      <c r="U16" s="705"/>
      <c r="V16" s="704"/>
      <c r="W16" s="705"/>
      <c r="X16" s="1354"/>
      <c r="Y16" s="3843"/>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841"/>
      <c r="Q17" s="1351" t="str">
        <f>B17</f>
        <v>交通便捷度</v>
      </c>
      <c r="R17" s="704" t="s">
        <v>14</v>
      </c>
      <c r="S17" s="705">
        <f>F17</f>
        <v>100</v>
      </c>
      <c r="T17" s="704" t="s">
        <v>14</v>
      </c>
      <c r="U17" s="705">
        <f>H17</f>
        <v>100</v>
      </c>
      <c r="V17" s="704" t="s">
        <v>14</v>
      </c>
      <c r="W17" s="705">
        <f>J17</f>
        <v>100</v>
      </c>
      <c r="X17" s="1354"/>
      <c r="Y17" s="3843"/>
      <c r="Z17" s="1355" t="str">
        <f>Q17</f>
        <v>交通便捷度</v>
      </c>
      <c r="AA17" s="1352">
        <f t="shared" si="3"/>
        <v>1</v>
      </c>
      <c r="AB17" s="1352">
        <f t="shared" si="4"/>
        <v>1</v>
      </c>
      <c r="AC17" s="1352">
        <f t="shared" si="5"/>
        <v>1</v>
      </c>
    </row>
    <row r="18" spans="1:29" ht="15">
      <c r="A18" s="379"/>
      <c r="B18" s="407"/>
      <c r="C18" s="1900" t="s">
        <v>3426</v>
      </c>
      <c r="D18" s="401"/>
      <c r="E18" s="1900" t="s">
        <v>3426</v>
      </c>
      <c r="F18" s="404"/>
      <c r="G18" s="1900" t="s">
        <v>3426</v>
      </c>
      <c r="H18" s="399"/>
      <c r="I18" s="1900" t="s">
        <v>3426</v>
      </c>
      <c r="J18" s="399"/>
      <c r="K18" s="564"/>
      <c r="L18" s="2719"/>
      <c r="M18" s="2713"/>
      <c r="N18" s="2713"/>
      <c r="O18" s="2713"/>
      <c r="P18" s="3841"/>
      <c r="Q18" s="1351"/>
      <c r="R18" s="704"/>
      <c r="S18" s="705"/>
      <c r="T18" s="704"/>
      <c r="U18" s="705"/>
      <c r="V18" s="704"/>
      <c r="W18" s="705"/>
      <c r="X18" s="1354"/>
      <c r="Y18" s="3843"/>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841"/>
      <c r="Q19" s="1351" t="str">
        <f>B19</f>
        <v>公共配套设施</v>
      </c>
      <c r="R19" s="704" t="s">
        <v>14</v>
      </c>
      <c r="S19" s="705">
        <f>F19</f>
        <v>100</v>
      </c>
      <c r="T19" s="704" t="s">
        <v>14</v>
      </c>
      <c r="U19" s="705">
        <f>H19</f>
        <v>100</v>
      </c>
      <c r="V19" s="704" t="s">
        <v>14</v>
      </c>
      <c r="W19" s="705">
        <f>J19</f>
        <v>100</v>
      </c>
      <c r="X19" s="1354"/>
      <c r="Y19" s="3843"/>
      <c r="Z19" s="1355" t="str">
        <f>Q19</f>
        <v>公共配套设施</v>
      </c>
      <c r="AA19" s="1352">
        <f t="shared" si="3"/>
        <v>1</v>
      </c>
      <c r="AB19" s="1352">
        <f t="shared" si="4"/>
        <v>1</v>
      </c>
      <c r="AC19" s="1352">
        <f t="shared" si="5"/>
        <v>1</v>
      </c>
    </row>
    <row r="20" spans="1:29" ht="15">
      <c r="A20" s="379"/>
      <c r="B20" s="407"/>
      <c r="C20" s="398" t="s">
        <v>3426</v>
      </c>
      <c r="D20" s="399"/>
      <c r="E20" s="398" t="s">
        <v>3426</v>
      </c>
      <c r="F20" s="400"/>
      <c r="G20" s="398" t="s">
        <v>3426</v>
      </c>
      <c r="H20" s="399"/>
      <c r="I20" s="398" t="s">
        <v>3426</v>
      </c>
      <c r="J20" s="399"/>
      <c r="K20" s="564"/>
      <c r="L20" s="2719"/>
      <c r="M20" s="2713"/>
      <c r="N20" s="2713"/>
      <c r="O20" s="2713"/>
      <c r="P20" s="3841"/>
      <c r="Q20" s="1351"/>
      <c r="R20" s="704"/>
      <c r="S20" s="705"/>
      <c r="T20" s="704"/>
      <c r="U20" s="705"/>
      <c r="V20" s="704"/>
      <c r="W20" s="705"/>
      <c r="X20" s="1354"/>
      <c r="Y20" s="3843"/>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841"/>
      <c r="Q21" s="1351" t="str">
        <f>B21</f>
        <v>基础设施水平</v>
      </c>
      <c r="R21" s="704" t="s">
        <v>14</v>
      </c>
      <c r="S21" s="705">
        <f>F21</f>
        <v>100</v>
      </c>
      <c r="T21" s="704" t="s">
        <v>14</v>
      </c>
      <c r="U21" s="705">
        <f>H21</f>
        <v>100</v>
      </c>
      <c r="V21" s="704" t="s">
        <v>14</v>
      </c>
      <c r="W21" s="705">
        <f>J21</f>
        <v>100</v>
      </c>
      <c r="X21" s="1354"/>
      <c r="Y21" s="3843"/>
      <c r="Z21" s="1355" t="str">
        <f>Q21</f>
        <v>基础设施水平</v>
      </c>
      <c r="AA21" s="1352">
        <f t="shared" ref="AA21" si="8">D21/F21</f>
        <v>1</v>
      </c>
      <c r="AB21" s="1352">
        <f t="shared" ref="AB21" si="9">D21/H21</f>
        <v>1</v>
      </c>
      <c r="AC21" s="1352">
        <f t="shared" ref="AC21" si="10">D21/J21</f>
        <v>1</v>
      </c>
    </row>
    <row r="22" spans="1:29" ht="15">
      <c r="A22" s="379"/>
      <c r="B22" s="1130"/>
      <c r="C22" s="1900" t="s">
        <v>3442</v>
      </c>
      <c r="D22" s="399"/>
      <c r="E22" s="1900" t="s">
        <v>3442</v>
      </c>
      <c r="F22" s="400"/>
      <c r="G22" s="1900" t="s">
        <v>3442</v>
      </c>
      <c r="H22" s="399"/>
      <c r="I22" s="1900" t="s">
        <v>3442</v>
      </c>
      <c r="J22" s="399"/>
      <c r="K22" s="1129"/>
      <c r="L22" s="2719"/>
      <c r="M22" s="2713"/>
      <c r="N22" s="2713"/>
      <c r="O22" s="2713"/>
      <c r="P22" s="3841"/>
      <c r="Q22" s="1351"/>
      <c r="R22" s="704"/>
      <c r="S22" s="705"/>
      <c r="T22" s="704"/>
      <c r="U22" s="705"/>
      <c r="V22" s="704"/>
      <c r="W22" s="705"/>
      <c r="X22" s="1354"/>
      <c r="Y22" s="3843"/>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841"/>
      <c r="Q23" s="1351" t="str">
        <f>B23</f>
        <v>自然及人文环境</v>
      </c>
      <c r="R23" s="704" t="s">
        <v>14</v>
      </c>
      <c r="S23" s="705">
        <f>F23</f>
        <v>100</v>
      </c>
      <c r="T23" s="704" t="s">
        <v>14</v>
      </c>
      <c r="U23" s="705">
        <f>H23</f>
        <v>100</v>
      </c>
      <c r="V23" s="704" t="s">
        <v>14</v>
      </c>
      <c r="W23" s="705">
        <f>J23</f>
        <v>100</v>
      </c>
      <c r="X23" s="1354"/>
      <c r="Y23" s="3843"/>
      <c r="Z23" s="1355" t="str">
        <f>Q23</f>
        <v>自然及人文环境</v>
      </c>
      <c r="AA23" s="1352">
        <f t="shared" si="3"/>
        <v>1</v>
      </c>
      <c r="AB23" s="1352">
        <f t="shared" si="4"/>
        <v>1</v>
      </c>
      <c r="AC23" s="1352">
        <f t="shared" si="5"/>
        <v>1</v>
      </c>
    </row>
    <row r="24" spans="1:29" ht="15">
      <c r="A24" s="379"/>
      <c r="B24" s="407"/>
      <c r="C24" s="398" t="s">
        <v>3426</v>
      </c>
      <c r="D24" s="399"/>
      <c r="E24" s="398" t="s">
        <v>3426</v>
      </c>
      <c r="F24" s="400"/>
      <c r="G24" s="398" t="s">
        <v>3426</v>
      </c>
      <c r="H24" s="399"/>
      <c r="I24" s="398" t="s">
        <v>3426</v>
      </c>
      <c r="J24" s="399"/>
      <c r="K24" s="564"/>
      <c r="L24" s="2719"/>
      <c r="M24" s="2713"/>
      <c r="N24" s="2713"/>
      <c r="O24" s="2713"/>
      <c r="P24" s="3841"/>
      <c r="Q24" s="1351"/>
      <c r="R24" s="704"/>
      <c r="S24" s="705"/>
      <c r="T24" s="704"/>
      <c r="U24" s="705"/>
      <c r="V24" s="704"/>
      <c r="W24" s="705"/>
      <c r="X24" s="1354"/>
      <c r="Y24" s="3843"/>
      <c r="Z24" s="1355"/>
      <c r="AA24" s="1352">
        <v>1</v>
      </c>
      <c r="AB24" s="1352">
        <v>1</v>
      </c>
      <c r="AC24" s="1352">
        <v>1</v>
      </c>
    </row>
    <row r="25" spans="1:29" ht="15">
      <c r="A25" s="379"/>
      <c r="B25" s="375" t="s">
        <v>1780</v>
      </c>
      <c r="C25" s="565" t="s">
        <v>3448</v>
      </c>
      <c r="D25" s="386">
        <v>100</v>
      </c>
      <c r="E25" s="565" t="s">
        <v>3446</v>
      </c>
      <c r="F25" s="412">
        <f>SUMIF(86:86,E25,87:87)-SUMIF(86:86,C25,87:87)+100</f>
        <v>103</v>
      </c>
      <c r="G25" s="565" t="s">
        <v>3446</v>
      </c>
      <c r="H25" s="386">
        <f>SUMIF(86:86,G25,87:87)-SUMIF(86:86,C25,87:87)+100</f>
        <v>103</v>
      </c>
      <c r="I25" s="565" t="s">
        <v>3446</v>
      </c>
      <c r="J25" s="386">
        <f>SUMIF(86:86,I25,87:87)-SUMIF(86:86,C25,87:87)+100</f>
        <v>103</v>
      </c>
      <c r="K25" s="561">
        <v>3</v>
      </c>
      <c r="L25" s="2719"/>
      <c r="M25" s="2713"/>
      <c r="N25" s="2713"/>
      <c r="O25" s="2713"/>
      <c r="P25" s="3841"/>
      <c r="Q25" s="1351" t="str">
        <f t="shared" ref="Q25:Q46" si="11">B25</f>
        <v>临街状况</v>
      </c>
      <c r="R25" s="704" t="s">
        <v>14</v>
      </c>
      <c r="S25" s="705">
        <f>F25</f>
        <v>103</v>
      </c>
      <c r="T25" s="704" t="s">
        <v>14</v>
      </c>
      <c r="U25" s="705">
        <f>H25</f>
        <v>103</v>
      </c>
      <c r="V25" s="704" t="s">
        <v>14</v>
      </c>
      <c r="W25" s="705">
        <f>J25</f>
        <v>103</v>
      </c>
      <c r="X25" s="1354"/>
      <c r="Y25" s="3843"/>
      <c r="Z25" s="1355" t="str">
        <f>Q25</f>
        <v>临街状况</v>
      </c>
      <c r="AA25" s="1352">
        <f t="shared" si="3"/>
        <v>0.970873786407767</v>
      </c>
      <c r="AB25" s="1352">
        <f t="shared" si="4"/>
        <v>0.970873786407767</v>
      </c>
      <c r="AC25" s="1352">
        <f t="shared" si="5"/>
        <v>0.970873786407767</v>
      </c>
    </row>
    <row r="26" spans="1:29" ht="15">
      <c r="A26" s="379"/>
      <c r="B26" s="1132" t="s">
        <v>1781</v>
      </c>
      <c r="C26" s="3463" t="s">
        <v>3452</v>
      </c>
      <c r="D26" s="386">
        <v>100</v>
      </c>
      <c r="E26" s="3463" t="s">
        <v>3464</v>
      </c>
      <c r="F26" s="412">
        <f>SUMIF(88:88,E26,89:89)-SUMIF(88:88,C26,89:89)+100</f>
        <v>106</v>
      </c>
      <c r="G26" s="3463" t="s">
        <v>3464</v>
      </c>
      <c r="H26" s="386">
        <f>SUMIF(88:88,G26,89:89)-SUMIF(88:88,C26,89:89)+100</f>
        <v>106</v>
      </c>
      <c r="I26" s="3463" t="s">
        <v>3464</v>
      </c>
      <c r="J26" s="386">
        <f>SUMIF(88:88,I26,89:89)-SUMIF(88:88,C26,89:89)+100</f>
        <v>106</v>
      </c>
      <c r="K26" s="562"/>
      <c r="L26" s="2719"/>
      <c r="M26" s="2713"/>
      <c r="N26" s="2713"/>
      <c r="O26" s="2713"/>
      <c r="P26" s="3841"/>
      <c r="Q26" s="1351" t="str">
        <f t="shared" si="11"/>
        <v>平面位置/可视性</v>
      </c>
      <c r="R26" s="704" t="s">
        <v>14</v>
      </c>
      <c r="S26" s="705">
        <f>F26</f>
        <v>106</v>
      </c>
      <c r="T26" s="704" t="s">
        <v>14</v>
      </c>
      <c r="U26" s="705">
        <f>H26</f>
        <v>106</v>
      </c>
      <c r="V26" s="704" t="s">
        <v>14</v>
      </c>
      <c r="W26" s="705">
        <f>J26</f>
        <v>106</v>
      </c>
      <c r="X26" s="1354"/>
      <c r="Y26" s="3843"/>
      <c r="Z26" s="1355" t="str">
        <f>Q26</f>
        <v>平面位置/可视性</v>
      </c>
      <c r="AA26" s="1352">
        <f t="shared" si="3"/>
        <v>0.94339622641509435</v>
      </c>
      <c r="AB26" s="1352">
        <f t="shared" si="4"/>
        <v>0.94339622641509435</v>
      </c>
      <c r="AC26" s="1352">
        <f t="shared" si="5"/>
        <v>0.94339622641509435</v>
      </c>
    </row>
    <row r="27" spans="1:29" s="108" customFormat="1" ht="15">
      <c r="A27" s="382"/>
      <c r="B27" s="402" t="s">
        <v>1782</v>
      </c>
      <c r="C27" s="1955" t="s">
        <v>3427</v>
      </c>
      <c r="D27" s="413">
        <v>100</v>
      </c>
      <c r="E27" s="1955" t="s">
        <v>3456</v>
      </c>
      <c r="F27" s="415">
        <f>SUMIF(90:90,E27,91:91)-SUMIF(90:90,C27,91:91)+100</f>
        <v>102</v>
      </c>
      <c r="G27" s="1955" t="s">
        <v>3456</v>
      </c>
      <c r="H27" s="413">
        <f>SUMIF(90:90,G27,91:91)-SUMIF(90:90,C27,91:91)+100</f>
        <v>102</v>
      </c>
      <c r="I27" s="1955" t="s">
        <v>3456</v>
      </c>
      <c r="J27" s="413">
        <f>SUMIF(90:90,I27,91:91)-SUMIF(90:90,C27,91:91)+100</f>
        <v>102</v>
      </c>
      <c r="K27" s="561">
        <v>2</v>
      </c>
      <c r="L27" s="2714"/>
      <c r="M27" s="2715"/>
      <c r="N27" s="2715"/>
      <c r="O27" s="2715"/>
      <c r="P27" s="3841"/>
      <c r="Q27" s="1342" t="str">
        <f t="shared" si="11"/>
        <v>人流量</v>
      </c>
      <c r="R27" s="700" t="s">
        <v>14</v>
      </c>
      <c r="S27" s="701">
        <f>F27</f>
        <v>102</v>
      </c>
      <c r="T27" s="700" t="s">
        <v>14</v>
      </c>
      <c r="U27" s="701">
        <f>H27</f>
        <v>102</v>
      </c>
      <c r="V27" s="700" t="s">
        <v>14</v>
      </c>
      <c r="W27" s="701">
        <f>J27</f>
        <v>102</v>
      </c>
      <c r="X27" s="702"/>
      <c r="Y27" s="3843"/>
      <c r="Z27" s="52" t="str">
        <f>Q27</f>
        <v>人流量</v>
      </c>
      <c r="AA27" s="1352">
        <f>D27/F27</f>
        <v>0.98039215686274506</v>
      </c>
      <c r="AB27" s="1352">
        <f>D27/H27</f>
        <v>0.98039215686274506</v>
      </c>
      <c r="AC27" s="1352">
        <f>D27/J27</f>
        <v>0.98039215686274506</v>
      </c>
    </row>
    <row r="28" spans="1:29" ht="15">
      <c r="A28" s="379"/>
      <c r="B28" s="375" t="s">
        <v>1783</v>
      </c>
      <c r="C28" s="565" t="s">
        <v>3465</v>
      </c>
      <c r="D28" s="386">
        <v>100</v>
      </c>
      <c r="E28" s="565" t="s">
        <v>3465</v>
      </c>
      <c r="F28" s="412">
        <f>SUMIF(92:92,E28,93:93)-SUMIF(92:92,C28,93:93)+100</f>
        <v>100</v>
      </c>
      <c r="G28" s="565" t="s">
        <v>3465</v>
      </c>
      <c r="H28" s="386">
        <f>SUMIF(92:92,G28,93:93)-SUMIF(92:92,C28,93:93)+100</f>
        <v>100</v>
      </c>
      <c r="I28" s="565" t="s">
        <v>3465</v>
      </c>
      <c r="J28" s="386">
        <f>SUMIF(92:92,I28,93:93)-SUMIF(92:92,C28,93:93)+100</f>
        <v>100</v>
      </c>
      <c r="K28" s="562"/>
      <c r="L28" s="2719"/>
      <c r="M28" s="2713"/>
      <c r="N28" s="2713"/>
      <c r="O28" s="2713"/>
      <c r="P28" s="3841"/>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843"/>
      <c r="Z28" s="1355" t="str">
        <f t="shared" ref="Z28:Z46" si="15">Q28</f>
        <v>楼层</v>
      </c>
      <c r="AA28" s="1352">
        <f t="shared" si="3"/>
        <v>1</v>
      </c>
      <c r="AB28" s="1352">
        <f t="shared" si="4"/>
        <v>1</v>
      </c>
      <c r="AC28" s="1352">
        <f t="shared" si="5"/>
        <v>1</v>
      </c>
    </row>
    <row r="29" spans="1:29" ht="15">
      <c r="A29" s="379"/>
      <c r="B29" s="3462" t="s">
        <v>3443</v>
      </c>
      <c r="C29" s="3463" t="s">
        <v>3445</v>
      </c>
      <c r="D29" s="386">
        <v>100</v>
      </c>
      <c r="E29" s="3463" t="s">
        <v>3444</v>
      </c>
      <c r="F29" s="412">
        <f>SUMIF(94:94,E29,95:95)-SUMIF(94:94,C29,95:95)+100</f>
        <v>110</v>
      </c>
      <c r="G29" s="3463" t="s">
        <v>3444</v>
      </c>
      <c r="H29" s="386">
        <f>SUMIF(94:94,G29,95:95)-SUMIF(94:94,C29,95:95)+100</f>
        <v>110</v>
      </c>
      <c r="I29" s="3463" t="s">
        <v>3444</v>
      </c>
      <c r="J29" s="386">
        <f>SUMIF(94:94,I29,95:95)-SUMIF(94:94,C29,95:95)+100</f>
        <v>110</v>
      </c>
      <c r="K29" s="562"/>
      <c r="L29" s="2719"/>
      <c r="M29" s="2713"/>
      <c r="N29" s="2713"/>
      <c r="O29" s="2713"/>
      <c r="P29" s="3841"/>
      <c r="Q29" s="1351" t="str">
        <f t="shared" si="11"/>
        <v>板块</v>
      </c>
      <c r="R29" s="704" t="s">
        <v>14</v>
      </c>
      <c r="S29" s="705">
        <f t="shared" si="12"/>
        <v>110</v>
      </c>
      <c r="T29" s="704" t="s">
        <v>14</v>
      </c>
      <c r="U29" s="705">
        <f t="shared" si="13"/>
        <v>110</v>
      </c>
      <c r="V29" s="704" t="s">
        <v>14</v>
      </c>
      <c r="W29" s="705">
        <f t="shared" si="14"/>
        <v>110</v>
      </c>
      <c r="X29" s="1354"/>
      <c r="Y29" s="3843"/>
      <c r="Z29" s="1355" t="str">
        <f t="shared" si="15"/>
        <v>板块</v>
      </c>
      <c r="AA29" s="1352">
        <f t="shared" si="3"/>
        <v>0.90909090909090906</v>
      </c>
      <c r="AB29" s="1352">
        <f t="shared" si="4"/>
        <v>0.90909090909090906</v>
      </c>
      <c r="AC29" s="1352">
        <f t="shared" si="5"/>
        <v>0.90909090909090906</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41"/>
      <c r="Q30" s="1351">
        <f t="shared" si="11"/>
        <v>111</v>
      </c>
      <c r="R30" s="704" t="s">
        <v>14</v>
      </c>
      <c r="S30" s="705">
        <f t="shared" si="12"/>
        <v>100</v>
      </c>
      <c r="T30" s="704" t="s">
        <v>14</v>
      </c>
      <c r="U30" s="705">
        <f t="shared" si="13"/>
        <v>100</v>
      </c>
      <c r="V30" s="704" t="s">
        <v>14</v>
      </c>
      <c r="W30" s="705">
        <f t="shared" si="14"/>
        <v>100</v>
      </c>
      <c r="X30" s="1354"/>
      <c r="Y30" s="3843"/>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41"/>
      <c r="Q31" s="1351">
        <f t="shared" si="11"/>
        <v>111</v>
      </c>
      <c r="R31" s="704" t="s">
        <v>14</v>
      </c>
      <c r="S31" s="705">
        <f t="shared" si="12"/>
        <v>100</v>
      </c>
      <c r="T31" s="704" t="s">
        <v>14</v>
      </c>
      <c r="U31" s="705">
        <f t="shared" si="13"/>
        <v>100</v>
      </c>
      <c r="V31" s="704" t="s">
        <v>14</v>
      </c>
      <c r="W31" s="705">
        <f t="shared" si="14"/>
        <v>100</v>
      </c>
      <c r="X31" s="1354"/>
      <c r="Y31" s="3843"/>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844" t="s">
        <v>1696</v>
      </c>
      <c r="Q32" s="1351" t="str">
        <f t="shared" si="11"/>
        <v>商业类型</v>
      </c>
      <c r="R32" s="704" t="s">
        <v>14</v>
      </c>
      <c r="S32" s="705">
        <f t="shared" si="12"/>
        <v>100</v>
      </c>
      <c r="T32" s="704" t="s">
        <v>14</v>
      </c>
      <c r="U32" s="705">
        <f t="shared" si="13"/>
        <v>100</v>
      </c>
      <c r="V32" s="704" t="s">
        <v>14</v>
      </c>
      <c r="W32" s="705">
        <f t="shared" si="14"/>
        <v>100</v>
      </c>
      <c r="X32" s="1354"/>
      <c r="Y32" s="3847" t="s">
        <v>1696</v>
      </c>
      <c r="Z32" s="1355" t="str">
        <f t="shared" si="15"/>
        <v>商业类型</v>
      </c>
      <c r="AA32" s="1352">
        <f t="shared" si="3"/>
        <v>1</v>
      </c>
      <c r="AB32" s="1352">
        <f t="shared" si="4"/>
        <v>1</v>
      </c>
      <c r="AC32" s="1352">
        <f t="shared" si="5"/>
        <v>1</v>
      </c>
    </row>
    <row r="33" spans="1:29" s="422" customFormat="1" ht="15">
      <c r="A33" s="419"/>
      <c r="B33" s="375" t="s">
        <v>1697</v>
      </c>
      <c r="C33" s="420">
        <f>'数据-基础表'!I13</f>
        <v>3527.3</v>
      </c>
      <c r="D33" s="127">
        <v>100</v>
      </c>
      <c r="E33" s="381">
        <v>85.82</v>
      </c>
      <c r="F33" s="376">
        <f>LOOKUP(E33,103:103,104:104)-LOOKUP(C33,103:103,104:104)+100</f>
        <v>103</v>
      </c>
      <c r="G33" s="380">
        <v>82.81</v>
      </c>
      <c r="H33" s="127">
        <f>LOOKUP(G33,103:103,104:104)-LOOKUP(C33,103:103,104:104)+100</f>
        <v>103</v>
      </c>
      <c r="I33" s="380">
        <v>49.68</v>
      </c>
      <c r="J33" s="127">
        <f>LOOKUP(I33,103:103,104:104)-LOOKUP(C33,103:103,104:104)+100</f>
        <v>103</v>
      </c>
      <c r="K33" s="562"/>
      <c r="L33" s="2718"/>
      <c r="M33" s="2720"/>
      <c r="N33" s="2720"/>
      <c r="O33" s="2720"/>
      <c r="P33" s="3845"/>
      <c r="Q33" s="706" t="str">
        <f t="shared" si="11"/>
        <v>项目建筑规模</v>
      </c>
      <c r="R33" s="707" t="s">
        <v>14</v>
      </c>
      <c r="S33" s="708">
        <f t="shared" si="12"/>
        <v>103</v>
      </c>
      <c r="T33" s="707" t="s">
        <v>14</v>
      </c>
      <c r="U33" s="708">
        <f t="shared" si="13"/>
        <v>103</v>
      </c>
      <c r="V33" s="707" t="s">
        <v>14</v>
      </c>
      <c r="W33" s="708">
        <f t="shared" si="14"/>
        <v>103</v>
      </c>
      <c r="X33" s="709"/>
      <c r="Y33" s="3847"/>
      <c r="Z33" s="710" t="str">
        <f t="shared" si="15"/>
        <v>项目建筑规模</v>
      </c>
      <c r="AA33" s="1352">
        <f t="shared" si="3"/>
        <v>0.970873786407767</v>
      </c>
      <c r="AB33" s="1352">
        <f t="shared" si="4"/>
        <v>0.970873786407767</v>
      </c>
      <c r="AC33" s="1352">
        <f t="shared" si="5"/>
        <v>0.970873786407767</v>
      </c>
    </row>
    <row r="34" spans="1:29" ht="15">
      <c r="A34" s="423"/>
      <c r="B34" s="375" t="s">
        <v>1698</v>
      </c>
      <c r="C34" s="1911" t="s">
        <v>3473</v>
      </c>
      <c r="D34" s="386">
        <v>100</v>
      </c>
      <c r="E34" s="1911" t="s">
        <v>3471</v>
      </c>
      <c r="F34" s="412">
        <f>SUMIF(105:105,E34,106:106)-SUMIF(105:105,C34,106:106)+100</f>
        <v>101</v>
      </c>
      <c r="G34" s="1911" t="s">
        <v>3471</v>
      </c>
      <c r="H34" s="386">
        <f>SUMIF(105:105,G34,106:106)-SUMIF(105:105,C34,106:106)+100</f>
        <v>101</v>
      </c>
      <c r="I34" s="1911" t="s">
        <v>3471</v>
      </c>
      <c r="J34" s="386">
        <f>SUMIF(105:105,I34,106:106)-SUMIF(105:105,C34,106:106)+100</f>
        <v>101</v>
      </c>
      <c r="K34" s="561">
        <v>1</v>
      </c>
      <c r="L34" s="2719"/>
      <c r="M34" s="2713"/>
      <c r="N34" s="2713"/>
      <c r="O34" s="2713"/>
      <c r="P34" s="3845"/>
      <c r="Q34" s="1351" t="str">
        <f t="shared" si="11"/>
        <v>建筑结构</v>
      </c>
      <c r="R34" s="704" t="s">
        <v>14</v>
      </c>
      <c r="S34" s="705">
        <f t="shared" si="12"/>
        <v>101</v>
      </c>
      <c r="T34" s="704" t="s">
        <v>14</v>
      </c>
      <c r="U34" s="705">
        <f t="shared" si="13"/>
        <v>101</v>
      </c>
      <c r="V34" s="704" t="s">
        <v>14</v>
      </c>
      <c r="W34" s="705">
        <f t="shared" si="14"/>
        <v>101</v>
      </c>
      <c r="X34" s="1354"/>
      <c r="Y34" s="3847"/>
      <c r="Z34" s="1355" t="str">
        <f t="shared" si="15"/>
        <v>建筑结构</v>
      </c>
      <c r="AA34" s="1352">
        <f t="shared" si="3"/>
        <v>0.99009900990099009</v>
      </c>
      <c r="AB34" s="1352">
        <f t="shared" si="4"/>
        <v>0.99009900990099009</v>
      </c>
      <c r="AC34" s="1352">
        <f t="shared" si="5"/>
        <v>0.99009900990099009</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845"/>
      <c r="Q35" s="1351" t="str">
        <f t="shared" si="11"/>
        <v>公共部分装修</v>
      </c>
      <c r="R35" s="704" t="s">
        <v>14</v>
      </c>
      <c r="S35" s="705">
        <f t="shared" si="12"/>
        <v>100</v>
      </c>
      <c r="T35" s="704" t="s">
        <v>14</v>
      </c>
      <c r="U35" s="705">
        <f t="shared" si="13"/>
        <v>100</v>
      </c>
      <c r="V35" s="704" t="s">
        <v>14</v>
      </c>
      <c r="W35" s="705">
        <f t="shared" si="14"/>
        <v>100</v>
      </c>
      <c r="X35" s="1354"/>
      <c r="Y35" s="3847"/>
      <c r="Z35" s="1355" t="str">
        <f t="shared" si="15"/>
        <v>公共部分装修</v>
      </c>
      <c r="AA35" s="1352">
        <f t="shared" si="3"/>
        <v>1</v>
      </c>
      <c r="AB35" s="1352">
        <f t="shared" si="4"/>
        <v>1</v>
      </c>
      <c r="AC35" s="1352">
        <f t="shared" si="5"/>
        <v>1</v>
      </c>
    </row>
    <row r="36" spans="1:29" ht="15">
      <c r="A36" s="423"/>
      <c r="B36" s="375" t="s">
        <v>1786</v>
      </c>
      <c r="C36" s="425">
        <f>'数据-取费表'!N6</f>
        <v>0.6</v>
      </c>
      <c r="D36" s="386">
        <v>100</v>
      </c>
      <c r="E36" s="425">
        <v>0.74</v>
      </c>
      <c r="F36" s="412">
        <f>LOOKUP(E36,110:110,111:111)-LOOKUP(C36,110:110,111:111)+100</f>
        <v>101</v>
      </c>
      <c r="G36" s="425">
        <v>0.8</v>
      </c>
      <c r="H36" s="412">
        <f>LOOKUP(G36,110:110,111:111)-LOOKUP(C36,110:110,111:111)+100</f>
        <v>102</v>
      </c>
      <c r="I36" s="425">
        <v>0.8</v>
      </c>
      <c r="J36" s="386">
        <f>LOOKUP(I36,110:110,111:111)-LOOKUP(C36,110:110,111:111)+100</f>
        <v>102</v>
      </c>
      <c r="K36" s="561">
        <v>1</v>
      </c>
      <c r="L36" s="2719"/>
      <c r="M36" s="2713"/>
      <c r="N36" s="2713"/>
      <c r="O36" s="2713"/>
      <c r="P36" s="3845"/>
      <c r="Q36" s="1351" t="str">
        <f t="shared" si="11"/>
        <v>成新度</v>
      </c>
      <c r="R36" s="704" t="s">
        <v>14</v>
      </c>
      <c r="S36" s="705">
        <f t="shared" si="12"/>
        <v>101</v>
      </c>
      <c r="T36" s="704" t="s">
        <v>14</v>
      </c>
      <c r="U36" s="705">
        <f t="shared" si="13"/>
        <v>102</v>
      </c>
      <c r="V36" s="704" t="s">
        <v>14</v>
      </c>
      <c r="W36" s="705">
        <f t="shared" si="14"/>
        <v>102</v>
      </c>
      <c r="X36" s="1354"/>
      <c r="Y36" s="3847"/>
      <c r="Z36" s="1355" t="str">
        <f t="shared" si="15"/>
        <v>成新度</v>
      </c>
      <c r="AA36" s="1352">
        <f t="shared" si="3"/>
        <v>0.99009900990099009</v>
      </c>
      <c r="AB36" s="1352">
        <f t="shared" si="4"/>
        <v>0.98039215686274506</v>
      </c>
      <c r="AC36" s="1352">
        <f t="shared" si="5"/>
        <v>0.98039215686274506</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845"/>
      <c r="Q37" s="1342" t="str">
        <f t="shared" si="11"/>
        <v>市政基础设施</v>
      </c>
      <c r="R37" s="700" t="s">
        <v>14</v>
      </c>
      <c r="S37" s="701">
        <f t="shared" si="12"/>
        <v>100</v>
      </c>
      <c r="T37" s="700" t="s">
        <v>14</v>
      </c>
      <c r="U37" s="701">
        <f t="shared" si="13"/>
        <v>100</v>
      </c>
      <c r="V37" s="700" t="s">
        <v>14</v>
      </c>
      <c r="W37" s="701">
        <f t="shared" si="14"/>
        <v>100</v>
      </c>
      <c r="X37" s="702"/>
      <c r="Y37" s="3847"/>
      <c r="Z37" s="52" t="str">
        <f t="shared" si="15"/>
        <v>市政基础设施</v>
      </c>
      <c r="AA37" s="703">
        <f t="shared" si="3"/>
        <v>1</v>
      </c>
      <c r="AB37" s="703">
        <f t="shared" si="4"/>
        <v>1</v>
      </c>
      <c r="AC37" s="703">
        <f t="shared" si="5"/>
        <v>1</v>
      </c>
    </row>
    <row r="38" spans="1:29" ht="15">
      <c r="A38" s="423"/>
      <c r="B38" s="375" t="s">
        <v>1788</v>
      </c>
      <c r="C38" s="1905" t="s">
        <v>3467</v>
      </c>
      <c r="D38" s="386">
        <v>100</v>
      </c>
      <c r="E38" s="1905" t="s">
        <v>3467</v>
      </c>
      <c r="F38" s="412">
        <f>SUMIF(114:114,E38,115:115)-SUMIF(114:114,C38,115:115)+100</f>
        <v>100</v>
      </c>
      <c r="G38" s="1905" t="s">
        <v>3467</v>
      </c>
      <c r="H38" s="386">
        <f>SUMIF(114:114,G38,115:115)-SUMIF(114:114,C38,115:115)+100</f>
        <v>100</v>
      </c>
      <c r="I38" s="1905" t="s">
        <v>3467</v>
      </c>
      <c r="J38" s="386">
        <f>SUMIF(114:114,I38,115:115)-SUMIF(114:114,C38,115:115)+100</f>
        <v>100</v>
      </c>
      <c r="K38" s="561"/>
      <c r="L38" s="2719"/>
      <c r="M38" s="2713"/>
      <c r="N38" s="2713"/>
      <c r="O38" s="2713"/>
      <c r="P38" s="3845" t="s">
        <v>1696</v>
      </c>
      <c r="Q38" s="1351" t="str">
        <f t="shared" si="11"/>
        <v>业态</v>
      </c>
      <c r="R38" s="704" t="s">
        <v>14</v>
      </c>
      <c r="S38" s="705">
        <f t="shared" si="12"/>
        <v>100</v>
      </c>
      <c r="T38" s="704" t="s">
        <v>14</v>
      </c>
      <c r="U38" s="705">
        <f t="shared" si="13"/>
        <v>100</v>
      </c>
      <c r="V38" s="704" t="s">
        <v>14</v>
      </c>
      <c r="W38" s="705">
        <f t="shared" si="14"/>
        <v>100</v>
      </c>
      <c r="X38" s="1354"/>
      <c r="Y38" s="3847" t="s">
        <v>1696</v>
      </c>
      <c r="Z38" s="1355" t="str">
        <f t="shared" si="15"/>
        <v>业态</v>
      </c>
      <c r="AA38" s="1352">
        <f t="shared" si="3"/>
        <v>1</v>
      </c>
      <c r="AB38" s="1352">
        <f t="shared" si="4"/>
        <v>1</v>
      </c>
      <c r="AC38" s="1352">
        <f t="shared" si="5"/>
        <v>1</v>
      </c>
    </row>
    <row r="39" spans="1:29" ht="15">
      <c r="A39" s="423"/>
      <c r="B39" s="375" t="s">
        <v>1789</v>
      </c>
      <c r="C39" s="1905" t="s">
        <v>3469</v>
      </c>
      <c r="D39" s="386">
        <v>100</v>
      </c>
      <c r="E39" s="1905" t="s">
        <v>3469</v>
      </c>
      <c r="F39" s="412">
        <f>SUMIF(116:116,E39,117:117)-SUMIF(116:116,C39,117:117)+100</f>
        <v>100</v>
      </c>
      <c r="G39" s="1905" t="s">
        <v>3469</v>
      </c>
      <c r="H39" s="386">
        <f>SUMIF(116:116,G39,117:117)-SUMIF(116:116,C39,117:117)+100</f>
        <v>100</v>
      </c>
      <c r="I39" s="1905" t="s">
        <v>3469</v>
      </c>
      <c r="J39" s="386">
        <f>SUMIF(116:116,I39,117:117)-SUMIF(116:116,C39,117:117)+100</f>
        <v>100</v>
      </c>
      <c r="K39" s="561"/>
      <c r="L39" s="2719"/>
      <c r="M39" s="2713"/>
      <c r="N39" s="2713"/>
      <c r="O39" s="2713"/>
      <c r="P39" s="3845"/>
      <c r="Q39" s="1351" t="str">
        <f t="shared" si="11"/>
        <v>层高</v>
      </c>
      <c r="R39" s="704" t="s">
        <v>14</v>
      </c>
      <c r="S39" s="705">
        <f t="shared" si="12"/>
        <v>100</v>
      </c>
      <c r="T39" s="704" t="s">
        <v>14</v>
      </c>
      <c r="U39" s="705">
        <f t="shared" si="13"/>
        <v>100</v>
      </c>
      <c r="V39" s="704" t="s">
        <v>14</v>
      </c>
      <c r="W39" s="705">
        <f t="shared" si="14"/>
        <v>100</v>
      </c>
      <c r="X39" s="1354"/>
      <c r="Y39" s="3847"/>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45"/>
      <c r="Q40" s="1351" t="str">
        <f t="shared" si="11"/>
        <v>单套建筑面积</v>
      </c>
      <c r="R40" s="704" t="s">
        <v>14</v>
      </c>
      <c r="S40" s="705">
        <f t="shared" si="12"/>
        <v>100</v>
      </c>
      <c r="T40" s="704" t="s">
        <v>14</v>
      </c>
      <c r="U40" s="705">
        <f t="shared" si="13"/>
        <v>100</v>
      </c>
      <c r="V40" s="704" t="s">
        <v>14</v>
      </c>
      <c r="W40" s="705">
        <f t="shared" si="14"/>
        <v>100</v>
      </c>
      <c r="X40" s="1354"/>
      <c r="Y40" s="3847"/>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45"/>
      <c r="Q41" s="706" t="str">
        <f t="shared" si="11"/>
        <v>进深比</v>
      </c>
      <c r="R41" s="707" t="s">
        <v>14</v>
      </c>
      <c r="S41" s="708">
        <f t="shared" si="12"/>
        <v>100</v>
      </c>
      <c r="T41" s="707" t="s">
        <v>14</v>
      </c>
      <c r="U41" s="708">
        <f t="shared" si="13"/>
        <v>100</v>
      </c>
      <c r="V41" s="707" t="s">
        <v>14</v>
      </c>
      <c r="W41" s="708">
        <f t="shared" si="14"/>
        <v>100</v>
      </c>
      <c r="X41" s="709"/>
      <c r="Y41" s="3847"/>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845"/>
      <c r="Q42" s="1351" t="str">
        <f t="shared" si="11"/>
        <v>内部装修</v>
      </c>
      <c r="R42" s="704" t="s">
        <v>14</v>
      </c>
      <c r="S42" s="705">
        <f t="shared" si="12"/>
        <v>100</v>
      </c>
      <c r="T42" s="704" t="s">
        <v>14</v>
      </c>
      <c r="U42" s="705">
        <f t="shared" si="13"/>
        <v>100</v>
      </c>
      <c r="V42" s="704" t="s">
        <v>14</v>
      </c>
      <c r="W42" s="705">
        <f t="shared" si="14"/>
        <v>100</v>
      </c>
      <c r="X42" s="1354"/>
      <c r="Y42" s="3847"/>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845"/>
      <c r="Q43" s="1351" t="str">
        <f t="shared" si="11"/>
        <v>内部装修维护情况</v>
      </c>
      <c r="R43" s="704" t="s">
        <v>14</v>
      </c>
      <c r="S43" s="705">
        <f t="shared" si="12"/>
        <v>100</v>
      </c>
      <c r="T43" s="704" t="s">
        <v>14</v>
      </c>
      <c r="U43" s="705">
        <f t="shared" si="13"/>
        <v>100</v>
      </c>
      <c r="V43" s="704" t="s">
        <v>14</v>
      </c>
      <c r="W43" s="705">
        <f t="shared" si="14"/>
        <v>100</v>
      </c>
      <c r="X43" s="1354"/>
      <c r="Y43" s="3847"/>
      <c r="Z43" s="1355" t="str">
        <f t="shared" si="15"/>
        <v>内部装修维护情况</v>
      </c>
      <c r="AA43" s="1352">
        <f t="shared" si="3"/>
        <v>1</v>
      </c>
      <c r="AB43" s="1352">
        <f t="shared" si="4"/>
        <v>1</v>
      </c>
      <c r="AC43" s="1352">
        <f t="shared" si="5"/>
        <v>1</v>
      </c>
    </row>
    <row r="44" spans="1:29" s="108" customFormat="1" ht="15">
      <c r="A44" s="424"/>
      <c r="B44" s="3462" t="s">
        <v>3478</v>
      </c>
      <c r="C44" s="420">
        <f>'数据-取费表'!N18</f>
        <v>1992</v>
      </c>
      <c r="D44" s="127">
        <v>100</v>
      </c>
      <c r="E44" s="385" t="s">
        <v>3477</v>
      </c>
      <c r="F44" s="376">
        <f>SUMIF(126:126,E44,127:127)-SUMIF(126:126,C44,127:127)+100</f>
        <v>100</v>
      </c>
      <c r="G44" s="385" t="s">
        <v>3479</v>
      </c>
      <c r="H44" s="127">
        <f>SUMIF(126:126,G44,127:127)-SUMIF(126:126,C44,127:127)+100</f>
        <v>100</v>
      </c>
      <c r="I44" s="385" t="s">
        <v>3480</v>
      </c>
      <c r="J44" s="127">
        <f>SUMIF(126:126,I44,127:127)-SUMIF(126:126,C44,127:127)+100</f>
        <v>100</v>
      </c>
      <c r="K44" s="562"/>
      <c r="L44" s="2714"/>
      <c r="M44" s="2715"/>
      <c r="N44" s="2715"/>
      <c r="O44" s="2715"/>
      <c r="P44" s="3845"/>
      <c r="Q44" s="1342" t="str">
        <f t="shared" si="11"/>
        <v>建成年代</v>
      </c>
      <c r="R44" s="700" t="s">
        <v>14</v>
      </c>
      <c r="S44" s="701">
        <f t="shared" si="12"/>
        <v>100</v>
      </c>
      <c r="T44" s="700" t="s">
        <v>14</v>
      </c>
      <c r="U44" s="701">
        <f t="shared" si="13"/>
        <v>100</v>
      </c>
      <c r="V44" s="700" t="s">
        <v>14</v>
      </c>
      <c r="W44" s="701">
        <f t="shared" si="14"/>
        <v>100</v>
      </c>
      <c r="X44" s="702"/>
      <c r="Y44" s="3847"/>
      <c r="Z44" s="52" t="str">
        <f t="shared" si="15"/>
        <v>建成年代</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45"/>
      <c r="Q45" s="1351">
        <f t="shared" si="11"/>
        <v>111</v>
      </c>
      <c r="R45" s="704" t="s">
        <v>14</v>
      </c>
      <c r="S45" s="705">
        <f t="shared" si="12"/>
        <v>100</v>
      </c>
      <c r="T45" s="704" t="s">
        <v>14</v>
      </c>
      <c r="U45" s="705">
        <f t="shared" si="13"/>
        <v>100</v>
      </c>
      <c r="V45" s="704" t="s">
        <v>14</v>
      </c>
      <c r="W45" s="705">
        <f t="shared" si="14"/>
        <v>100</v>
      </c>
      <c r="X45" s="1354"/>
      <c r="Y45" s="3847"/>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46"/>
      <c r="Q46" s="1351">
        <f t="shared" si="11"/>
        <v>111</v>
      </c>
      <c r="R46" s="704" t="s">
        <v>14</v>
      </c>
      <c r="S46" s="705">
        <f t="shared" si="12"/>
        <v>100</v>
      </c>
      <c r="T46" s="704" t="s">
        <v>14</v>
      </c>
      <c r="U46" s="705">
        <f t="shared" si="13"/>
        <v>100</v>
      </c>
      <c r="V46" s="704" t="s">
        <v>14</v>
      </c>
      <c r="W46" s="705">
        <f t="shared" si="14"/>
        <v>100</v>
      </c>
      <c r="X46" s="1354"/>
      <c r="Y46" s="3848"/>
      <c r="Z46" s="1355">
        <f t="shared" si="15"/>
        <v>111</v>
      </c>
      <c r="AA46" s="1352">
        <f t="shared" si="3"/>
        <v>1</v>
      </c>
      <c r="AB46" s="1352">
        <f t="shared" si="4"/>
        <v>1</v>
      </c>
      <c r="AC46" s="1352">
        <f t="shared" si="5"/>
        <v>1</v>
      </c>
    </row>
    <row r="47" spans="1:29" ht="15">
      <c r="A47" s="430" t="s">
        <v>1708</v>
      </c>
      <c r="B47" s="431"/>
      <c r="C47" s="1153" t="s">
        <v>0</v>
      </c>
      <c r="D47" s="1154"/>
      <c r="E47" s="1155">
        <v>33792</v>
      </c>
      <c r="F47" s="1156"/>
      <c r="G47" s="1157">
        <v>31398</v>
      </c>
      <c r="H47" s="1158"/>
      <c r="I47" s="1155">
        <v>31804</v>
      </c>
      <c r="J47" s="1158"/>
      <c r="K47" s="713"/>
      <c r="L47" s="2721"/>
      <c r="M47" s="2722"/>
      <c r="N47" s="2713"/>
      <c r="O47" s="2722"/>
      <c r="P47" s="3849" t="str">
        <f>A47</f>
        <v>成交单价（元/平方米）</v>
      </c>
      <c r="Q47" s="3849"/>
      <c r="R47" s="3837">
        <f>E47</f>
        <v>33792</v>
      </c>
      <c r="S47" s="3837"/>
      <c r="T47" s="3837">
        <f>G47</f>
        <v>31398</v>
      </c>
      <c r="U47" s="3837"/>
      <c r="V47" s="3837">
        <f>I47</f>
        <v>31804</v>
      </c>
      <c r="W47" s="3837"/>
      <c r="X47" s="689"/>
      <c r="Y47" s="711"/>
      <c r="Z47" s="689"/>
      <c r="AA47" s="689"/>
      <c r="AB47" s="689"/>
      <c r="AC47" s="689"/>
    </row>
    <row r="48" spans="1:29" ht="15.75" thickBot="1">
      <c r="A48" s="437" t="s">
        <v>1793</v>
      </c>
      <c r="B48" s="438"/>
      <c r="C48" s="1159">
        <f>R49</f>
        <v>23757</v>
      </c>
      <c r="D48" s="2316" t="s">
        <v>2137</v>
      </c>
      <c r="E48" s="1160">
        <f>R48</f>
        <v>24990</v>
      </c>
      <c r="F48" s="2317"/>
      <c r="G48" s="1159">
        <f>T48</f>
        <v>22992</v>
      </c>
      <c r="H48" s="2317"/>
      <c r="I48" s="1160">
        <f>V48</f>
        <v>23289</v>
      </c>
      <c r="J48" s="2317"/>
      <c r="K48" s="2319">
        <f>F48+H48+J48</f>
        <v>0</v>
      </c>
      <c r="L48" s="2721"/>
      <c r="M48" s="2722"/>
      <c r="N48" s="2713"/>
      <c r="O48" s="2722"/>
      <c r="P48" s="3849" t="str">
        <f>A48</f>
        <v>比较价值（元/平方米）</v>
      </c>
      <c r="Q48" s="3849"/>
      <c r="R48" s="3850">
        <f>IF(F1="售价",ROUND(PRODUCT(R47,AA7:AA46),0),ROUND(PRODUCT(R47,AA7:AA46),1))</f>
        <v>24990</v>
      </c>
      <c r="S48" s="3850"/>
      <c r="T48" s="3850">
        <f>IF(F1="售价",ROUND(PRODUCT(T47,AB7:AB46),0),ROUND(PRODUCT(T47,AB7:AB46),1))</f>
        <v>22992</v>
      </c>
      <c r="U48" s="3850"/>
      <c r="V48" s="3850">
        <f>IF(F1="售价",ROUND(PRODUCT(V47,AC7:AC46),0),ROUND(PRODUCT(V47,AC7:AC46),1))</f>
        <v>23289</v>
      </c>
      <c r="W48" s="3850"/>
      <c r="X48" s="689"/>
      <c r="Y48" s="689"/>
      <c r="Z48" s="689"/>
      <c r="AA48" s="689"/>
      <c r="AB48" s="689"/>
      <c r="AC48" s="689"/>
    </row>
    <row r="49" spans="1:29" ht="15.75" thickBot="1">
      <c r="A49" s="441" t="s">
        <v>1794</v>
      </c>
      <c r="B49" s="442"/>
      <c r="C49" s="1162">
        <f>R49</f>
        <v>23757</v>
      </c>
      <c r="D49" s="1162"/>
      <c r="E49" s="1162"/>
      <c r="F49" s="1162"/>
      <c r="G49" s="1162"/>
      <c r="H49" s="1162"/>
      <c r="I49" s="1162"/>
      <c r="J49" s="1162"/>
      <c r="K49" s="714"/>
      <c r="L49" s="2721"/>
      <c r="M49" s="2722"/>
      <c r="N49" s="2713"/>
      <c r="O49" s="2722"/>
      <c r="P49" s="3884" t="str">
        <f>A49</f>
        <v>估价对象XX用房的比较价值（楼面单价，元/平方米）</v>
      </c>
      <c r="Q49" s="3885"/>
      <c r="R49" s="3886">
        <f>IF(F1="售价",ROUND(IF(D48="简单平均",AVERAGE(R48:V48),R48*F48+T48*H48+V48*J48),0),ROUND(IF(D48="简单平均",AVERAGE(R48:V48),R48*F48+T48*H48+V48*J48),1))</f>
        <v>23757</v>
      </c>
      <c r="S49" s="3886"/>
      <c r="T49" s="3886"/>
      <c r="U49" s="3886"/>
      <c r="V49" s="3886"/>
      <c r="W49" s="3886"/>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0.35222088835534215</v>
      </c>
      <c r="F52" s="449" t="str">
        <f>IF(OR(E52&gt;=0.3,E52&lt;=-0.3),"超过30%","")</f>
        <v>超过30%</v>
      </c>
      <c r="G52" s="448">
        <f>IF(G47&lt;G48,G48/G47-1,G47/G48-1)</f>
        <v>0.36560542797494788</v>
      </c>
      <c r="H52" s="449" t="str">
        <f>IF(OR(G52&gt;=0.3,G52&lt;=-0.3),"超过30%","")</f>
        <v>超过30%</v>
      </c>
      <c r="I52" s="448">
        <f>IF(I47&lt;I48,I48/I47-1,I47/I48-1)</f>
        <v>0.36562325561423847</v>
      </c>
      <c r="J52" s="449" t="str">
        <f>IF(OR(I52&gt;=0.3,I52&lt;=-0.3),"超过30%","")</f>
        <v>超过30%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8.6899791231732859E-2</v>
      </c>
      <c r="F53" s="449" t="str">
        <f>IF(OR(E53&gt;=0.2,E53&lt;=-0.2),"超过20%","")</f>
        <v/>
      </c>
      <c r="G53" s="448">
        <f>IF(G48&lt;I48,I48/G48-1,G48/I48-1)</f>
        <v>1.2917536534446716E-2</v>
      </c>
      <c r="H53" s="449" t="str">
        <f>IF(OR(G53&gt;=0.2,G53&lt;=-0.2),"超过20%","")</f>
        <v/>
      </c>
      <c r="I53" s="448">
        <f>IF(I48&lt;E48,E48/I48-1,I48/E48-1)</f>
        <v>7.3038773669972912E-2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7.6246894706669233E-2</v>
      </c>
      <c r="F54" s="449" t="str">
        <f>IF(OR(E54&gt;=0.3,E54&lt;=-0.3),"超过30%","")</f>
        <v/>
      </c>
      <c r="G54" s="448">
        <f>IF(G47&lt;I47,I47/G47-1,G47/I47-1)</f>
        <v>1.2930759921014001E-2</v>
      </c>
      <c r="H54" s="449" t="str">
        <f>IF(OR(G54&gt;=0.3,G54&lt;=-0.3),"超过30%","")</f>
        <v/>
      </c>
      <c r="I54" s="448">
        <f>IF(I47&lt;E47,E47/I47-1,I47/E47-1)</f>
        <v>6.2507860646459523E-2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2025-2</v>
      </c>
      <c r="D58" s="1184">
        <f>EDATE(C58,-1)</f>
        <v>45658</v>
      </c>
      <c r="E58" s="1184">
        <f t="shared" ref="E58:N58" si="16">EDATE(D58,-1)</f>
        <v>45627</v>
      </c>
      <c r="F58" s="1184">
        <f t="shared" si="16"/>
        <v>45597</v>
      </c>
      <c r="G58" s="1184">
        <f t="shared" si="16"/>
        <v>45566</v>
      </c>
      <c r="H58" s="1184">
        <f t="shared" si="16"/>
        <v>45536</v>
      </c>
      <c r="I58" s="1184">
        <f t="shared" si="16"/>
        <v>45505</v>
      </c>
      <c r="J58" s="1184">
        <f t="shared" si="16"/>
        <v>45474</v>
      </c>
      <c r="K58" s="1184">
        <f t="shared" si="16"/>
        <v>45444</v>
      </c>
      <c r="L58" s="1184">
        <f t="shared" si="16"/>
        <v>45413</v>
      </c>
      <c r="M58" s="1184">
        <f t="shared" si="16"/>
        <v>45383</v>
      </c>
      <c r="N58" s="1184">
        <f t="shared" si="16"/>
        <v>45352</v>
      </c>
      <c r="O58" s="1184">
        <f>EDATE(N58,-1)</f>
        <v>45323</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3460" t="s">
        <v>3436</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t="s">
        <v>3438</v>
      </c>
      <c r="D65" s="532" t="s">
        <v>3439</v>
      </c>
      <c r="E65" s="532" t="s">
        <v>3440</v>
      </c>
      <c r="F65" s="532" t="s">
        <v>3441</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20">D83-$K21</f>
        <v>100</v>
      </c>
      <c r="F83" s="493">
        <f t="shared" si="20"/>
        <v>100</v>
      </c>
      <c r="G83" s="493">
        <f t="shared" si="20"/>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64" t="s">
        <v>3447</v>
      </c>
      <c r="D86" s="3464" t="s">
        <v>3449</v>
      </c>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3453</v>
      </c>
      <c r="D88" s="503" t="s">
        <v>3426</v>
      </c>
      <c r="E88" s="503" t="s">
        <v>3427</v>
      </c>
      <c r="F88" s="1926" t="s">
        <v>3451</v>
      </c>
      <c r="G88" s="503" t="s">
        <v>3454</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64" t="s">
        <v>3455</v>
      </c>
      <c r="D90" s="3464" t="s">
        <v>3457</v>
      </c>
      <c r="E90" s="3464" t="s">
        <v>3458</v>
      </c>
      <c r="F90" s="3464" t="s">
        <v>3459</v>
      </c>
      <c r="G90" s="3464" t="s">
        <v>3460</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3">D91-$K27</f>
        <v>96</v>
      </c>
      <c r="F91" s="493">
        <f t="shared" si="23"/>
        <v>94</v>
      </c>
      <c r="G91" s="493">
        <f t="shared" si="23"/>
        <v>92</v>
      </c>
      <c r="H91" s="493">
        <f t="shared" si="23"/>
        <v>90</v>
      </c>
      <c r="I91" s="493">
        <f t="shared" si="23"/>
        <v>88</v>
      </c>
      <c r="J91" s="493">
        <f t="shared" si="23"/>
        <v>86</v>
      </c>
      <c r="K91" s="493">
        <f t="shared" si="23"/>
        <v>84</v>
      </c>
      <c r="L91" s="493">
        <f t="shared" si="23"/>
        <v>82</v>
      </c>
      <c r="M91" s="493">
        <f t="shared" si="23"/>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3461</v>
      </c>
      <c r="D92" s="503" t="s">
        <v>3462</v>
      </c>
      <c r="E92" s="503" t="s">
        <v>3463</v>
      </c>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f>'数据-取费表'!V22*100</f>
        <v>75</v>
      </c>
      <c r="E93" s="485">
        <f>'数据-取费表'!V23*100</f>
        <v>65</v>
      </c>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t="str">
        <f>B29</f>
        <v>板块</v>
      </c>
      <c r="C94" s="3464" t="s">
        <v>3444</v>
      </c>
      <c r="D94" s="3464" t="s">
        <v>3445</v>
      </c>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v>100</v>
      </c>
      <c r="D95" s="485">
        <v>90</v>
      </c>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4">C101-$K32</f>
        <v>100</v>
      </c>
      <c r="E101" s="493">
        <f t="shared" si="24"/>
        <v>100</v>
      </c>
      <c r="F101" s="493">
        <f t="shared" si="24"/>
        <v>100</v>
      </c>
      <c r="G101" s="493">
        <f t="shared" si="24"/>
        <v>100</v>
      </c>
      <c r="H101" s="493">
        <f t="shared" si="24"/>
        <v>100</v>
      </c>
      <c r="I101" s="493">
        <f t="shared" si="24"/>
        <v>100</v>
      </c>
      <c r="J101" s="493">
        <f t="shared" si="24"/>
        <v>100</v>
      </c>
      <c r="K101" s="493">
        <f t="shared" si="24"/>
        <v>100</v>
      </c>
      <c r="L101" s="493">
        <f t="shared" si="24"/>
        <v>100</v>
      </c>
      <c r="M101" s="494">
        <f t="shared" si="24"/>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99</v>
      </c>
      <c r="E104" s="485">
        <v>98</v>
      </c>
      <c r="F104" s="485">
        <v>97</v>
      </c>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64" t="s">
        <v>3472</v>
      </c>
      <c r="D105" s="3464" t="s">
        <v>3474</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64" t="s">
        <v>3466</v>
      </c>
      <c r="D114" s="3464" t="s">
        <v>3468</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64" t="s">
        <v>3470</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4">
        <f t="shared" si="32"/>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建成年代</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4460</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824" t="s">
        <v>1770</v>
      </c>
      <c r="D4" s="3825"/>
      <c r="E4" s="3826" t="s">
        <v>1771</v>
      </c>
      <c r="F4" s="3827"/>
      <c r="G4" s="3824" t="s">
        <v>1772</v>
      </c>
      <c r="H4" s="3825"/>
      <c r="I4" s="3824" t="s">
        <v>1773</v>
      </c>
      <c r="J4" s="3825"/>
      <c r="K4" s="559" t="s">
        <v>1774</v>
      </c>
      <c r="L4" s="912"/>
      <c r="M4" s="913"/>
      <c r="N4" s="913"/>
      <c r="O4" s="913"/>
      <c r="P4" s="3880" t="s">
        <v>1775</v>
      </c>
      <c r="Q4" s="3881"/>
      <c r="R4" s="3876" t="s">
        <v>1771</v>
      </c>
      <c r="S4" s="3877"/>
      <c r="T4" s="3876" t="s">
        <v>1772</v>
      </c>
      <c r="U4" s="3877"/>
      <c r="V4" s="3837" t="s">
        <v>1773</v>
      </c>
      <c r="W4" s="3837"/>
      <c r="X4" s="1354"/>
      <c r="Y4" s="3876" t="s">
        <v>1775</v>
      </c>
      <c r="Z4" s="3877"/>
      <c r="AA4" s="3875" t="s">
        <v>1771</v>
      </c>
      <c r="AB4" s="3804" t="s">
        <v>1772</v>
      </c>
      <c r="AC4" s="3875" t="s">
        <v>1773</v>
      </c>
    </row>
    <row r="5" spans="1:29" ht="15">
      <c r="A5" s="358"/>
      <c r="B5" s="359"/>
      <c r="C5" s="3879" t="s">
        <v>1673</v>
      </c>
      <c r="D5" s="3815"/>
      <c r="E5" s="3878" t="s">
        <v>1674</v>
      </c>
      <c r="F5" s="3813"/>
      <c r="G5" s="3879" t="s">
        <v>1675</v>
      </c>
      <c r="H5" s="3815"/>
      <c r="I5" s="3879" t="s">
        <v>1676</v>
      </c>
      <c r="J5" s="3815"/>
      <c r="K5" s="559"/>
      <c r="L5" s="912"/>
      <c r="M5" s="913"/>
      <c r="N5" s="913"/>
      <c r="O5" s="913"/>
      <c r="P5" s="3882"/>
      <c r="Q5" s="3831"/>
      <c r="R5" s="3810"/>
      <c r="S5" s="3811"/>
      <c r="T5" s="3810"/>
      <c r="U5" s="3811"/>
      <c r="V5" s="3837"/>
      <c r="W5" s="3837"/>
      <c r="X5" s="1354"/>
      <c r="Y5" s="3810"/>
      <c r="Z5" s="3811"/>
      <c r="AA5" s="3804"/>
      <c r="AB5" s="3804"/>
      <c r="AC5" s="3804"/>
    </row>
    <row r="6" spans="1:29" ht="15.75" thickBot="1">
      <c r="A6" s="360"/>
      <c r="B6" s="361"/>
      <c r="C6" s="3816" t="s">
        <v>1677</v>
      </c>
      <c r="D6" s="3817"/>
      <c r="E6" s="3818" t="s">
        <v>1677</v>
      </c>
      <c r="F6" s="3819"/>
      <c r="G6" s="3816" t="s">
        <v>1677</v>
      </c>
      <c r="H6" s="3817"/>
      <c r="I6" s="3816" t="s">
        <v>1677</v>
      </c>
      <c r="J6" s="3817"/>
      <c r="K6" s="559" t="s">
        <v>1678</v>
      </c>
      <c r="L6" s="912"/>
      <c r="M6" s="913"/>
      <c r="N6" s="913"/>
      <c r="O6" s="913"/>
      <c r="P6" s="3883"/>
      <c r="Q6" s="3833"/>
      <c r="R6" s="3810"/>
      <c r="S6" s="3811"/>
      <c r="T6" s="3834"/>
      <c r="U6" s="3835"/>
      <c r="V6" s="3837"/>
      <c r="W6" s="3837"/>
      <c r="X6" s="1354"/>
      <c r="Y6" s="3834"/>
      <c r="Z6" s="3835"/>
      <c r="AA6" s="3805"/>
      <c r="AB6" s="3805"/>
      <c r="AC6" s="3805"/>
    </row>
    <row r="7" spans="1:29" s="108" customFormat="1" ht="15.75" thickBot="1">
      <c r="A7" s="362" t="s">
        <v>1679</v>
      </c>
      <c r="B7" s="363"/>
      <c r="C7" s="364">
        <f>'数据-取费表'!B2</f>
        <v>45706</v>
      </c>
      <c r="D7" s="365">
        <v>100</v>
      </c>
      <c r="E7" s="366"/>
      <c r="F7" s="367">
        <f>SUMIF(52:52,YEAR(E7)&amp;"-"&amp;MONTH(E7),53:53)</f>
        <v>0</v>
      </c>
      <c r="G7" s="366"/>
      <c r="H7" s="365">
        <f>SUMIF(52:52,YEAR(G7)&amp;"-"&amp;MONTH(G7),53:53)</f>
        <v>0</v>
      </c>
      <c r="I7" s="366"/>
      <c r="J7" s="365">
        <f>SUMIF(52:52,YEAR(I7)&amp;"-"&amp;MONTH(I7),53:53)</f>
        <v>0</v>
      </c>
      <c r="K7" s="560"/>
      <c r="L7" s="914"/>
      <c r="M7" s="915"/>
      <c r="N7" s="915"/>
      <c r="O7" s="915"/>
      <c r="P7" s="3806" t="s">
        <v>1680</v>
      </c>
      <c r="Q7" s="3839"/>
      <c r="R7" s="700" t="s">
        <v>14</v>
      </c>
      <c r="S7" s="701">
        <f t="shared" ref="S7:S15" si="0">F7</f>
        <v>0</v>
      </c>
      <c r="T7" s="700" t="s">
        <v>14</v>
      </c>
      <c r="U7" s="701">
        <f t="shared" ref="U7:U15" si="1">H7</f>
        <v>0</v>
      </c>
      <c r="V7" s="700" t="s">
        <v>14</v>
      </c>
      <c r="W7" s="701">
        <f t="shared" ref="W7:W15" si="2">J7</f>
        <v>0</v>
      </c>
      <c r="X7" s="702"/>
      <c r="Y7" s="3806" t="s">
        <v>1680</v>
      </c>
      <c r="Z7" s="3807"/>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806" t="s">
        <v>1683</v>
      </c>
      <c r="Q8" s="3807"/>
      <c r="R8" s="700" t="s">
        <v>14</v>
      </c>
      <c r="S8" s="701">
        <f t="shared" si="0"/>
        <v>100</v>
      </c>
      <c r="T8" s="700" t="s">
        <v>14</v>
      </c>
      <c r="U8" s="701">
        <f t="shared" si="1"/>
        <v>100</v>
      </c>
      <c r="V8" s="700" t="s">
        <v>14</v>
      </c>
      <c r="W8" s="701">
        <f t="shared" si="2"/>
        <v>100</v>
      </c>
      <c r="X8" s="702"/>
      <c r="Y8" s="3806" t="s">
        <v>1683</v>
      </c>
      <c r="Z8" s="3807"/>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849" t="s">
        <v>1686</v>
      </c>
      <c r="Q9" s="1342" t="str">
        <f t="shared" ref="Q9:Q15" si="6">B9</f>
        <v>用途</v>
      </c>
      <c r="R9" s="700" t="s">
        <v>14</v>
      </c>
      <c r="S9" s="701">
        <f t="shared" si="0"/>
        <v>100</v>
      </c>
      <c r="T9" s="700" t="s">
        <v>14</v>
      </c>
      <c r="U9" s="701">
        <f t="shared" si="1"/>
        <v>100</v>
      </c>
      <c r="V9" s="700" t="s">
        <v>14</v>
      </c>
      <c r="W9" s="701">
        <f t="shared" si="2"/>
        <v>100</v>
      </c>
      <c r="X9" s="702"/>
      <c r="Y9" s="3752"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849"/>
      <c r="Q10" s="1342" t="str">
        <f t="shared" si="6"/>
        <v>土地使用年限（年）</v>
      </c>
      <c r="R10" s="700" t="s">
        <v>14</v>
      </c>
      <c r="S10" s="701">
        <f t="shared" si="0"/>
        <v>100</v>
      </c>
      <c r="T10" s="700" t="s">
        <v>14</v>
      </c>
      <c r="U10" s="701">
        <f t="shared" si="1"/>
        <v>100</v>
      </c>
      <c r="V10" s="700" t="s">
        <v>14</v>
      </c>
      <c r="W10" s="701">
        <f t="shared" si="2"/>
        <v>100</v>
      </c>
      <c r="X10" s="702"/>
      <c r="Y10" s="375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849"/>
      <c r="Q11" s="1342" t="str">
        <f t="shared" si="6"/>
        <v>容积率</v>
      </c>
      <c r="R11" s="700" t="s">
        <v>14</v>
      </c>
      <c r="S11" s="701">
        <f t="shared" si="0"/>
        <v>100</v>
      </c>
      <c r="T11" s="700" t="s">
        <v>14</v>
      </c>
      <c r="U11" s="701">
        <f t="shared" si="1"/>
        <v>100</v>
      </c>
      <c r="V11" s="700" t="s">
        <v>14</v>
      </c>
      <c r="W11" s="701">
        <f t="shared" si="2"/>
        <v>100</v>
      </c>
      <c r="X11" s="702"/>
      <c r="Y11" s="375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849"/>
      <c r="Q12" s="1342">
        <f t="shared" si="6"/>
        <v>111</v>
      </c>
      <c r="R12" s="700" t="s">
        <v>14</v>
      </c>
      <c r="S12" s="701">
        <f t="shared" si="0"/>
        <v>100</v>
      </c>
      <c r="T12" s="700" t="s">
        <v>14</v>
      </c>
      <c r="U12" s="701">
        <f t="shared" si="1"/>
        <v>100</v>
      </c>
      <c r="V12" s="700" t="s">
        <v>14</v>
      </c>
      <c r="W12" s="701">
        <f t="shared" si="2"/>
        <v>100</v>
      </c>
      <c r="X12" s="702"/>
      <c r="Y12" s="375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849"/>
      <c r="Q13" s="1342">
        <f t="shared" si="6"/>
        <v>111</v>
      </c>
      <c r="R13" s="700" t="s">
        <v>14</v>
      </c>
      <c r="S13" s="701">
        <f t="shared" si="0"/>
        <v>100</v>
      </c>
      <c r="T13" s="700" t="s">
        <v>14</v>
      </c>
      <c r="U13" s="701">
        <f t="shared" si="1"/>
        <v>100</v>
      </c>
      <c r="V13" s="700" t="s">
        <v>14</v>
      </c>
      <c r="W13" s="701">
        <f t="shared" si="2"/>
        <v>100</v>
      </c>
      <c r="X13" s="702"/>
      <c r="Y13" s="375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849"/>
      <c r="Q14" s="1342">
        <f t="shared" si="6"/>
        <v>111</v>
      </c>
      <c r="R14" s="700" t="s">
        <v>14</v>
      </c>
      <c r="S14" s="701">
        <f t="shared" si="0"/>
        <v>100</v>
      </c>
      <c r="T14" s="700" t="s">
        <v>14</v>
      </c>
      <c r="U14" s="701">
        <f t="shared" si="1"/>
        <v>100</v>
      </c>
      <c r="V14" s="700" t="s">
        <v>14</v>
      </c>
      <c r="W14" s="701">
        <f t="shared" si="2"/>
        <v>100</v>
      </c>
      <c r="X14" s="702"/>
      <c r="Y14" s="3752"/>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842" t="s">
        <v>1691</v>
      </c>
      <c r="Q15" s="1351" t="str">
        <f t="shared" si="6"/>
        <v>产业集聚程度</v>
      </c>
      <c r="R15" s="704" t="s">
        <v>14</v>
      </c>
      <c r="S15" s="705">
        <f t="shared" si="0"/>
        <v>100</v>
      </c>
      <c r="T15" s="704" t="s">
        <v>14</v>
      </c>
      <c r="U15" s="705">
        <f t="shared" si="1"/>
        <v>100</v>
      </c>
      <c r="V15" s="704" t="s">
        <v>14</v>
      </c>
      <c r="W15" s="705">
        <f t="shared" si="2"/>
        <v>100</v>
      </c>
      <c r="X15" s="1354"/>
      <c r="Y15" s="384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843"/>
      <c r="Q16" s="1351"/>
      <c r="R16" s="704"/>
      <c r="S16" s="705"/>
      <c r="T16" s="704"/>
      <c r="U16" s="705"/>
      <c r="V16" s="704"/>
      <c r="W16" s="705"/>
      <c r="X16" s="1354"/>
      <c r="Y16" s="3843"/>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843"/>
      <c r="Q17" s="1351" t="str">
        <f>B17</f>
        <v>交通便捷度</v>
      </c>
      <c r="R17" s="704" t="s">
        <v>14</v>
      </c>
      <c r="S17" s="705">
        <f>F17</f>
        <v>100</v>
      </c>
      <c r="T17" s="704" t="s">
        <v>14</v>
      </c>
      <c r="U17" s="705">
        <f>H17</f>
        <v>100</v>
      </c>
      <c r="V17" s="704" t="s">
        <v>14</v>
      </c>
      <c r="W17" s="705">
        <f>J17</f>
        <v>100</v>
      </c>
      <c r="X17" s="1354"/>
      <c r="Y17" s="384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843"/>
      <c r="Q18" s="1351"/>
      <c r="R18" s="704"/>
      <c r="S18" s="705"/>
      <c r="T18" s="704"/>
      <c r="U18" s="705"/>
      <c r="V18" s="704"/>
      <c r="W18" s="705"/>
      <c r="X18" s="1354"/>
      <c r="Y18" s="3843"/>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843"/>
      <c r="Q19" s="1351" t="str">
        <f>B19</f>
        <v>公共配套设施</v>
      </c>
      <c r="R19" s="704" t="s">
        <v>14</v>
      </c>
      <c r="S19" s="705">
        <f>F19</f>
        <v>100</v>
      </c>
      <c r="T19" s="704" t="s">
        <v>14</v>
      </c>
      <c r="U19" s="705">
        <f>H19</f>
        <v>100</v>
      </c>
      <c r="V19" s="704" t="s">
        <v>14</v>
      </c>
      <c r="W19" s="705">
        <f>J19</f>
        <v>100</v>
      </c>
      <c r="X19" s="1354"/>
      <c r="Y19" s="384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843"/>
      <c r="Q20" s="1351"/>
      <c r="R20" s="704"/>
      <c r="S20" s="705"/>
      <c r="T20" s="704"/>
      <c r="U20" s="705"/>
      <c r="V20" s="704"/>
      <c r="W20" s="705"/>
      <c r="X20" s="1354"/>
      <c r="Y20" s="3843"/>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843"/>
      <c r="Q21" s="1351" t="str">
        <f>B21</f>
        <v>基础设施水平</v>
      </c>
      <c r="R21" s="704" t="s">
        <v>14</v>
      </c>
      <c r="S21" s="705">
        <f>F21</f>
        <v>100</v>
      </c>
      <c r="T21" s="704" t="s">
        <v>14</v>
      </c>
      <c r="U21" s="705">
        <f>H21</f>
        <v>100</v>
      </c>
      <c r="V21" s="704" t="s">
        <v>14</v>
      </c>
      <c r="W21" s="705">
        <f>J21</f>
        <v>100</v>
      </c>
      <c r="X21" s="1354"/>
      <c r="Y21" s="384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843"/>
      <c r="Q22" s="1351"/>
      <c r="R22" s="704"/>
      <c r="S22" s="705"/>
      <c r="T22" s="704"/>
      <c r="U22" s="705"/>
      <c r="V22" s="704"/>
      <c r="W22" s="705"/>
      <c r="X22" s="1354"/>
      <c r="Y22" s="3843"/>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843"/>
      <c r="Q23" s="1351" t="str">
        <f>B23</f>
        <v>环境质量</v>
      </c>
      <c r="R23" s="704" t="s">
        <v>14</v>
      </c>
      <c r="S23" s="705">
        <f>F23</f>
        <v>100</v>
      </c>
      <c r="T23" s="704" t="s">
        <v>14</v>
      </c>
      <c r="U23" s="705">
        <f>H23</f>
        <v>100</v>
      </c>
      <c r="V23" s="704" t="s">
        <v>14</v>
      </c>
      <c r="W23" s="705">
        <f>J23</f>
        <v>100</v>
      </c>
      <c r="X23" s="1354"/>
      <c r="Y23" s="3843"/>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843"/>
      <c r="Q24" s="1351"/>
      <c r="R24" s="704"/>
      <c r="S24" s="705"/>
      <c r="T24" s="704"/>
      <c r="U24" s="705"/>
      <c r="V24" s="704"/>
      <c r="W24" s="705"/>
      <c r="X24" s="1354"/>
      <c r="Y24" s="3843"/>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843"/>
      <c r="Q25" s="1351">
        <f>B25</f>
        <v>111</v>
      </c>
      <c r="R25" s="704" t="s">
        <v>14</v>
      </c>
      <c r="S25" s="705">
        <f>F25</f>
        <v>100</v>
      </c>
      <c r="T25" s="704" t="s">
        <v>14</v>
      </c>
      <c r="U25" s="705">
        <f>H25</f>
        <v>100</v>
      </c>
      <c r="V25" s="704" t="s">
        <v>14</v>
      </c>
      <c r="W25" s="705">
        <f>J25</f>
        <v>100</v>
      </c>
      <c r="X25" s="1354"/>
      <c r="Y25" s="3843"/>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843"/>
      <c r="Q26" s="1351">
        <f t="shared" ref="Q26:Q40" si="11">B26</f>
        <v>111</v>
      </c>
      <c r="R26" s="704" t="s">
        <v>14</v>
      </c>
      <c r="S26" s="705">
        <f>F26</f>
        <v>100</v>
      </c>
      <c r="T26" s="704" t="s">
        <v>14</v>
      </c>
      <c r="U26" s="705">
        <f>H26</f>
        <v>100</v>
      </c>
      <c r="V26" s="704" t="s">
        <v>14</v>
      </c>
      <c r="W26" s="705">
        <f>J26</f>
        <v>100</v>
      </c>
      <c r="X26" s="1354"/>
      <c r="Y26" s="3843"/>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843"/>
      <c r="Q27" s="1342">
        <f t="shared" si="11"/>
        <v>111</v>
      </c>
      <c r="R27" s="700" t="s">
        <v>14</v>
      </c>
      <c r="S27" s="701">
        <f>F27</f>
        <v>100</v>
      </c>
      <c r="T27" s="700" t="s">
        <v>14</v>
      </c>
      <c r="U27" s="701">
        <f>H27</f>
        <v>100</v>
      </c>
      <c r="V27" s="700" t="s">
        <v>14</v>
      </c>
      <c r="W27" s="701">
        <f>J27</f>
        <v>100</v>
      </c>
      <c r="X27" s="702"/>
      <c r="Y27" s="3843"/>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843"/>
      <c r="Q28" s="1351">
        <f t="shared" si="11"/>
        <v>111</v>
      </c>
      <c r="R28" s="704" t="s">
        <v>14</v>
      </c>
      <c r="S28" s="705">
        <f t="shared" ref="S28:S40" si="12">F28</f>
        <v>100</v>
      </c>
      <c r="T28" s="704" t="s">
        <v>14</v>
      </c>
      <c r="U28" s="705">
        <f t="shared" ref="U28:U40" si="13">H28</f>
        <v>100</v>
      </c>
      <c r="V28" s="704" t="s">
        <v>14</v>
      </c>
      <c r="W28" s="705">
        <f t="shared" ref="W28:W40" si="14">J28</f>
        <v>100</v>
      </c>
      <c r="X28" s="1354"/>
      <c r="Y28" s="3843"/>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887" t="s">
        <v>1696</v>
      </c>
      <c r="Q29" s="1351" t="str">
        <f t="shared" si="11"/>
        <v>建筑类型</v>
      </c>
      <c r="R29" s="704" t="s">
        <v>14</v>
      </c>
      <c r="S29" s="705">
        <f t="shared" si="12"/>
        <v>100</v>
      </c>
      <c r="T29" s="704" t="s">
        <v>14</v>
      </c>
      <c r="U29" s="705">
        <f t="shared" si="13"/>
        <v>100</v>
      </c>
      <c r="V29" s="704" t="s">
        <v>14</v>
      </c>
      <c r="W29" s="705">
        <f t="shared" si="14"/>
        <v>100</v>
      </c>
      <c r="X29" s="1354"/>
      <c r="Y29" s="384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847"/>
      <c r="Q30" s="706" t="str">
        <f t="shared" si="11"/>
        <v>项目建筑规模</v>
      </c>
      <c r="R30" s="707" t="s">
        <v>14</v>
      </c>
      <c r="S30" s="708" t="e">
        <f t="shared" si="12"/>
        <v>#N/A</v>
      </c>
      <c r="T30" s="707" t="s">
        <v>14</v>
      </c>
      <c r="U30" s="708" t="e">
        <f t="shared" si="13"/>
        <v>#N/A</v>
      </c>
      <c r="V30" s="707" t="s">
        <v>14</v>
      </c>
      <c r="W30" s="708" t="e">
        <f t="shared" si="14"/>
        <v>#N/A</v>
      </c>
      <c r="X30" s="709"/>
      <c r="Y30" s="3847"/>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847"/>
      <c r="Q31" s="1351" t="str">
        <f t="shared" si="11"/>
        <v>建筑结构</v>
      </c>
      <c r="R31" s="704" t="s">
        <v>14</v>
      </c>
      <c r="S31" s="705">
        <f t="shared" si="12"/>
        <v>100</v>
      </c>
      <c r="T31" s="704" t="s">
        <v>14</v>
      </c>
      <c r="U31" s="705">
        <f t="shared" si="13"/>
        <v>100</v>
      </c>
      <c r="V31" s="704" t="s">
        <v>14</v>
      </c>
      <c r="W31" s="705">
        <f t="shared" si="14"/>
        <v>100</v>
      </c>
      <c r="X31" s="1354"/>
      <c r="Y31" s="384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847"/>
      <c r="Q32" s="1351" t="str">
        <f t="shared" si="11"/>
        <v>公共部分装修</v>
      </c>
      <c r="R32" s="704" t="s">
        <v>14</v>
      </c>
      <c r="S32" s="705">
        <f t="shared" si="12"/>
        <v>100</v>
      </c>
      <c r="T32" s="704" t="s">
        <v>14</v>
      </c>
      <c r="U32" s="705">
        <f t="shared" si="13"/>
        <v>100</v>
      </c>
      <c r="V32" s="704" t="s">
        <v>14</v>
      </c>
      <c r="W32" s="705">
        <f t="shared" si="14"/>
        <v>100</v>
      </c>
      <c r="X32" s="1354"/>
      <c r="Y32" s="384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847"/>
      <c r="Q33" s="1351" t="str">
        <f t="shared" si="11"/>
        <v>成新度</v>
      </c>
      <c r="R33" s="704" t="s">
        <v>14</v>
      </c>
      <c r="S33" s="705" t="e">
        <f t="shared" si="12"/>
        <v>#N/A</v>
      </c>
      <c r="T33" s="704" t="s">
        <v>14</v>
      </c>
      <c r="U33" s="705" t="e">
        <f t="shared" si="13"/>
        <v>#N/A</v>
      </c>
      <c r="V33" s="704" t="s">
        <v>14</v>
      </c>
      <c r="W33" s="705" t="e">
        <f t="shared" si="14"/>
        <v>#N/A</v>
      </c>
      <c r="X33" s="1354"/>
      <c r="Y33" s="384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847"/>
      <c r="Q34" s="1342" t="str">
        <f t="shared" si="11"/>
        <v>物业管理</v>
      </c>
      <c r="R34" s="700" t="s">
        <v>14</v>
      </c>
      <c r="S34" s="701">
        <f t="shared" si="12"/>
        <v>100</v>
      </c>
      <c r="T34" s="700" t="s">
        <v>14</v>
      </c>
      <c r="U34" s="701">
        <f t="shared" si="13"/>
        <v>100</v>
      </c>
      <c r="V34" s="700" t="s">
        <v>14</v>
      </c>
      <c r="W34" s="701">
        <f t="shared" si="14"/>
        <v>100</v>
      </c>
      <c r="X34" s="702"/>
      <c r="Y34" s="3847"/>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847" t="s">
        <v>1696</v>
      </c>
      <c r="Q35" s="1351" t="str">
        <f t="shared" si="11"/>
        <v>市政基础设施</v>
      </c>
      <c r="R35" s="704" t="s">
        <v>14</v>
      </c>
      <c r="S35" s="705">
        <f t="shared" si="12"/>
        <v>100</v>
      </c>
      <c r="T35" s="704" t="s">
        <v>14</v>
      </c>
      <c r="U35" s="705">
        <f t="shared" si="13"/>
        <v>100</v>
      </c>
      <c r="V35" s="704" t="s">
        <v>14</v>
      </c>
      <c r="W35" s="705">
        <f t="shared" si="14"/>
        <v>100</v>
      </c>
      <c r="X35" s="1354"/>
      <c r="Y35" s="384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847"/>
      <c r="Q36" s="1351" t="str">
        <f t="shared" si="11"/>
        <v>内部装修</v>
      </c>
      <c r="R36" s="704" t="s">
        <v>14</v>
      </c>
      <c r="S36" s="705">
        <f t="shared" si="12"/>
        <v>100</v>
      </c>
      <c r="T36" s="704" t="s">
        <v>14</v>
      </c>
      <c r="U36" s="705">
        <f t="shared" si="13"/>
        <v>100</v>
      </c>
      <c r="V36" s="704" t="s">
        <v>14</v>
      </c>
      <c r="W36" s="705">
        <f t="shared" si="14"/>
        <v>100</v>
      </c>
      <c r="X36" s="1354"/>
      <c r="Y36" s="384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847"/>
      <c r="Q37" s="1351" t="str">
        <f t="shared" si="11"/>
        <v>内部装修状况</v>
      </c>
      <c r="R37" s="704" t="s">
        <v>14</v>
      </c>
      <c r="S37" s="705">
        <f t="shared" si="12"/>
        <v>100</v>
      </c>
      <c r="T37" s="704" t="s">
        <v>14</v>
      </c>
      <c r="U37" s="705">
        <f t="shared" si="13"/>
        <v>100</v>
      </c>
      <c r="V37" s="704" t="s">
        <v>14</v>
      </c>
      <c r="W37" s="705">
        <f t="shared" si="14"/>
        <v>100</v>
      </c>
      <c r="X37" s="1354"/>
      <c r="Y37" s="3847"/>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847"/>
      <c r="Q38" s="706">
        <f t="shared" si="11"/>
        <v>111</v>
      </c>
      <c r="R38" s="707" t="s">
        <v>14</v>
      </c>
      <c r="S38" s="708">
        <f t="shared" si="12"/>
        <v>100</v>
      </c>
      <c r="T38" s="707" t="s">
        <v>14</v>
      </c>
      <c r="U38" s="708">
        <f t="shared" si="13"/>
        <v>100</v>
      </c>
      <c r="V38" s="707" t="s">
        <v>14</v>
      </c>
      <c r="W38" s="708">
        <f t="shared" si="14"/>
        <v>100</v>
      </c>
      <c r="X38" s="709"/>
      <c r="Y38" s="3847"/>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847"/>
      <c r="Q39" s="1351">
        <f t="shared" si="11"/>
        <v>111</v>
      </c>
      <c r="R39" s="704" t="s">
        <v>14</v>
      </c>
      <c r="S39" s="705">
        <f t="shared" si="12"/>
        <v>100</v>
      </c>
      <c r="T39" s="704" t="s">
        <v>14</v>
      </c>
      <c r="U39" s="705">
        <f t="shared" si="13"/>
        <v>100</v>
      </c>
      <c r="V39" s="704" t="s">
        <v>14</v>
      </c>
      <c r="W39" s="705">
        <f t="shared" si="14"/>
        <v>100</v>
      </c>
      <c r="X39" s="1354"/>
      <c r="Y39" s="3847"/>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848"/>
      <c r="Q40" s="1351">
        <f t="shared" si="11"/>
        <v>111</v>
      </c>
      <c r="R40" s="704" t="s">
        <v>14</v>
      </c>
      <c r="S40" s="705">
        <f t="shared" si="12"/>
        <v>100</v>
      </c>
      <c r="T40" s="704" t="s">
        <v>14</v>
      </c>
      <c r="U40" s="705">
        <f t="shared" si="13"/>
        <v>100</v>
      </c>
      <c r="V40" s="704" t="s">
        <v>14</v>
      </c>
      <c r="W40" s="705">
        <f t="shared" si="14"/>
        <v>100</v>
      </c>
      <c r="X40" s="1354"/>
      <c r="Y40" s="3848"/>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849" t="str">
        <f>A41</f>
        <v>成交单价（元/平方米）</v>
      </c>
      <c r="Q41" s="3849"/>
      <c r="R41" s="3850">
        <f>E41</f>
        <v>0</v>
      </c>
      <c r="S41" s="3850"/>
      <c r="T41" s="3850">
        <f>G41</f>
        <v>0</v>
      </c>
      <c r="U41" s="3850"/>
      <c r="V41" s="3850">
        <f>I41</f>
        <v>0</v>
      </c>
      <c r="W41" s="3850"/>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849" t="str">
        <f>A42</f>
        <v>比较价值（元/平方米）</v>
      </c>
      <c r="Q42" s="3849"/>
      <c r="R42" s="3850" t="e">
        <f>IF(F1="售价",ROUND(PRODUCT(R41,AA7:AA40),0),ROUND(PRODUCT(R41,AA7:AA40),1))</f>
        <v>#DIV/0!</v>
      </c>
      <c r="S42" s="3850"/>
      <c r="T42" s="3850" t="e">
        <f>IF(F1="售价",ROUND(PRODUCT(T41,AB7:AB40),0),ROUND(PRODUCT(T41,AB7:AB40),1))</f>
        <v>#DIV/0!</v>
      </c>
      <c r="U42" s="3850"/>
      <c r="V42" s="3850" t="e">
        <f>IF(F1="售价",ROUND(PRODUCT(V41,AC7:AC40),0),ROUND(PRODUCT(V41,AC7:AC40),1))</f>
        <v>#DIV/0!</v>
      </c>
      <c r="W42" s="3850"/>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884" t="str">
        <f>A43</f>
        <v>估价对象XX用房的比较价值（楼面单价，元/平方米）</v>
      </c>
      <c r="Q43" s="3885"/>
      <c r="R43" s="3886" t="e">
        <f>IF(F1="售价",ROUND(IF(D42="简单平均",AVERAGE(R42:V42),R42*F42+T42*H42+V42*J42),0),ROUND(IF(D42="简单平均",AVERAGE(R42:V42),R42*F42+T42*H42+V42*J42),1))</f>
        <v>#DIV/0!</v>
      </c>
      <c r="S43" s="3886"/>
      <c r="T43" s="3886"/>
      <c r="U43" s="3886"/>
      <c r="V43" s="3886"/>
      <c r="W43" s="3886"/>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2025-2</v>
      </c>
      <c r="D52" s="1184">
        <f>EDATE(C52,-1)</f>
        <v>45658</v>
      </c>
      <c r="E52" s="1184">
        <f t="shared" ref="E52:O52" si="16">EDATE(D52,-1)</f>
        <v>45627</v>
      </c>
      <c r="F52" s="1184">
        <f t="shared" si="16"/>
        <v>45597</v>
      </c>
      <c r="G52" s="1184">
        <f t="shared" si="16"/>
        <v>45566</v>
      </c>
      <c r="H52" s="1184">
        <f t="shared" si="16"/>
        <v>45536</v>
      </c>
      <c r="I52" s="1184">
        <f t="shared" si="16"/>
        <v>45505</v>
      </c>
      <c r="J52" s="1184">
        <f t="shared" si="16"/>
        <v>45474</v>
      </c>
      <c r="K52" s="1184">
        <f t="shared" si="16"/>
        <v>45444</v>
      </c>
      <c r="L52" s="1184">
        <f t="shared" si="16"/>
        <v>45413</v>
      </c>
      <c r="M52" s="1184">
        <f t="shared" si="16"/>
        <v>45383</v>
      </c>
      <c r="N52" s="1184">
        <f t="shared" si="16"/>
        <v>45352</v>
      </c>
      <c r="O52" s="1184">
        <f t="shared" si="16"/>
        <v>45323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1769</v>
      </c>
      <c r="B4" s="356"/>
      <c r="C4" s="3824" t="s">
        <v>1770</v>
      </c>
      <c r="D4" s="3825"/>
      <c r="E4" s="3826" t="s">
        <v>1771</v>
      </c>
      <c r="F4" s="3827"/>
      <c r="G4" s="3824" t="s">
        <v>1772</v>
      </c>
      <c r="H4" s="3825"/>
      <c r="I4" s="3824" t="s">
        <v>1773</v>
      </c>
      <c r="J4" s="3825"/>
      <c r="K4" s="559" t="s">
        <v>1774</v>
      </c>
      <c r="L4" s="2712"/>
      <c r="M4" s="2713"/>
      <c r="N4" s="2713"/>
      <c r="O4" s="2713"/>
      <c r="P4" s="3880" t="s">
        <v>1775</v>
      </c>
      <c r="Q4" s="3881"/>
      <c r="R4" s="3876" t="s">
        <v>1771</v>
      </c>
      <c r="S4" s="3877"/>
      <c r="T4" s="3876" t="s">
        <v>1772</v>
      </c>
      <c r="U4" s="3877"/>
      <c r="V4" s="3837" t="s">
        <v>1773</v>
      </c>
      <c r="W4" s="3837"/>
      <c r="X4" s="1354"/>
      <c r="Y4" s="3876" t="s">
        <v>1775</v>
      </c>
      <c r="Z4" s="3877"/>
      <c r="AA4" s="3875" t="s">
        <v>1771</v>
      </c>
      <c r="AB4" s="3804" t="s">
        <v>1772</v>
      </c>
      <c r="AC4" s="3875" t="s">
        <v>1773</v>
      </c>
    </row>
    <row r="5" spans="1:29" ht="15">
      <c r="A5" s="358"/>
      <c r="B5" s="359"/>
      <c r="C5" s="3879" t="s">
        <v>1673</v>
      </c>
      <c r="D5" s="3815"/>
      <c r="E5" s="3878" t="s">
        <v>1674</v>
      </c>
      <c r="F5" s="3813"/>
      <c r="G5" s="3879" t="s">
        <v>1675</v>
      </c>
      <c r="H5" s="3815"/>
      <c r="I5" s="3879" t="s">
        <v>1676</v>
      </c>
      <c r="J5" s="3815"/>
      <c r="K5" s="559"/>
      <c r="L5" s="2712"/>
      <c r="M5" s="2713"/>
      <c r="N5" s="2713"/>
      <c r="O5" s="2713"/>
      <c r="P5" s="3882"/>
      <c r="Q5" s="3831"/>
      <c r="R5" s="3810"/>
      <c r="S5" s="3811"/>
      <c r="T5" s="3810"/>
      <c r="U5" s="3811"/>
      <c r="V5" s="3837"/>
      <c r="W5" s="3837"/>
      <c r="X5" s="1354"/>
      <c r="Y5" s="3810"/>
      <c r="Z5" s="3811"/>
      <c r="AA5" s="3804"/>
      <c r="AB5" s="3804"/>
      <c r="AC5" s="3804"/>
    </row>
    <row r="6" spans="1:29" ht="15.75" thickBot="1">
      <c r="A6" s="360"/>
      <c r="B6" s="361"/>
      <c r="C6" s="3816" t="s">
        <v>1677</v>
      </c>
      <c r="D6" s="3817"/>
      <c r="E6" s="3818" t="s">
        <v>1677</v>
      </c>
      <c r="F6" s="3819"/>
      <c r="G6" s="3816" t="s">
        <v>1677</v>
      </c>
      <c r="H6" s="3817"/>
      <c r="I6" s="3816" t="s">
        <v>1677</v>
      </c>
      <c r="J6" s="3817"/>
      <c r="K6" s="559" t="s">
        <v>1678</v>
      </c>
      <c r="L6" s="2712"/>
      <c r="M6" s="2713"/>
      <c r="N6" s="2713"/>
      <c r="O6" s="2713"/>
      <c r="P6" s="3883"/>
      <c r="Q6" s="3833"/>
      <c r="R6" s="3810"/>
      <c r="S6" s="3811"/>
      <c r="T6" s="3834"/>
      <c r="U6" s="3835"/>
      <c r="V6" s="3837"/>
      <c r="W6" s="3837"/>
      <c r="X6" s="1354"/>
      <c r="Y6" s="3834"/>
      <c r="Z6" s="3835"/>
      <c r="AA6" s="3805"/>
      <c r="AB6" s="3805"/>
      <c r="AC6" s="3805"/>
    </row>
    <row r="7" spans="1:29" s="108" customFormat="1" ht="15.75" thickBot="1">
      <c r="A7" s="362" t="s">
        <v>1679</v>
      </c>
      <c r="B7" s="363"/>
      <c r="C7" s="364">
        <f>'数据-取费表'!B2</f>
        <v>45706</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06" t="s">
        <v>1680</v>
      </c>
      <c r="Q7" s="3839"/>
      <c r="R7" s="700" t="s">
        <v>14</v>
      </c>
      <c r="S7" s="701">
        <f t="shared" ref="S7:S14" si="0">F7</f>
        <v>0</v>
      </c>
      <c r="T7" s="700" t="s">
        <v>14</v>
      </c>
      <c r="U7" s="701">
        <f t="shared" ref="U7:U14" si="1">H7</f>
        <v>0</v>
      </c>
      <c r="V7" s="700" t="s">
        <v>14</v>
      </c>
      <c r="W7" s="701">
        <f t="shared" ref="W7:W14" si="2">J7</f>
        <v>0</v>
      </c>
      <c r="X7" s="702"/>
      <c r="Y7" s="3806" t="s">
        <v>1680</v>
      </c>
      <c r="Z7" s="3807"/>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06" t="s">
        <v>1683</v>
      </c>
      <c r="Q8" s="3807"/>
      <c r="R8" s="700" t="s">
        <v>14</v>
      </c>
      <c r="S8" s="701">
        <f t="shared" si="0"/>
        <v>100</v>
      </c>
      <c r="T8" s="700" t="s">
        <v>14</v>
      </c>
      <c r="U8" s="701">
        <f t="shared" si="1"/>
        <v>100</v>
      </c>
      <c r="V8" s="700" t="s">
        <v>14</v>
      </c>
      <c r="W8" s="701">
        <f t="shared" si="2"/>
        <v>100</v>
      </c>
      <c r="X8" s="702"/>
      <c r="Y8" s="3806" t="s">
        <v>1683</v>
      </c>
      <c r="Z8" s="3807"/>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49" t="s">
        <v>1686</v>
      </c>
      <c r="Q9" s="1342" t="str">
        <f t="shared" ref="Q9:Q14" si="6">B9</f>
        <v>用途</v>
      </c>
      <c r="R9" s="700" t="s">
        <v>14</v>
      </c>
      <c r="S9" s="701">
        <f t="shared" si="0"/>
        <v>100</v>
      </c>
      <c r="T9" s="700" t="s">
        <v>14</v>
      </c>
      <c r="U9" s="701">
        <f t="shared" si="1"/>
        <v>100</v>
      </c>
      <c r="V9" s="700" t="s">
        <v>14</v>
      </c>
      <c r="W9" s="701">
        <f t="shared" si="2"/>
        <v>100</v>
      </c>
      <c r="X9" s="702"/>
      <c r="Y9" s="3752" t="s">
        <v>1687</v>
      </c>
      <c r="Z9" s="52" t="str">
        <f t="shared" ref="Z9:Z14" si="7">Q9</f>
        <v>用途</v>
      </c>
      <c r="AA9" s="703">
        <f t="shared" si="3"/>
        <v>1</v>
      </c>
      <c r="AB9" s="703">
        <f t="shared" si="4"/>
        <v>1</v>
      </c>
      <c r="AC9" s="703">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49"/>
      <c r="Q10" s="1342" t="str">
        <f t="shared" si="6"/>
        <v>土地使用年限（年）</v>
      </c>
      <c r="R10" s="700" t="s">
        <v>14</v>
      </c>
      <c r="S10" s="701">
        <f t="shared" si="0"/>
        <v>100</v>
      </c>
      <c r="T10" s="700" t="s">
        <v>14</v>
      </c>
      <c r="U10" s="701">
        <f t="shared" si="1"/>
        <v>100</v>
      </c>
      <c r="V10" s="700" t="s">
        <v>14</v>
      </c>
      <c r="W10" s="701">
        <f t="shared" si="2"/>
        <v>100</v>
      </c>
      <c r="X10" s="702"/>
      <c r="Y10" s="3752"/>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49"/>
      <c r="Q11" s="1342">
        <f t="shared" si="6"/>
        <v>111</v>
      </c>
      <c r="R11" s="700" t="s">
        <v>14</v>
      </c>
      <c r="S11" s="701">
        <f t="shared" si="0"/>
        <v>100</v>
      </c>
      <c r="T11" s="700" t="s">
        <v>14</v>
      </c>
      <c r="U11" s="701">
        <f t="shared" si="1"/>
        <v>100</v>
      </c>
      <c r="V11" s="700" t="s">
        <v>14</v>
      </c>
      <c r="W11" s="701">
        <f t="shared" si="2"/>
        <v>100</v>
      </c>
      <c r="X11" s="702"/>
      <c r="Y11" s="3752"/>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49"/>
      <c r="Q12" s="1342">
        <f t="shared" si="6"/>
        <v>111</v>
      </c>
      <c r="R12" s="700" t="s">
        <v>14</v>
      </c>
      <c r="S12" s="701">
        <f t="shared" si="0"/>
        <v>100</v>
      </c>
      <c r="T12" s="700" t="s">
        <v>14</v>
      </c>
      <c r="U12" s="701">
        <f t="shared" si="1"/>
        <v>100</v>
      </c>
      <c r="V12" s="700" t="s">
        <v>14</v>
      </c>
      <c r="W12" s="701">
        <f t="shared" si="2"/>
        <v>100</v>
      </c>
      <c r="X12" s="702"/>
      <c r="Y12" s="3752"/>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49"/>
      <c r="Q13" s="1342">
        <f t="shared" si="6"/>
        <v>111</v>
      </c>
      <c r="R13" s="700" t="s">
        <v>14</v>
      </c>
      <c r="S13" s="701">
        <f t="shared" si="0"/>
        <v>100</v>
      </c>
      <c r="T13" s="700" t="s">
        <v>14</v>
      </c>
      <c r="U13" s="701">
        <f t="shared" si="1"/>
        <v>100</v>
      </c>
      <c r="V13" s="700" t="s">
        <v>14</v>
      </c>
      <c r="W13" s="701">
        <f t="shared" si="2"/>
        <v>100</v>
      </c>
      <c r="X13" s="702"/>
      <c r="Y13" s="3752"/>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42" t="s">
        <v>1691</v>
      </c>
      <c r="Q14" s="1351" t="str">
        <f t="shared" si="6"/>
        <v>交通便捷度</v>
      </c>
      <c r="R14" s="704" t="s">
        <v>14</v>
      </c>
      <c r="S14" s="705">
        <f t="shared" si="0"/>
        <v>100</v>
      </c>
      <c r="T14" s="704" t="s">
        <v>14</v>
      </c>
      <c r="U14" s="705">
        <f t="shared" si="1"/>
        <v>100</v>
      </c>
      <c r="V14" s="704" t="s">
        <v>14</v>
      </c>
      <c r="W14" s="705">
        <f t="shared" si="2"/>
        <v>100</v>
      </c>
      <c r="X14" s="1354"/>
      <c r="Y14" s="3842"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843"/>
      <c r="Q15" s="1351"/>
      <c r="R15" s="704"/>
      <c r="S15" s="705"/>
      <c r="T15" s="704"/>
      <c r="U15" s="705"/>
      <c r="V15" s="704"/>
      <c r="W15" s="705"/>
      <c r="X15" s="1354"/>
      <c r="Y15" s="3843"/>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43"/>
      <c r="Q16" s="1351" t="str">
        <f>B16</f>
        <v>公共配套设施</v>
      </c>
      <c r="R16" s="704" t="s">
        <v>14</v>
      </c>
      <c r="S16" s="705">
        <f>F16</f>
        <v>100</v>
      </c>
      <c r="T16" s="704" t="s">
        <v>14</v>
      </c>
      <c r="U16" s="705">
        <f>H16</f>
        <v>100</v>
      </c>
      <c r="V16" s="704" t="s">
        <v>14</v>
      </c>
      <c r="W16" s="705">
        <f>J16</f>
        <v>100</v>
      </c>
      <c r="X16" s="1354"/>
      <c r="Y16" s="3843"/>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843"/>
      <c r="Q17" s="1351"/>
      <c r="R17" s="704"/>
      <c r="S17" s="705"/>
      <c r="T17" s="704"/>
      <c r="U17" s="705"/>
      <c r="V17" s="704"/>
      <c r="W17" s="705"/>
      <c r="X17" s="1354"/>
      <c r="Y17" s="3843"/>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43"/>
      <c r="Q18" s="1351" t="str">
        <f>B18</f>
        <v>基础设施水平</v>
      </c>
      <c r="R18" s="704" t="s">
        <v>14</v>
      </c>
      <c r="S18" s="705">
        <f>F18</f>
        <v>100</v>
      </c>
      <c r="T18" s="704" t="s">
        <v>14</v>
      </c>
      <c r="U18" s="705">
        <f>H18</f>
        <v>100</v>
      </c>
      <c r="V18" s="704" t="s">
        <v>14</v>
      </c>
      <c r="W18" s="705">
        <f>J18</f>
        <v>100</v>
      </c>
      <c r="X18" s="1354"/>
      <c r="Y18" s="3843"/>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9"/>
      <c r="M19" s="2713"/>
      <c r="N19" s="2713"/>
      <c r="O19" s="2713"/>
      <c r="P19" s="3843"/>
      <c r="Q19" s="1351"/>
      <c r="R19" s="704"/>
      <c r="S19" s="705"/>
      <c r="T19" s="704"/>
      <c r="U19" s="705"/>
      <c r="V19" s="704"/>
      <c r="W19" s="705"/>
      <c r="X19" s="1354"/>
      <c r="Y19" s="3843"/>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43"/>
      <c r="Q20" s="1351" t="str">
        <f>B20</f>
        <v>自然及人文环境</v>
      </c>
      <c r="R20" s="704" t="s">
        <v>14</v>
      </c>
      <c r="S20" s="705">
        <f>F20</f>
        <v>100</v>
      </c>
      <c r="T20" s="704" t="s">
        <v>14</v>
      </c>
      <c r="U20" s="705">
        <f>H20</f>
        <v>100</v>
      </c>
      <c r="V20" s="704" t="s">
        <v>14</v>
      </c>
      <c r="W20" s="705">
        <f>J20</f>
        <v>100</v>
      </c>
      <c r="X20" s="1354"/>
      <c r="Y20" s="384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843"/>
      <c r="Q21" s="1351"/>
      <c r="R21" s="704"/>
      <c r="S21" s="705"/>
      <c r="T21" s="704"/>
      <c r="U21" s="705"/>
      <c r="V21" s="704"/>
      <c r="W21" s="705"/>
      <c r="X21" s="1354"/>
      <c r="Y21" s="3843"/>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43"/>
      <c r="Q22" s="1351" t="str">
        <f>B22</f>
        <v>楼层</v>
      </c>
      <c r="R22" s="704" t="s">
        <v>14</v>
      </c>
      <c r="S22" s="705">
        <f>F22</f>
        <v>100</v>
      </c>
      <c r="T22" s="704" t="s">
        <v>14</v>
      </c>
      <c r="U22" s="705">
        <f>H22</f>
        <v>100</v>
      </c>
      <c r="V22" s="704" t="s">
        <v>14</v>
      </c>
      <c r="W22" s="705">
        <f>J22</f>
        <v>100</v>
      </c>
      <c r="X22" s="1354"/>
      <c r="Y22" s="384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43"/>
      <c r="Q23" s="1351">
        <f>B23</f>
        <v>111</v>
      </c>
      <c r="R23" s="704" t="s">
        <v>14</v>
      </c>
      <c r="S23" s="705">
        <f>F23</f>
        <v>100</v>
      </c>
      <c r="T23" s="704" t="s">
        <v>14</v>
      </c>
      <c r="U23" s="705">
        <f>H23</f>
        <v>100</v>
      </c>
      <c r="V23" s="704" t="s">
        <v>14</v>
      </c>
      <c r="W23" s="705">
        <f>J23</f>
        <v>100</v>
      </c>
      <c r="X23" s="1354"/>
      <c r="Y23" s="384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43"/>
      <c r="Q24" s="1351">
        <f t="shared" ref="Q24:Q36" si="11">B24</f>
        <v>111</v>
      </c>
      <c r="R24" s="704" t="s">
        <v>14</v>
      </c>
      <c r="S24" s="705">
        <f>F24</f>
        <v>100</v>
      </c>
      <c r="T24" s="704" t="s">
        <v>14</v>
      </c>
      <c r="U24" s="705">
        <f>H24</f>
        <v>100</v>
      </c>
      <c r="V24" s="704" t="s">
        <v>14</v>
      </c>
      <c r="W24" s="705">
        <f>J24</f>
        <v>100</v>
      </c>
      <c r="X24" s="1354"/>
      <c r="Y24" s="384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43"/>
      <c r="Q25" s="1342">
        <f t="shared" si="11"/>
        <v>111</v>
      </c>
      <c r="R25" s="700" t="s">
        <v>14</v>
      </c>
      <c r="S25" s="701">
        <f>F25</f>
        <v>100</v>
      </c>
      <c r="T25" s="700" t="s">
        <v>14</v>
      </c>
      <c r="U25" s="701">
        <f>H25</f>
        <v>100</v>
      </c>
      <c r="V25" s="700" t="s">
        <v>14</v>
      </c>
      <c r="W25" s="701">
        <f>J25</f>
        <v>100</v>
      </c>
      <c r="X25" s="702"/>
      <c r="Y25" s="3843"/>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8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847"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47"/>
      <c r="Q27" s="706" t="str">
        <f t="shared" si="11"/>
        <v>项目停车位配比</v>
      </c>
      <c r="R27" s="707" t="s">
        <v>14</v>
      </c>
      <c r="S27" s="708">
        <f t="shared" si="12"/>
        <v>100</v>
      </c>
      <c r="T27" s="707" t="s">
        <v>14</v>
      </c>
      <c r="U27" s="708">
        <f t="shared" si="13"/>
        <v>100</v>
      </c>
      <c r="V27" s="707" t="s">
        <v>14</v>
      </c>
      <c r="W27" s="708">
        <f t="shared" si="14"/>
        <v>100</v>
      </c>
      <c r="X27" s="709"/>
      <c r="Y27" s="3847"/>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47"/>
      <c r="Q28" s="1351" t="str">
        <f t="shared" si="11"/>
        <v>公共部分装修</v>
      </c>
      <c r="R28" s="704" t="s">
        <v>14</v>
      </c>
      <c r="S28" s="705">
        <f t="shared" si="12"/>
        <v>100</v>
      </c>
      <c r="T28" s="704" t="s">
        <v>14</v>
      </c>
      <c r="U28" s="705">
        <f t="shared" si="13"/>
        <v>100</v>
      </c>
      <c r="V28" s="704" t="s">
        <v>14</v>
      </c>
      <c r="W28" s="705">
        <f t="shared" si="14"/>
        <v>100</v>
      </c>
      <c r="X28" s="1354"/>
      <c r="Y28" s="3847"/>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47"/>
      <c r="Q29" s="1351" t="str">
        <f t="shared" si="11"/>
        <v>成新率</v>
      </c>
      <c r="R29" s="704" t="s">
        <v>14</v>
      </c>
      <c r="S29" s="705" t="e">
        <f t="shared" si="12"/>
        <v>#N/A</v>
      </c>
      <c r="T29" s="704" t="s">
        <v>14</v>
      </c>
      <c r="U29" s="705" t="e">
        <f t="shared" si="13"/>
        <v>#N/A</v>
      </c>
      <c r="V29" s="704" t="s">
        <v>14</v>
      </c>
      <c r="W29" s="705" t="e">
        <f t="shared" si="14"/>
        <v>#N/A</v>
      </c>
      <c r="X29" s="1354"/>
      <c r="Y29" s="3847"/>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47"/>
      <c r="Q30" s="1351" t="str">
        <f t="shared" si="11"/>
        <v>物业等级</v>
      </c>
      <c r="R30" s="704" t="s">
        <v>14</v>
      </c>
      <c r="S30" s="705">
        <f t="shared" si="12"/>
        <v>100</v>
      </c>
      <c r="T30" s="704" t="s">
        <v>14</v>
      </c>
      <c r="U30" s="705">
        <f t="shared" si="13"/>
        <v>100</v>
      </c>
      <c r="V30" s="704" t="s">
        <v>14</v>
      </c>
      <c r="W30" s="705">
        <f t="shared" si="14"/>
        <v>100</v>
      </c>
      <c r="X30" s="1354"/>
      <c r="Y30" s="3847"/>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47"/>
      <c r="Q31" s="1342" t="str">
        <f t="shared" si="11"/>
        <v>停车位面积</v>
      </c>
      <c r="R31" s="700" t="s">
        <v>14</v>
      </c>
      <c r="S31" s="701" t="e">
        <f t="shared" si="12"/>
        <v>#N/A</v>
      </c>
      <c r="T31" s="700" t="s">
        <v>14</v>
      </c>
      <c r="U31" s="701" t="e">
        <f t="shared" si="13"/>
        <v>#N/A</v>
      </c>
      <c r="V31" s="700" t="s">
        <v>14</v>
      </c>
      <c r="W31" s="701" t="e">
        <f t="shared" si="14"/>
        <v>#N/A</v>
      </c>
      <c r="X31" s="702"/>
      <c r="Y31" s="3847"/>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47" t="s">
        <v>1696</v>
      </c>
      <c r="Q32" s="1351" t="str">
        <f t="shared" si="11"/>
        <v>车位类型</v>
      </c>
      <c r="R32" s="704" t="s">
        <v>14</v>
      </c>
      <c r="S32" s="705">
        <f t="shared" si="12"/>
        <v>100</v>
      </c>
      <c r="T32" s="704" t="s">
        <v>14</v>
      </c>
      <c r="U32" s="705">
        <f t="shared" si="13"/>
        <v>100</v>
      </c>
      <c r="V32" s="704" t="s">
        <v>14</v>
      </c>
      <c r="W32" s="705">
        <f t="shared" si="14"/>
        <v>100</v>
      </c>
      <c r="X32" s="1354"/>
      <c r="Y32" s="3847"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47"/>
      <c r="Q33" s="1351" t="str">
        <f t="shared" si="11"/>
        <v>是否直接入户</v>
      </c>
      <c r="R33" s="704" t="s">
        <v>14</v>
      </c>
      <c r="S33" s="705">
        <f t="shared" si="12"/>
        <v>100</v>
      </c>
      <c r="T33" s="704" t="s">
        <v>14</v>
      </c>
      <c r="U33" s="705">
        <f t="shared" si="13"/>
        <v>100</v>
      </c>
      <c r="V33" s="704" t="s">
        <v>14</v>
      </c>
      <c r="W33" s="705">
        <f t="shared" si="14"/>
        <v>100</v>
      </c>
      <c r="X33" s="1354"/>
      <c r="Y33" s="3847"/>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47"/>
      <c r="Q34" s="1351">
        <f t="shared" si="11"/>
        <v>111</v>
      </c>
      <c r="R34" s="704" t="s">
        <v>14</v>
      </c>
      <c r="S34" s="705">
        <f t="shared" si="12"/>
        <v>100</v>
      </c>
      <c r="T34" s="704" t="s">
        <v>14</v>
      </c>
      <c r="U34" s="705">
        <f t="shared" si="13"/>
        <v>100</v>
      </c>
      <c r="V34" s="704" t="s">
        <v>14</v>
      </c>
      <c r="W34" s="705">
        <f t="shared" si="14"/>
        <v>100</v>
      </c>
      <c r="X34" s="1354"/>
      <c r="Y34" s="3847"/>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47"/>
      <c r="Q35" s="706">
        <f t="shared" si="11"/>
        <v>111</v>
      </c>
      <c r="R35" s="707" t="s">
        <v>14</v>
      </c>
      <c r="S35" s="708">
        <f t="shared" si="12"/>
        <v>100</v>
      </c>
      <c r="T35" s="707" t="s">
        <v>14</v>
      </c>
      <c r="U35" s="708">
        <f t="shared" si="13"/>
        <v>100</v>
      </c>
      <c r="V35" s="707" t="s">
        <v>14</v>
      </c>
      <c r="W35" s="708">
        <f t="shared" si="14"/>
        <v>100</v>
      </c>
      <c r="X35" s="709"/>
      <c r="Y35" s="3847"/>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47"/>
      <c r="Q36" s="1351">
        <f t="shared" si="11"/>
        <v>111</v>
      </c>
      <c r="R36" s="704" t="s">
        <v>14</v>
      </c>
      <c r="S36" s="705">
        <f t="shared" si="12"/>
        <v>100</v>
      </c>
      <c r="T36" s="704" t="s">
        <v>14</v>
      </c>
      <c r="U36" s="705">
        <f t="shared" si="13"/>
        <v>100</v>
      </c>
      <c r="V36" s="704" t="s">
        <v>14</v>
      </c>
      <c r="W36" s="705">
        <f t="shared" si="14"/>
        <v>100</v>
      </c>
      <c r="X36" s="1354"/>
      <c r="Y36" s="3847"/>
      <c r="Z36" s="1355">
        <f t="shared" si="15"/>
        <v>111</v>
      </c>
      <c r="AA36" s="1352">
        <f t="shared" si="3"/>
        <v>1</v>
      </c>
      <c r="AB36" s="1352">
        <f t="shared" si="4"/>
        <v>1</v>
      </c>
      <c r="AC36" s="1352">
        <f t="shared" si="5"/>
        <v>1</v>
      </c>
    </row>
    <row r="37" spans="1:29" ht="15">
      <c r="A37" s="430" t="s">
        <v>1844</v>
      </c>
      <c r="B37" s="1972" t="s">
        <v>3351</v>
      </c>
      <c r="C37" s="1153" t="s">
        <v>0</v>
      </c>
      <c r="D37" s="1154"/>
      <c r="E37" s="1155"/>
      <c r="F37" s="1156"/>
      <c r="G37" s="1157"/>
      <c r="H37" s="1158"/>
      <c r="I37" s="1155"/>
      <c r="J37" s="1158"/>
      <c r="K37" s="568"/>
      <c r="L37" s="2721"/>
      <c r="M37" s="2722"/>
      <c r="N37" s="2713"/>
      <c r="O37" s="2722"/>
      <c r="P37" s="3849" t="str">
        <f>A37</f>
        <v>成交单价</v>
      </c>
      <c r="Q37" s="3849"/>
      <c r="R37" s="3850">
        <f>E37</f>
        <v>0</v>
      </c>
      <c r="S37" s="3850"/>
      <c r="T37" s="3850">
        <f>G37</f>
        <v>0</v>
      </c>
      <c r="U37" s="3850"/>
      <c r="V37" s="3850">
        <f>I37</f>
        <v>0</v>
      </c>
      <c r="W37" s="3850"/>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1"/>
      <c r="M38" s="2722"/>
      <c r="N38" s="2722"/>
      <c r="O38" s="2722"/>
      <c r="P38" s="3849" t="str">
        <f>A38</f>
        <v>比较价值（元/平方米）</v>
      </c>
      <c r="Q38" s="3849"/>
      <c r="R38" s="3850" t="e">
        <f>IF(F1="售价",ROUND(PRODUCT(R37,AA7:AA36),0),ROUND(PRODUCT(R37,AA7:AA36),1))</f>
        <v>#DIV/0!</v>
      </c>
      <c r="S38" s="3850"/>
      <c r="T38" s="3850" t="e">
        <f>IF(F1="售价",ROUND(PRODUCT(T37,AB7:AB36),0),ROUND(PRODUCT(T37,AB7:AB36),1))</f>
        <v>#DIV/0!</v>
      </c>
      <c r="U38" s="3850"/>
      <c r="V38" s="3850" t="e">
        <f>IF(F1="售价",ROUND(PRODUCT(V37,AC7:AC36),0),ROUND(PRODUCT(V37,AC7:AC36),1))</f>
        <v>#DIV/0!</v>
      </c>
      <c r="W38" s="3850"/>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1"/>
      <c r="M39" s="2722"/>
      <c r="N39" s="2722"/>
      <c r="O39" s="2722"/>
      <c r="P39" s="3884" t="str">
        <f>A39</f>
        <v>估价对象XX用房的比较价值（楼面单价，元/平方米）</v>
      </c>
      <c r="Q39" s="3885"/>
      <c r="R39" s="3888" t="e">
        <f>IF(F1="售价",ROUND(IF(D38="简单平均",AVERAGE(R38:W38),R38*F38+T38*H38+V38*J38),0),ROUND(IF(D38="简单平均",AVERAGE(R38:V38),R38*F38+T38*H38+V38*J38),1))</f>
        <v>#DIV/0!</v>
      </c>
      <c r="S39" s="3888"/>
      <c r="T39" s="3888"/>
      <c r="U39" s="3888"/>
      <c r="V39" s="3888"/>
      <c r="W39" s="3888"/>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2025-2</v>
      </c>
      <c r="D48" s="1184">
        <f>EDATE(C48,-1)</f>
        <v>45658</v>
      </c>
      <c r="E48" s="1184">
        <f t="shared" ref="E48:O48" si="16">EDATE(D48,-1)</f>
        <v>45627</v>
      </c>
      <c r="F48" s="1184">
        <f t="shared" si="16"/>
        <v>45597</v>
      </c>
      <c r="G48" s="1184">
        <f t="shared" si="16"/>
        <v>45566</v>
      </c>
      <c r="H48" s="1184">
        <f t="shared" si="16"/>
        <v>45536</v>
      </c>
      <c r="I48" s="1184">
        <f t="shared" si="16"/>
        <v>45505</v>
      </c>
      <c r="J48" s="1184">
        <f t="shared" si="16"/>
        <v>45474</v>
      </c>
      <c r="K48" s="1184">
        <f t="shared" si="16"/>
        <v>45444</v>
      </c>
      <c r="L48" s="1184">
        <f t="shared" si="16"/>
        <v>45413</v>
      </c>
      <c r="M48" s="1184">
        <f t="shared" si="16"/>
        <v>45383</v>
      </c>
      <c r="N48" s="1184">
        <f t="shared" si="16"/>
        <v>45352</v>
      </c>
      <c r="O48" s="1184">
        <f t="shared" si="16"/>
        <v>45323</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824" t="s">
        <v>1770</v>
      </c>
      <c r="D4" s="3825"/>
      <c r="E4" s="3826" t="s">
        <v>1771</v>
      </c>
      <c r="F4" s="3827"/>
      <c r="G4" s="3824" t="s">
        <v>1772</v>
      </c>
      <c r="H4" s="3825"/>
      <c r="I4" s="3824" t="s">
        <v>1773</v>
      </c>
      <c r="J4" s="3825"/>
      <c r="K4" s="559" t="s">
        <v>1774</v>
      </c>
      <c r="L4" s="2712"/>
      <c r="M4" s="2713"/>
      <c r="N4" s="2713"/>
      <c r="O4" s="2713"/>
      <c r="P4" s="3880" t="s">
        <v>1775</v>
      </c>
      <c r="Q4" s="3881"/>
      <c r="R4" s="3876" t="s">
        <v>1771</v>
      </c>
      <c r="S4" s="3877"/>
      <c r="T4" s="3876" t="s">
        <v>1772</v>
      </c>
      <c r="U4" s="3877"/>
      <c r="V4" s="3837" t="s">
        <v>1773</v>
      </c>
      <c r="W4" s="3837"/>
      <c r="X4" s="1354"/>
      <c r="Y4" s="3876" t="s">
        <v>1775</v>
      </c>
      <c r="Z4" s="3877"/>
      <c r="AA4" s="3875" t="s">
        <v>1771</v>
      </c>
      <c r="AB4" s="3804" t="s">
        <v>1772</v>
      </c>
      <c r="AC4" s="3875" t="s">
        <v>1773</v>
      </c>
    </row>
    <row r="5" spans="1:29" ht="15">
      <c r="A5" s="358"/>
      <c r="B5" s="359"/>
      <c r="C5" s="3879" t="s">
        <v>1673</v>
      </c>
      <c r="D5" s="3815"/>
      <c r="E5" s="3878" t="s">
        <v>1674</v>
      </c>
      <c r="F5" s="3813"/>
      <c r="G5" s="3879" t="s">
        <v>1675</v>
      </c>
      <c r="H5" s="3815"/>
      <c r="I5" s="3879" t="s">
        <v>1676</v>
      </c>
      <c r="J5" s="3815"/>
      <c r="K5" s="559"/>
      <c r="L5" s="2712"/>
      <c r="M5" s="2713"/>
      <c r="N5" s="2713"/>
      <c r="O5" s="2713"/>
      <c r="P5" s="3882"/>
      <c r="Q5" s="3831"/>
      <c r="R5" s="3810"/>
      <c r="S5" s="3811"/>
      <c r="T5" s="3810"/>
      <c r="U5" s="3811"/>
      <c r="V5" s="3837"/>
      <c r="W5" s="3837"/>
      <c r="X5" s="1354"/>
      <c r="Y5" s="3810"/>
      <c r="Z5" s="3811"/>
      <c r="AA5" s="3804"/>
      <c r="AB5" s="3804"/>
      <c r="AC5" s="3804"/>
    </row>
    <row r="6" spans="1:29" ht="15.75" thickBot="1">
      <c r="A6" s="360"/>
      <c r="B6" s="361"/>
      <c r="C6" s="3816" t="s">
        <v>1677</v>
      </c>
      <c r="D6" s="3817"/>
      <c r="E6" s="3818" t="s">
        <v>1677</v>
      </c>
      <c r="F6" s="3819"/>
      <c r="G6" s="3816" t="s">
        <v>1677</v>
      </c>
      <c r="H6" s="3817"/>
      <c r="I6" s="3816" t="s">
        <v>1677</v>
      </c>
      <c r="J6" s="3817"/>
      <c r="K6" s="559" t="s">
        <v>1678</v>
      </c>
      <c r="L6" s="2712"/>
      <c r="M6" s="2713"/>
      <c r="N6" s="2713"/>
      <c r="O6" s="2713"/>
      <c r="P6" s="3883"/>
      <c r="Q6" s="3833"/>
      <c r="R6" s="3810"/>
      <c r="S6" s="3811"/>
      <c r="T6" s="3834"/>
      <c r="U6" s="3835"/>
      <c r="V6" s="3837"/>
      <c r="W6" s="3837"/>
      <c r="X6" s="1354"/>
      <c r="Y6" s="3834"/>
      <c r="Z6" s="3835"/>
      <c r="AA6" s="3805"/>
      <c r="AB6" s="3805"/>
      <c r="AC6" s="3805"/>
    </row>
    <row r="7" spans="1:29" s="108" customFormat="1" ht="15.75" thickBot="1">
      <c r="A7" s="362" t="s">
        <v>1679</v>
      </c>
      <c r="B7" s="363"/>
      <c r="C7" s="364">
        <f>'数据-取费表'!B2</f>
        <v>45706</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806" t="s">
        <v>1680</v>
      </c>
      <c r="Q7" s="3839"/>
      <c r="R7" s="700" t="s">
        <v>14</v>
      </c>
      <c r="S7" s="701">
        <f t="shared" ref="S7:S14" si="0">F7</f>
        <v>0</v>
      </c>
      <c r="T7" s="700" t="s">
        <v>14</v>
      </c>
      <c r="U7" s="701">
        <f t="shared" ref="U7:U14" si="1">H7</f>
        <v>0</v>
      </c>
      <c r="V7" s="700" t="s">
        <v>14</v>
      </c>
      <c r="W7" s="701">
        <f t="shared" ref="W7:W14" si="2">J7</f>
        <v>0</v>
      </c>
      <c r="X7" s="702"/>
      <c r="Y7" s="3806" t="s">
        <v>1680</v>
      </c>
      <c r="Z7" s="3807"/>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06" t="s">
        <v>1683</v>
      </c>
      <c r="Q8" s="3807"/>
      <c r="R8" s="700" t="s">
        <v>14</v>
      </c>
      <c r="S8" s="701">
        <f t="shared" si="0"/>
        <v>100</v>
      </c>
      <c r="T8" s="700" t="s">
        <v>14</v>
      </c>
      <c r="U8" s="701">
        <f t="shared" si="1"/>
        <v>100</v>
      </c>
      <c r="V8" s="700" t="s">
        <v>14</v>
      </c>
      <c r="W8" s="701">
        <f t="shared" si="2"/>
        <v>100</v>
      </c>
      <c r="X8" s="702"/>
      <c r="Y8" s="3806" t="s">
        <v>1683</v>
      </c>
      <c r="Z8" s="3807"/>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49" t="s">
        <v>1686</v>
      </c>
      <c r="Q9" s="1342" t="str">
        <f t="shared" ref="Q9:Q14" si="6">B9</f>
        <v>用途</v>
      </c>
      <c r="R9" s="700" t="s">
        <v>14</v>
      </c>
      <c r="S9" s="701">
        <f t="shared" si="0"/>
        <v>100</v>
      </c>
      <c r="T9" s="700" t="s">
        <v>14</v>
      </c>
      <c r="U9" s="701">
        <f t="shared" si="1"/>
        <v>100</v>
      </c>
      <c r="V9" s="700" t="s">
        <v>14</v>
      </c>
      <c r="W9" s="701">
        <f t="shared" si="2"/>
        <v>100</v>
      </c>
      <c r="X9" s="702"/>
      <c r="Y9" s="3752"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49"/>
      <c r="Q10" s="1342" t="str">
        <f t="shared" si="6"/>
        <v>土地使用年限（年）</v>
      </c>
      <c r="R10" s="700" t="s">
        <v>14</v>
      </c>
      <c r="S10" s="701">
        <f t="shared" si="0"/>
        <v>100</v>
      </c>
      <c r="T10" s="700" t="s">
        <v>14</v>
      </c>
      <c r="U10" s="701">
        <f t="shared" si="1"/>
        <v>100</v>
      </c>
      <c r="V10" s="700" t="s">
        <v>14</v>
      </c>
      <c r="W10" s="701">
        <f t="shared" si="2"/>
        <v>100</v>
      </c>
      <c r="X10" s="702"/>
      <c r="Y10" s="375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49"/>
      <c r="Q11" s="1342">
        <f t="shared" si="6"/>
        <v>111</v>
      </c>
      <c r="R11" s="700" t="s">
        <v>14</v>
      </c>
      <c r="S11" s="701">
        <f t="shared" si="0"/>
        <v>100</v>
      </c>
      <c r="T11" s="700" t="s">
        <v>14</v>
      </c>
      <c r="U11" s="701">
        <f t="shared" si="1"/>
        <v>100</v>
      </c>
      <c r="V11" s="700" t="s">
        <v>14</v>
      </c>
      <c r="W11" s="701">
        <f t="shared" si="2"/>
        <v>100</v>
      </c>
      <c r="X11" s="702"/>
      <c r="Y11" s="375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49"/>
      <c r="Q12" s="1342">
        <f t="shared" si="6"/>
        <v>111</v>
      </c>
      <c r="R12" s="700" t="s">
        <v>14</v>
      </c>
      <c r="S12" s="701">
        <f t="shared" si="0"/>
        <v>100</v>
      </c>
      <c r="T12" s="700" t="s">
        <v>14</v>
      </c>
      <c r="U12" s="701">
        <f t="shared" si="1"/>
        <v>100</v>
      </c>
      <c r="V12" s="700" t="s">
        <v>14</v>
      </c>
      <c r="W12" s="701">
        <f t="shared" si="2"/>
        <v>100</v>
      </c>
      <c r="X12" s="702"/>
      <c r="Y12" s="375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849"/>
      <c r="Q13" s="1342">
        <f t="shared" si="6"/>
        <v>111</v>
      </c>
      <c r="R13" s="700" t="s">
        <v>14</v>
      </c>
      <c r="S13" s="701">
        <f t="shared" si="0"/>
        <v>100</v>
      </c>
      <c r="T13" s="700" t="s">
        <v>14</v>
      </c>
      <c r="U13" s="701">
        <f t="shared" si="1"/>
        <v>100</v>
      </c>
      <c r="V13" s="700" t="s">
        <v>14</v>
      </c>
      <c r="W13" s="701">
        <f t="shared" si="2"/>
        <v>100</v>
      </c>
      <c r="X13" s="702"/>
      <c r="Y13" s="3752"/>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42" t="s">
        <v>1691</v>
      </c>
      <c r="Q14" s="1351" t="str">
        <f t="shared" si="6"/>
        <v>交通便捷度</v>
      </c>
      <c r="R14" s="704" t="s">
        <v>14</v>
      </c>
      <c r="S14" s="705">
        <f t="shared" si="0"/>
        <v>100</v>
      </c>
      <c r="T14" s="704" t="s">
        <v>14</v>
      </c>
      <c r="U14" s="705">
        <f t="shared" si="1"/>
        <v>100</v>
      </c>
      <c r="V14" s="704" t="s">
        <v>14</v>
      </c>
      <c r="W14" s="705">
        <f t="shared" si="2"/>
        <v>100</v>
      </c>
      <c r="X14" s="1354"/>
      <c r="Y14" s="384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843"/>
      <c r="Q15" s="1351"/>
      <c r="R15" s="704"/>
      <c r="S15" s="705"/>
      <c r="T15" s="704"/>
      <c r="U15" s="705"/>
      <c r="V15" s="704"/>
      <c r="W15" s="705"/>
      <c r="X15" s="1354"/>
      <c r="Y15" s="3843"/>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43"/>
      <c r="Q16" s="1351" t="str">
        <f>B16</f>
        <v>公共配套设施</v>
      </c>
      <c r="R16" s="704" t="s">
        <v>14</v>
      </c>
      <c r="S16" s="705">
        <f>F16</f>
        <v>100</v>
      </c>
      <c r="T16" s="704" t="s">
        <v>14</v>
      </c>
      <c r="U16" s="705">
        <f>H16</f>
        <v>100</v>
      </c>
      <c r="V16" s="704" t="s">
        <v>14</v>
      </c>
      <c r="W16" s="705">
        <f>J16</f>
        <v>100</v>
      </c>
      <c r="X16" s="1354"/>
      <c r="Y16" s="384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843"/>
      <c r="Q17" s="1351"/>
      <c r="R17" s="704"/>
      <c r="S17" s="705"/>
      <c r="T17" s="704"/>
      <c r="U17" s="705"/>
      <c r="V17" s="704"/>
      <c r="W17" s="705"/>
      <c r="X17" s="1354"/>
      <c r="Y17" s="3843"/>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43"/>
      <c r="Q18" s="1351" t="str">
        <f>B18</f>
        <v>基础设施水平</v>
      </c>
      <c r="R18" s="704" t="s">
        <v>14</v>
      </c>
      <c r="S18" s="705">
        <f>F18</f>
        <v>100</v>
      </c>
      <c r="T18" s="704" t="s">
        <v>14</v>
      </c>
      <c r="U18" s="705">
        <f>H18</f>
        <v>100</v>
      </c>
      <c r="V18" s="704" t="s">
        <v>14</v>
      </c>
      <c r="W18" s="705">
        <f>J18</f>
        <v>100</v>
      </c>
      <c r="X18" s="1354"/>
      <c r="Y18" s="3843"/>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9"/>
      <c r="M19" s="2713"/>
      <c r="N19" s="2713"/>
      <c r="O19" s="2771"/>
      <c r="P19" s="3843"/>
      <c r="Q19" s="1351"/>
      <c r="R19" s="704"/>
      <c r="S19" s="705"/>
      <c r="T19" s="704"/>
      <c r="U19" s="705"/>
      <c r="V19" s="704"/>
      <c r="W19" s="705"/>
      <c r="X19" s="1354"/>
      <c r="Y19" s="3843"/>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43"/>
      <c r="Q20" s="1351" t="str">
        <f>B20</f>
        <v>自然及人文环境</v>
      </c>
      <c r="R20" s="704" t="s">
        <v>14</v>
      </c>
      <c r="S20" s="705">
        <f>F20</f>
        <v>100</v>
      </c>
      <c r="T20" s="704" t="s">
        <v>14</v>
      </c>
      <c r="U20" s="705">
        <f>H20</f>
        <v>100</v>
      </c>
      <c r="V20" s="704" t="s">
        <v>14</v>
      </c>
      <c r="W20" s="705">
        <f>J20</f>
        <v>100</v>
      </c>
      <c r="X20" s="1354"/>
      <c r="Y20" s="384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843"/>
      <c r="Q21" s="1351"/>
      <c r="R21" s="704"/>
      <c r="S21" s="705"/>
      <c r="T21" s="704"/>
      <c r="U21" s="705"/>
      <c r="V21" s="704"/>
      <c r="W21" s="705"/>
      <c r="X21" s="1354"/>
      <c r="Y21" s="384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43"/>
      <c r="Q22" s="1351" t="str">
        <f>B22</f>
        <v>楼层</v>
      </c>
      <c r="R22" s="704" t="s">
        <v>14</v>
      </c>
      <c r="S22" s="705">
        <f>F22</f>
        <v>100</v>
      </c>
      <c r="T22" s="704" t="s">
        <v>14</v>
      </c>
      <c r="U22" s="705">
        <f>H22</f>
        <v>100</v>
      </c>
      <c r="V22" s="704" t="s">
        <v>14</v>
      </c>
      <c r="W22" s="705">
        <f>J22</f>
        <v>100</v>
      </c>
      <c r="X22" s="1354"/>
      <c r="Y22" s="384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43"/>
      <c r="Q23" s="1351">
        <f>B23</f>
        <v>111</v>
      </c>
      <c r="R23" s="704" t="s">
        <v>14</v>
      </c>
      <c r="S23" s="705">
        <f>F23</f>
        <v>100</v>
      </c>
      <c r="T23" s="704" t="s">
        <v>14</v>
      </c>
      <c r="U23" s="705">
        <f>H23</f>
        <v>100</v>
      </c>
      <c r="V23" s="704" t="s">
        <v>14</v>
      </c>
      <c r="W23" s="705">
        <f>J23</f>
        <v>100</v>
      </c>
      <c r="X23" s="1354"/>
      <c r="Y23" s="384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43"/>
      <c r="Q24" s="1351">
        <f t="shared" ref="Q24:Q34" si="11">B24</f>
        <v>111</v>
      </c>
      <c r="R24" s="704" t="s">
        <v>14</v>
      </c>
      <c r="S24" s="705">
        <f>F24</f>
        <v>100</v>
      </c>
      <c r="T24" s="704" t="s">
        <v>14</v>
      </c>
      <c r="U24" s="705">
        <f>H24</f>
        <v>100</v>
      </c>
      <c r="V24" s="704" t="s">
        <v>14</v>
      </c>
      <c r="W24" s="705">
        <f>J24</f>
        <v>100</v>
      </c>
      <c r="X24" s="1354"/>
      <c r="Y24" s="3843"/>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843"/>
      <c r="Q25" s="1342">
        <f t="shared" si="11"/>
        <v>111</v>
      </c>
      <c r="R25" s="700" t="s">
        <v>14</v>
      </c>
      <c r="S25" s="701">
        <f>F25</f>
        <v>100</v>
      </c>
      <c r="T25" s="700" t="s">
        <v>14</v>
      </c>
      <c r="U25" s="701">
        <f>H25</f>
        <v>100</v>
      </c>
      <c r="V25" s="700" t="s">
        <v>14</v>
      </c>
      <c r="W25" s="701">
        <f>J25</f>
        <v>100</v>
      </c>
      <c r="X25" s="702"/>
      <c r="Y25" s="3843"/>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88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847"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47"/>
      <c r="Q27" s="706" t="str">
        <f t="shared" si="11"/>
        <v>成新率</v>
      </c>
      <c r="R27" s="707" t="s">
        <v>14</v>
      </c>
      <c r="S27" s="708" t="e">
        <f t="shared" si="12"/>
        <v>#N/A</v>
      </c>
      <c r="T27" s="707" t="s">
        <v>14</v>
      </c>
      <c r="U27" s="708" t="e">
        <f t="shared" si="13"/>
        <v>#N/A</v>
      </c>
      <c r="V27" s="707" t="s">
        <v>14</v>
      </c>
      <c r="W27" s="708" t="e">
        <f t="shared" si="14"/>
        <v>#N/A</v>
      </c>
      <c r="X27" s="709"/>
      <c r="Y27" s="3847"/>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47"/>
      <c r="Q28" s="1351" t="str">
        <f t="shared" si="11"/>
        <v>物业等级</v>
      </c>
      <c r="R28" s="704" t="s">
        <v>14</v>
      </c>
      <c r="S28" s="705">
        <f t="shared" si="12"/>
        <v>100</v>
      </c>
      <c r="T28" s="704" t="s">
        <v>14</v>
      </c>
      <c r="U28" s="705">
        <f t="shared" si="13"/>
        <v>100</v>
      </c>
      <c r="V28" s="704" t="s">
        <v>14</v>
      </c>
      <c r="W28" s="705">
        <f t="shared" si="14"/>
        <v>100</v>
      </c>
      <c r="X28" s="1354"/>
      <c r="Y28" s="3847"/>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47"/>
      <c r="Q29" s="1351" t="str">
        <f t="shared" si="11"/>
        <v>有无电梯</v>
      </c>
      <c r="R29" s="704" t="s">
        <v>14</v>
      </c>
      <c r="S29" s="705">
        <f t="shared" si="12"/>
        <v>100</v>
      </c>
      <c r="T29" s="704" t="s">
        <v>14</v>
      </c>
      <c r="U29" s="705">
        <f t="shared" si="13"/>
        <v>100</v>
      </c>
      <c r="V29" s="704" t="s">
        <v>14</v>
      </c>
      <c r="W29" s="705">
        <f t="shared" si="14"/>
        <v>100</v>
      </c>
      <c r="X29" s="1354"/>
      <c r="Y29" s="3847"/>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47"/>
      <c r="Q30" s="1351" t="str">
        <f t="shared" si="11"/>
        <v>建筑面积</v>
      </c>
      <c r="R30" s="704" t="s">
        <v>14</v>
      </c>
      <c r="S30" s="705" t="e">
        <f t="shared" si="12"/>
        <v>#N/A</v>
      </c>
      <c r="T30" s="704" t="s">
        <v>14</v>
      </c>
      <c r="U30" s="705" t="e">
        <f t="shared" si="13"/>
        <v>#N/A</v>
      </c>
      <c r="V30" s="704" t="s">
        <v>14</v>
      </c>
      <c r="W30" s="705" t="e">
        <f t="shared" si="14"/>
        <v>#N/A</v>
      </c>
      <c r="X30" s="1354"/>
      <c r="Y30" s="3847"/>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47"/>
      <c r="Q31" s="1342" t="str">
        <f t="shared" si="11"/>
        <v>是否封闭</v>
      </c>
      <c r="R31" s="700" t="s">
        <v>14</v>
      </c>
      <c r="S31" s="701">
        <f t="shared" si="12"/>
        <v>100</v>
      </c>
      <c r="T31" s="700" t="s">
        <v>14</v>
      </c>
      <c r="U31" s="701">
        <f t="shared" si="13"/>
        <v>100</v>
      </c>
      <c r="V31" s="700" t="s">
        <v>14</v>
      </c>
      <c r="W31" s="701">
        <f t="shared" si="14"/>
        <v>100</v>
      </c>
      <c r="X31" s="702"/>
      <c r="Y31" s="3847"/>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47" t="s">
        <v>1696</v>
      </c>
      <c r="Q32" s="1351">
        <f t="shared" si="11"/>
        <v>111</v>
      </c>
      <c r="R32" s="704" t="s">
        <v>14</v>
      </c>
      <c r="S32" s="705">
        <f t="shared" si="12"/>
        <v>100</v>
      </c>
      <c r="T32" s="704" t="s">
        <v>14</v>
      </c>
      <c r="U32" s="705">
        <f t="shared" si="13"/>
        <v>100</v>
      </c>
      <c r="V32" s="704" t="s">
        <v>14</v>
      </c>
      <c r="W32" s="705">
        <f t="shared" si="14"/>
        <v>100</v>
      </c>
      <c r="X32" s="1354"/>
      <c r="Y32" s="3847"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47"/>
      <c r="Q33" s="1351">
        <f t="shared" si="11"/>
        <v>111</v>
      </c>
      <c r="R33" s="704" t="s">
        <v>14</v>
      </c>
      <c r="S33" s="705">
        <f t="shared" si="12"/>
        <v>100</v>
      </c>
      <c r="T33" s="704" t="s">
        <v>14</v>
      </c>
      <c r="U33" s="705">
        <f t="shared" si="13"/>
        <v>100</v>
      </c>
      <c r="V33" s="704" t="s">
        <v>14</v>
      </c>
      <c r="W33" s="705">
        <f t="shared" si="14"/>
        <v>100</v>
      </c>
      <c r="X33" s="1354"/>
      <c r="Y33" s="3847"/>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847"/>
      <c r="Q34" s="1351">
        <f t="shared" si="11"/>
        <v>111</v>
      </c>
      <c r="R34" s="704" t="s">
        <v>14</v>
      </c>
      <c r="S34" s="705">
        <f t="shared" si="12"/>
        <v>100</v>
      </c>
      <c r="T34" s="704" t="s">
        <v>14</v>
      </c>
      <c r="U34" s="705">
        <f t="shared" si="13"/>
        <v>100</v>
      </c>
      <c r="V34" s="704" t="s">
        <v>14</v>
      </c>
      <c r="W34" s="705">
        <f t="shared" si="14"/>
        <v>100</v>
      </c>
      <c r="X34" s="1354"/>
      <c r="Y34" s="3847"/>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1"/>
      <c r="M35" s="2722"/>
      <c r="N35" s="2713"/>
      <c r="O35" s="2722"/>
      <c r="P35" s="3849" t="str">
        <f>A35</f>
        <v>成交单价（元/平方米）</v>
      </c>
      <c r="Q35" s="3849"/>
      <c r="R35" s="3850">
        <f>E35</f>
        <v>0</v>
      </c>
      <c r="S35" s="3850"/>
      <c r="T35" s="3850">
        <f>G35</f>
        <v>0</v>
      </c>
      <c r="U35" s="3850"/>
      <c r="V35" s="3850">
        <f>I35</f>
        <v>0</v>
      </c>
      <c r="W35" s="3850"/>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1"/>
      <c r="M36" s="2722"/>
      <c r="N36" s="2713"/>
      <c r="O36" s="2722"/>
      <c r="P36" s="3849" t="str">
        <f>A36</f>
        <v>比较价值（元/平方米）</v>
      </c>
      <c r="Q36" s="3849"/>
      <c r="R36" s="3850" t="e">
        <f>IF(F1="售价",ROUND(PRODUCT(R35,AA7:AA34),0),ROUND(PRODUCT(R35,AA7:AA34),1))</f>
        <v>#DIV/0!</v>
      </c>
      <c r="S36" s="3850"/>
      <c r="T36" s="3850" t="e">
        <f>IF(F1="售价",ROUND(PRODUCT(T35,AB7:AB34),0),ROUND(PRODUCT(T35,AB7:AB34),1))</f>
        <v>#DIV/0!</v>
      </c>
      <c r="U36" s="3850"/>
      <c r="V36" s="3850" t="e">
        <f>IF(F1="售价",ROUND(PRODUCT(V35,AC7:AC34),0),ROUND(PRODUCT(V35,AC7:AC34),1))</f>
        <v>#DIV/0!</v>
      </c>
      <c r="W36" s="3850"/>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1"/>
      <c r="M37" s="2722"/>
      <c r="N37" s="2722"/>
      <c r="O37" s="2722"/>
      <c r="P37" s="3884" t="str">
        <f>A37</f>
        <v>估价对象XX用房的比较价值（楼面单价，元/平方米）</v>
      </c>
      <c r="Q37" s="3885"/>
      <c r="R37" s="3888" t="e">
        <f>IF(F1="售价",ROUND(IF(D36="简单平均",AVERAGE(R36:W36),R36*F36+T36*H36+V36*J36),0),ROUND(IF(D36="简单平均",AVERAGE(R36:V36),R36*F36+T36*H36+V36*J36),1))</f>
        <v>#DIV/0!</v>
      </c>
      <c r="S37" s="3888"/>
      <c r="T37" s="3888"/>
      <c r="U37" s="3888"/>
      <c r="V37" s="3888"/>
      <c r="W37" s="3888"/>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2025-2</v>
      </c>
      <c r="D46" s="1184">
        <f>EDATE(C46,-1)</f>
        <v>45658</v>
      </c>
      <c r="E46" s="1184">
        <f t="shared" ref="E46:O46" si="16">EDATE(D46,-1)</f>
        <v>45627</v>
      </c>
      <c r="F46" s="1184">
        <f t="shared" si="16"/>
        <v>45597</v>
      </c>
      <c r="G46" s="1184">
        <f t="shared" si="16"/>
        <v>45566</v>
      </c>
      <c r="H46" s="1184">
        <f t="shared" si="16"/>
        <v>45536</v>
      </c>
      <c r="I46" s="1184">
        <f t="shared" si="16"/>
        <v>45505</v>
      </c>
      <c r="J46" s="1184">
        <f t="shared" si="16"/>
        <v>45474</v>
      </c>
      <c r="K46" s="1184">
        <f t="shared" si="16"/>
        <v>45444</v>
      </c>
      <c r="L46" s="1184">
        <f t="shared" si="16"/>
        <v>45413</v>
      </c>
      <c r="M46" s="1184">
        <f t="shared" si="16"/>
        <v>45383</v>
      </c>
      <c r="N46" s="1184">
        <f t="shared" si="16"/>
        <v>45352</v>
      </c>
      <c r="O46" s="1184">
        <f t="shared" si="16"/>
        <v>45323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824" t="s">
        <v>1770</v>
      </c>
      <c r="D4" s="3825"/>
      <c r="E4" s="3826" t="s">
        <v>1771</v>
      </c>
      <c r="F4" s="3827"/>
      <c r="G4" s="3824" t="s">
        <v>1772</v>
      </c>
      <c r="H4" s="3825"/>
      <c r="I4" s="3824" t="s">
        <v>1773</v>
      </c>
      <c r="J4" s="3825"/>
      <c r="K4" s="559" t="s">
        <v>1774</v>
      </c>
      <c r="L4" s="2712"/>
      <c r="M4" s="2713"/>
      <c r="N4" s="2713"/>
      <c r="O4" s="2713"/>
      <c r="P4" s="3880" t="s">
        <v>1775</v>
      </c>
      <c r="Q4" s="3881"/>
      <c r="R4" s="3876" t="s">
        <v>1771</v>
      </c>
      <c r="S4" s="3877"/>
      <c r="T4" s="3876" t="s">
        <v>1772</v>
      </c>
      <c r="U4" s="3877"/>
      <c r="V4" s="3837" t="s">
        <v>1773</v>
      </c>
      <c r="W4" s="3837"/>
      <c r="X4" s="1354"/>
      <c r="Y4" s="3876" t="s">
        <v>1775</v>
      </c>
      <c r="Z4" s="3877"/>
      <c r="AA4" s="3875" t="s">
        <v>1771</v>
      </c>
      <c r="AB4" s="3804" t="s">
        <v>1772</v>
      </c>
      <c r="AC4" s="3875" t="s">
        <v>1773</v>
      </c>
    </row>
    <row r="5" spans="1:30" ht="15">
      <c r="A5" s="358"/>
      <c r="B5" s="359"/>
      <c r="C5" s="3879" t="s">
        <v>1673</v>
      </c>
      <c r="D5" s="3815"/>
      <c r="E5" s="3878" t="s">
        <v>1674</v>
      </c>
      <c r="F5" s="3813"/>
      <c r="G5" s="3879" t="s">
        <v>1675</v>
      </c>
      <c r="H5" s="3815"/>
      <c r="I5" s="3879" t="s">
        <v>1676</v>
      </c>
      <c r="J5" s="3815"/>
      <c r="K5" s="559"/>
      <c r="L5" s="2712"/>
      <c r="M5" s="2713"/>
      <c r="N5" s="2713"/>
      <c r="O5" s="2713"/>
      <c r="P5" s="3882"/>
      <c r="Q5" s="3831"/>
      <c r="R5" s="3810"/>
      <c r="S5" s="3811"/>
      <c r="T5" s="3810"/>
      <c r="U5" s="3811"/>
      <c r="V5" s="3837"/>
      <c r="W5" s="3837"/>
      <c r="X5" s="1354"/>
      <c r="Y5" s="3810"/>
      <c r="Z5" s="3811"/>
      <c r="AA5" s="3804"/>
      <c r="AB5" s="3804"/>
      <c r="AC5" s="3804"/>
    </row>
    <row r="6" spans="1:30" ht="15.75" thickBot="1">
      <c r="A6" s="360"/>
      <c r="B6" s="361"/>
      <c r="C6" s="3816" t="s">
        <v>1677</v>
      </c>
      <c r="D6" s="3817"/>
      <c r="E6" s="3818" t="s">
        <v>1677</v>
      </c>
      <c r="F6" s="3819"/>
      <c r="G6" s="3816" t="s">
        <v>1677</v>
      </c>
      <c r="H6" s="3817"/>
      <c r="I6" s="3816" t="s">
        <v>1677</v>
      </c>
      <c r="J6" s="3817"/>
      <c r="K6" s="559" t="s">
        <v>1678</v>
      </c>
      <c r="L6" s="2712"/>
      <c r="M6" s="2713"/>
      <c r="N6" s="2713"/>
      <c r="O6" s="2713"/>
      <c r="P6" s="3883"/>
      <c r="Q6" s="3833"/>
      <c r="R6" s="3810"/>
      <c r="S6" s="3811"/>
      <c r="T6" s="3834"/>
      <c r="U6" s="3835"/>
      <c r="V6" s="3837"/>
      <c r="W6" s="3837"/>
      <c r="X6" s="1354"/>
      <c r="Y6" s="3834"/>
      <c r="Z6" s="3835"/>
      <c r="AA6" s="3805"/>
      <c r="AB6" s="3805"/>
      <c r="AC6" s="3805"/>
    </row>
    <row r="7" spans="1:30" s="108" customFormat="1" ht="15.75" thickBot="1">
      <c r="A7" s="362" t="s">
        <v>1679</v>
      </c>
      <c r="B7" s="363"/>
      <c r="C7" s="364">
        <f>'数据-取费表'!B2</f>
        <v>45706</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806" t="s">
        <v>1680</v>
      </c>
      <c r="Q7" s="3839"/>
      <c r="R7" s="700" t="s">
        <v>14</v>
      </c>
      <c r="S7" s="701">
        <f t="shared" ref="S7:S15" si="0">F7</f>
        <v>0</v>
      </c>
      <c r="T7" s="700" t="s">
        <v>14</v>
      </c>
      <c r="U7" s="701">
        <f t="shared" ref="U7:U15" si="1">H7</f>
        <v>0</v>
      </c>
      <c r="V7" s="700" t="s">
        <v>14</v>
      </c>
      <c r="W7" s="701">
        <f t="shared" ref="W7:W15" si="2">J7</f>
        <v>0</v>
      </c>
      <c r="X7" s="702"/>
      <c r="Y7" s="3806" t="s">
        <v>1680</v>
      </c>
      <c r="Z7" s="3807"/>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06" t="s">
        <v>1683</v>
      </c>
      <c r="Q8" s="3807"/>
      <c r="R8" s="700" t="s">
        <v>14</v>
      </c>
      <c r="S8" s="701">
        <f t="shared" si="0"/>
        <v>0</v>
      </c>
      <c r="T8" s="700" t="s">
        <v>14</v>
      </c>
      <c r="U8" s="701">
        <f t="shared" si="1"/>
        <v>0</v>
      </c>
      <c r="V8" s="700" t="s">
        <v>14</v>
      </c>
      <c r="W8" s="701">
        <f t="shared" si="2"/>
        <v>0</v>
      </c>
      <c r="X8" s="702"/>
      <c r="Y8" s="3806" t="s">
        <v>1683</v>
      </c>
      <c r="Z8" s="3807"/>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849" t="s">
        <v>1686</v>
      </c>
      <c r="Q9" s="1342" t="str">
        <f t="shared" ref="Q9:Q15" si="6">B9</f>
        <v>用途</v>
      </c>
      <c r="R9" s="700" t="s">
        <v>14</v>
      </c>
      <c r="S9" s="701">
        <f t="shared" si="0"/>
        <v>100</v>
      </c>
      <c r="T9" s="700" t="s">
        <v>14</v>
      </c>
      <c r="U9" s="701">
        <f t="shared" si="1"/>
        <v>100</v>
      </c>
      <c r="V9" s="700" t="s">
        <v>14</v>
      </c>
      <c r="W9" s="701">
        <f t="shared" si="2"/>
        <v>100</v>
      </c>
      <c r="X9" s="702"/>
      <c r="Y9" s="375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171</v>
      </c>
      <c r="G10" s="414"/>
      <c r="H10" s="127">
        <f>ROUND(100/'数据-取费表'!G16,0)</f>
        <v>171</v>
      </c>
      <c r="I10" s="414"/>
      <c r="J10" s="127">
        <f>ROUND(100/'数据-取费表'!G16,0)</f>
        <v>171</v>
      </c>
      <c r="K10" s="620"/>
      <c r="L10" s="2716"/>
      <c r="M10" s="2717"/>
      <c r="N10" s="2717"/>
      <c r="O10" s="2770"/>
      <c r="P10" s="3849"/>
      <c r="Q10" s="1342" t="str">
        <f t="shared" si="6"/>
        <v>土地使用年限（年）</v>
      </c>
      <c r="R10" s="700" t="s">
        <v>14</v>
      </c>
      <c r="S10" s="701">
        <f t="shared" si="0"/>
        <v>171</v>
      </c>
      <c r="T10" s="700" t="s">
        <v>14</v>
      </c>
      <c r="U10" s="701">
        <f t="shared" si="1"/>
        <v>171</v>
      </c>
      <c r="V10" s="700" t="s">
        <v>14</v>
      </c>
      <c r="W10" s="701">
        <f t="shared" si="2"/>
        <v>171</v>
      </c>
      <c r="X10" s="702"/>
      <c r="Y10" s="3752"/>
      <c r="Z10" s="52" t="str">
        <f t="shared" si="7"/>
        <v>土地使用年限（年）</v>
      </c>
      <c r="AA10" s="703">
        <f t="shared" si="3"/>
        <v>0.58479532163742687</v>
      </c>
      <c r="AB10" s="703">
        <f t="shared" si="4"/>
        <v>0.58479532163742687</v>
      </c>
      <c r="AC10" s="703">
        <f t="shared" si="5"/>
        <v>0.58479532163742687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49"/>
      <c r="Q11" s="1342" t="str">
        <f t="shared" si="6"/>
        <v>容积率</v>
      </c>
      <c r="R11" s="700" t="s">
        <v>14</v>
      </c>
      <c r="S11" s="701" t="e">
        <f t="shared" si="0"/>
        <v>#N/A</v>
      </c>
      <c r="T11" s="700" t="s">
        <v>14</v>
      </c>
      <c r="U11" s="701" t="e">
        <f t="shared" si="1"/>
        <v>#N/A</v>
      </c>
      <c r="V11" s="700" t="s">
        <v>14</v>
      </c>
      <c r="W11" s="701" t="e">
        <f t="shared" si="2"/>
        <v>#N/A</v>
      </c>
      <c r="X11" s="702"/>
      <c r="Y11" s="3752"/>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49"/>
      <c r="Q12" s="1342" t="str">
        <f t="shared" si="6"/>
        <v>配建</v>
      </c>
      <c r="R12" s="700" t="s">
        <v>14</v>
      </c>
      <c r="S12" s="701">
        <f t="shared" si="0"/>
        <v>100</v>
      </c>
      <c r="T12" s="700" t="s">
        <v>14</v>
      </c>
      <c r="U12" s="701">
        <f t="shared" si="1"/>
        <v>100</v>
      </c>
      <c r="V12" s="700" t="s">
        <v>14</v>
      </c>
      <c r="W12" s="701">
        <f t="shared" si="2"/>
        <v>100</v>
      </c>
      <c r="X12" s="702"/>
      <c r="Y12" s="375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49"/>
      <c r="Q13" s="1342">
        <f t="shared" si="6"/>
        <v>111</v>
      </c>
      <c r="R13" s="700" t="s">
        <v>14</v>
      </c>
      <c r="S13" s="701">
        <f t="shared" si="0"/>
        <v>100</v>
      </c>
      <c r="T13" s="700" t="s">
        <v>14</v>
      </c>
      <c r="U13" s="701">
        <f t="shared" si="1"/>
        <v>100</v>
      </c>
      <c r="V13" s="700" t="s">
        <v>14</v>
      </c>
      <c r="W13" s="701">
        <f t="shared" si="2"/>
        <v>100</v>
      </c>
      <c r="X13" s="702"/>
      <c r="Y13" s="375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49"/>
      <c r="Q14" s="1342">
        <f t="shared" si="6"/>
        <v>111</v>
      </c>
      <c r="R14" s="700" t="s">
        <v>14</v>
      </c>
      <c r="S14" s="701">
        <f t="shared" si="0"/>
        <v>100</v>
      </c>
      <c r="T14" s="700" t="s">
        <v>14</v>
      </c>
      <c r="U14" s="701">
        <f t="shared" si="1"/>
        <v>100</v>
      </c>
      <c r="V14" s="700" t="s">
        <v>14</v>
      </c>
      <c r="W14" s="701">
        <f t="shared" si="2"/>
        <v>100</v>
      </c>
      <c r="X14" s="702"/>
      <c r="Y14" s="3752"/>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42" t="s">
        <v>1691</v>
      </c>
      <c r="Q15" s="1351" t="str">
        <f t="shared" si="6"/>
        <v>居住社区成熟度</v>
      </c>
      <c r="R15" s="704" t="s">
        <v>14</v>
      </c>
      <c r="S15" s="705">
        <f t="shared" si="0"/>
        <v>100</v>
      </c>
      <c r="T15" s="704" t="s">
        <v>14</v>
      </c>
      <c r="U15" s="705">
        <f t="shared" si="1"/>
        <v>100</v>
      </c>
      <c r="V15" s="704" t="s">
        <v>14</v>
      </c>
      <c r="W15" s="705">
        <f t="shared" si="2"/>
        <v>100</v>
      </c>
      <c r="X15" s="1354"/>
      <c r="Y15" s="3842"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843"/>
      <c r="Q16" s="1351"/>
      <c r="R16" s="704"/>
      <c r="S16" s="705"/>
      <c r="T16" s="704"/>
      <c r="U16" s="705"/>
      <c r="V16" s="704"/>
      <c r="W16" s="705"/>
      <c r="X16" s="1354"/>
      <c r="Y16" s="3843"/>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43"/>
      <c r="Q17" s="1351" t="str">
        <f>B17</f>
        <v>商业繁华度</v>
      </c>
      <c r="R17" s="704" t="s">
        <v>14</v>
      </c>
      <c r="S17" s="705">
        <f>F17</f>
        <v>100</v>
      </c>
      <c r="T17" s="704" t="s">
        <v>14</v>
      </c>
      <c r="U17" s="705">
        <f>H17</f>
        <v>100</v>
      </c>
      <c r="V17" s="704" t="s">
        <v>14</v>
      </c>
      <c r="W17" s="705">
        <f>J17</f>
        <v>100</v>
      </c>
      <c r="X17" s="1354"/>
      <c r="Y17" s="3843"/>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843"/>
      <c r="Q18" s="1351"/>
      <c r="R18" s="704"/>
      <c r="S18" s="705"/>
      <c r="T18" s="704"/>
      <c r="U18" s="705"/>
      <c r="V18" s="704"/>
      <c r="W18" s="705"/>
      <c r="X18" s="1354"/>
      <c r="Y18" s="3843"/>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43"/>
      <c r="Q19" s="1351" t="str">
        <f>B19</f>
        <v>办公集聚程度</v>
      </c>
      <c r="R19" s="704" t="s">
        <v>14</v>
      </c>
      <c r="S19" s="705">
        <f>F19</f>
        <v>100</v>
      </c>
      <c r="T19" s="704" t="s">
        <v>14</v>
      </c>
      <c r="U19" s="705">
        <f>H19</f>
        <v>100</v>
      </c>
      <c r="V19" s="704" t="s">
        <v>14</v>
      </c>
      <c r="W19" s="705">
        <f>J19</f>
        <v>100</v>
      </c>
      <c r="X19" s="1354"/>
      <c r="Y19" s="3843"/>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843"/>
      <c r="Q20" s="1351"/>
      <c r="R20" s="704"/>
      <c r="S20" s="705"/>
      <c r="T20" s="704"/>
      <c r="U20" s="705"/>
      <c r="V20" s="704"/>
      <c r="W20" s="705"/>
      <c r="X20" s="1354"/>
      <c r="Y20" s="3843"/>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43"/>
      <c r="Q21" s="1351" t="str">
        <f>B21</f>
        <v>交通便捷度</v>
      </c>
      <c r="R21" s="704" t="s">
        <v>14</v>
      </c>
      <c r="S21" s="705">
        <f>F21</f>
        <v>100</v>
      </c>
      <c r="T21" s="704" t="s">
        <v>14</v>
      </c>
      <c r="U21" s="705">
        <f>H21</f>
        <v>100</v>
      </c>
      <c r="V21" s="704" t="s">
        <v>14</v>
      </c>
      <c r="W21" s="705">
        <f>J21</f>
        <v>100</v>
      </c>
      <c r="X21" s="1354"/>
      <c r="Y21" s="3843"/>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9"/>
      <c r="M22" s="2713"/>
      <c r="N22" s="2713"/>
      <c r="O22" s="2771"/>
      <c r="P22" s="3843"/>
      <c r="Q22" s="1351"/>
      <c r="R22" s="704"/>
      <c r="S22" s="705"/>
      <c r="T22" s="704"/>
      <c r="U22" s="705"/>
      <c r="V22" s="704"/>
      <c r="W22" s="705"/>
      <c r="X22" s="1354"/>
      <c r="Y22" s="3843"/>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43"/>
      <c r="Q23" s="1351" t="str">
        <f t="shared" ref="Q23:Q37" si="8">B23</f>
        <v>区域土地利用方向</v>
      </c>
      <c r="R23" s="704" t="s">
        <v>14</v>
      </c>
      <c r="S23" s="705">
        <f>F23</f>
        <v>100</v>
      </c>
      <c r="T23" s="704" t="s">
        <v>14</v>
      </c>
      <c r="U23" s="705">
        <f>H23</f>
        <v>100</v>
      </c>
      <c r="V23" s="704" t="s">
        <v>14</v>
      </c>
      <c r="W23" s="705">
        <f>J23</f>
        <v>100</v>
      </c>
      <c r="X23" s="1354"/>
      <c r="Y23" s="3843"/>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9"/>
      <c r="M24" s="2713"/>
      <c r="N24" s="2713"/>
      <c r="O24" s="2771"/>
      <c r="P24" s="3843"/>
      <c r="Q24" s="1351"/>
      <c r="R24" s="704"/>
      <c r="S24" s="705"/>
      <c r="T24" s="704"/>
      <c r="U24" s="705"/>
      <c r="V24" s="704"/>
      <c r="W24" s="705"/>
      <c r="X24" s="1354"/>
      <c r="Y24" s="3843"/>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43"/>
      <c r="Q25" s="1351" t="str">
        <f t="shared" si="8"/>
        <v>自然及人文环境状况</v>
      </c>
      <c r="R25" s="704" t="s">
        <v>14</v>
      </c>
      <c r="S25" s="705">
        <f>F25</f>
        <v>100</v>
      </c>
      <c r="T25" s="704" t="s">
        <v>14</v>
      </c>
      <c r="U25" s="705">
        <f>H25</f>
        <v>100</v>
      </c>
      <c r="V25" s="704" t="s">
        <v>14</v>
      </c>
      <c r="W25" s="705">
        <f>J25</f>
        <v>100</v>
      </c>
      <c r="X25" s="1354"/>
      <c r="Y25" s="3843"/>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843"/>
      <c r="Q26" s="1351"/>
      <c r="R26" s="704"/>
      <c r="S26" s="705"/>
      <c r="T26" s="704"/>
      <c r="U26" s="705"/>
      <c r="V26" s="704"/>
      <c r="W26" s="705"/>
      <c r="X26" s="1354"/>
      <c r="Y26" s="3843"/>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43"/>
      <c r="Q27" s="1342" t="str">
        <f t="shared" si="8"/>
        <v>公共配套设施</v>
      </c>
      <c r="R27" s="700" t="s">
        <v>14</v>
      </c>
      <c r="S27" s="701">
        <f>F27</f>
        <v>100</v>
      </c>
      <c r="T27" s="700" t="s">
        <v>14</v>
      </c>
      <c r="U27" s="701">
        <f>H27</f>
        <v>100</v>
      </c>
      <c r="V27" s="700" t="s">
        <v>14</v>
      </c>
      <c r="W27" s="701">
        <f>J27</f>
        <v>100</v>
      </c>
      <c r="X27" s="702"/>
      <c r="Y27" s="3843"/>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4"/>
      <c r="M28" s="2715"/>
      <c r="N28" s="2715"/>
      <c r="O28" s="2769"/>
      <c r="P28" s="3843"/>
      <c r="Q28" s="1342"/>
      <c r="R28" s="700"/>
      <c r="S28" s="701"/>
      <c r="T28" s="700"/>
      <c r="U28" s="701"/>
      <c r="V28" s="700"/>
      <c r="W28" s="701"/>
      <c r="X28" s="702"/>
      <c r="Y28" s="3843"/>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43"/>
      <c r="Q29" s="1342" t="str">
        <f t="shared" ref="Q29" si="9">B29</f>
        <v>基础设施水平</v>
      </c>
      <c r="R29" s="700" t="s">
        <v>14</v>
      </c>
      <c r="S29" s="701">
        <f>F29</f>
        <v>100</v>
      </c>
      <c r="T29" s="700" t="s">
        <v>14</v>
      </c>
      <c r="U29" s="701">
        <f>H29</f>
        <v>100</v>
      </c>
      <c r="V29" s="700" t="s">
        <v>14</v>
      </c>
      <c r="W29" s="701">
        <f>J29</f>
        <v>100</v>
      </c>
      <c r="X29" s="702"/>
      <c r="Y29" s="3843"/>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4"/>
      <c r="M30" s="2715"/>
      <c r="N30" s="2715"/>
      <c r="O30" s="2769"/>
      <c r="P30" s="3843"/>
      <c r="Q30" s="1342"/>
      <c r="R30" s="700"/>
      <c r="S30" s="701"/>
      <c r="T30" s="700"/>
      <c r="U30" s="701"/>
      <c r="V30" s="700"/>
      <c r="W30" s="701"/>
      <c r="X30" s="702"/>
      <c r="Y30" s="3843"/>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43"/>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843"/>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43"/>
      <c r="Q32" s="1351" t="str">
        <f t="shared" si="8"/>
        <v>毗邻道路的类型与等级</v>
      </c>
      <c r="R32" s="704" t="s">
        <v>14</v>
      </c>
      <c r="S32" s="705">
        <f t="shared" si="10"/>
        <v>100</v>
      </c>
      <c r="T32" s="704" t="s">
        <v>14</v>
      </c>
      <c r="U32" s="705">
        <f t="shared" si="11"/>
        <v>100</v>
      </c>
      <c r="V32" s="704" t="s">
        <v>14</v>
      </c>
      <c r="W32" s="705">
        <f t="shared" si="12"/>
        <v>100</v>
      </c>
      <c r="X32" s="1354"/>
      <c r="Y32" s="3843"/>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843"/>
      <c r="Q33" s="1351"/>
      <c r="R33" s="704"/>
      <c r="S33" s="705"/>
      <c r="T33" s="704"/>
      <c r="U33" s="705"/>
      <c r="V33" s="704"/>
      <c r="W33" s="705"/>
      <c r="X33" s="1354"/>
      <c r="Y33" s="3843"/>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43"/>
      <c r="Q34" s="1351" t="str">
        <f t="shared" si="8"/>
        <v>土地级别</v>
      </c>
      <c r="R34" s="704" t="s">
        <v>14</v>
      </c>
      <c r="S34" s="705">
        <f t="shared" si="10"/>
        <v>100</v>
      </c>
      <c r="T34" s="704" t="s">
        <v>14</v>
      </c>
      <c r="U34" s="705">
        <f t="shared" si="11"/>
        <v>100</v>
      </c>
      <c r="V34" s="704" t="s">
        <v>14</v>
      </c>
      <c r="W34" s="705">
        <f t="shared" si="12"/>
        <v>100</v>
      </c>
      <c r="X34" s="1354"/>
      <c r="Y34" s="3843"/>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43"/>
      <c r="Q35" s="1351">
        <f t="shared" si="8"/>
        <v>111</v>
      </c>
      <c r="R35" s="704" t="s">
        <v>14</v>
      </c>
      <c r="S35" s="705">
        <f t="shared" si="10"/>
        <v>100</v>
      </c>
      <c r="T35" s="704" t="s">
        <v>14</v>
      </c>
      <c r="U35" s="705">
        <f t="shared" si="11"/>
        <v>100</v>
      </c>
      <c r="V35" s="704" t="s">
        <v>14</v>
      </c>
      <c r="W35" s="705">
        <f t="shared" si="12"/>
        <v>100</v>
      </c>
      <c r="X35" s="1354"/>
      <c r="Y35" s="3843"/>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87" t="s">
        <v>1696</v>
      </c>
      <c r="Q36" s="1351">
        <f t="shared" si="8"/>
        <v>111</v>
      </c>
      <c r="R36" s="704" t="s">
        <v>14</v>
      </c>
      <c r="S36" s="705">
        <f t="shared" si="10"/>
        <v>100</v>
      </c>
      <c r="T36" s="704" t="s">
        <v>14</v>
      </c>
      <c r="U36" s="705">
        <f t="shared" si="11"/>
        <v>100</v>
      </c>
      <c r="V36" s="704" t="s">
        <v>14</v>
      </c>
      <c r="W36" s="705">
        <f t="shared" si="12"/>
        <v>100</v>
      </c>
      <c r="X36" s="1354"/>
      <c r="Y36" s="3847"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47"/>
      <c r="Q37" s="1351">
        <f t="shared" si="8"/>
        <v>111</v>
      </c>
      <c r="R37" s="707" t="s">
        <v>14</v>
      </c>
      <c r="S37" s="708">
        <f t="shared" si="10"/>
        <v>100</v>
      </c>
      <c r="T37" s="707" t="s">
        <v>14</v>
      </c>
      <c r="U37" s="708">
        <f t="shared" si="11"/>
        <v>100</v>
      </c>
      <c r="V37" s="707" t="s">
        <v>14</v>
      </c>
      <c r="W37" s="708">
        <f t="shared" si="12"/>
        <v>100</v>
      </c>
      <c r="X37" s="709"/>
      <c r="Y37" s="3847"/>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47"/>
      <c r="Q38" s="1351" t="str">
        <f>B38</f>
        <v>宗地面积</v>
      </c>
      <c r="R38" s="704" t="s">
        <v>14</v>
      </c>
      <c r="S38" s="705" t="e">
        <f t="shared" si="10"/>
        <v>#N/A</v>
      </c>
      <c r="T38" s="704" t="s">
        <v>14</v>
      </c>
      <c r="U38" s="705" t="e">
        <f t="shared" si="11"/>
        <v>#N/A</v>
      </c>
      <c r="V38" s="704" t="s">
        <v>14</v>
      </c>
      <c r="W38" s="705" t="e">
        <f t="shared" si="12"/>
        <v>#N/A</v>
      </c>
      <c r="X38" s="1354"/>
      <c r="Y38" s="3847"/>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847"/>
      <c r="Q39" s="1351" t="str">
        <f t="shared" ref="Q39:Q45" si="14">B39</f>
        <v>宗地形状</v>
      </c>
      <c r="R39" s="704" t="s">
        <v>14</v>
      </c>
      <c r="S39" s="705">
        <f t="shared" si="10"/>
        <v>100</v>
      </c>
      <c r="T39" s="704" t="s">
        <v>14</v>
      </c>
      <c r="U39" s="705">
        <f t="shared" si="11"/>
        <v>100</v>
      </c>
      <c r="V39" s="704" t="s">
        <v>14</v>
      </c>
      <c r="W39" s="705">
        <f t="shared" si="12"/>
        <v>100</v>
      </c>
      <c r="X39" s="1354"/>
      <c r="Y39" s="3847"/>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847"/>
      <c r="Q40" s="1351" t="str">
        <f t="shared" si="14"/>
        <v>临街宽度及深度</v>
      </c>
      <c r="R40" s="704" t="s">
        <v>14</v>
      </c>
      <c r="S40" s="705">
        <f t="shared" si="10"/>
        <v>100</v>
      </c>
      <c r="T40" s="704" t="s">
        <v>14</v>
      </c>
      <c r="U40" s="705">
        <f t="shared" si="11"/>
        <v>100</v>
      </c>
      <c r="V40" s="704" t="s">
        <v>14</v>
      </c>
      <c r="W40" s="705">
        <f t="shared" si="12"/>
        <v>100</v>
      </c>
      <c r="X40" s="1354"/>
      <c r="Y40" s="3847"/>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847"/>
      <c r="Q41" s="1351" t="str">
        <f t="shared" si="14"/>
        <v>宗地开发程度</v>
      </c>
      <c r="R41" s="700" t="s">
        <v>14</v>
      </c>
      <c r="S41" s="701">
        <f t="shared" si="10"/>
        <v>100</v>
      </c>
      <c r="T41" s="700" t="s">
        <v>14</v>
      </c>
      <c r="U41" s="701">
        <f t="shared" si="11"/>
        <v>100</v>
      </c>
      <c r="V41" s="700" t="s">
        <v>14</v>
      </c>
      <c r="W41" s="701">
        <f t="shared" si="12"/>
        <v>100</v>
      </c>
      <c r="X41" s="702"/>
      <c r="Y41" s="3847"/>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847" t="s">
        <v>1696</v>
      </c>
      <c r="Q42" s="1351" t="str">
        <f t="shared" si="14"/>
        <v>工程地质条件</v>
      </c>
      <c r="R42" s="704" t="s">
        <v>14</v>
      </c>
      <c r="S42" s="705">
        <f t="shared" si="10"/>
        <v>100</v>
      </c>
      <c r="T42" s="704" t="s">
        <v>14</v>
      </c>
      <c r="U42" s="705">
        <f t="shared" si="11"/>
        <v>100</v>
      </c>
      <c r="V42" s="704" t="s">
        <v>14</v>
      </c>
      <c r="W42" s="705">
        <f t="shared" si="12"/>
        <v>100</v>
      </c>
      <c r="X42" s="1354"/>
      <c r="Y42" s="3847"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47"/>
      <c r="Q43" s="1351">
        <f t="shared" si="14"/>
        <v>111</v>
      </c>
      <c r="R43" s="704" t="s">
        <v>14</v>
      </c>
      <c r="S43" s="705">
        <f t="shared" si="10"/>
        <v>100</v>
      </c>
      <c r="T43" s="704" t="s">
        <v>14</v>
      </c>
      <c r="U43" s="705">
        <f t="shared" si="11"/>
        <v>100</v>
      </c>
      <c r="V43" s="704" t="s">
        <v>14</v>
      </c>
      <c r="W43" s="705">
        <f t="shared" si="12"/>
        <v>100</v>
      </c>
      <c r="X43" s="1354"/>
      <c r="Y43" s="3847"/>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47"/>
      <c r="Q44" s="1351">
        <f t="shared" si="14"/>
        <v>111</v>
      </c>
      <c r="R44" s="704" t="s">
        <v>14</v>
      </c>
      <c r="S44" s="705">
        <f t="shared" si="10"/>
        <v>100</v>
      </c>
      <c r="T44" s="704" t="s">
        <v>14</v>
      </c>
      <c r="U44" s="705">
        <f t="shared" si="11"/>
        <v>100</v>
      </c>
      <c r="V44" s="704" t="s">
        <v>14</v>
      </c>
      <c r="W44" s="705">
        <f t="shared" si="12"/>
        <v>100</v>
      </c>
      <c r="X44" s="1354"/>
      <c r="Y44" s="3847"/>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47"/>
      <c r="Q45" s="1351">
        <f t="shared" si="14"/>
        <v>111</v>
      </c>
      <c r="R45" s="707" t="s">
        <v>14</v>
      </c>
      <c r="S45" s="708">
        <f t="shared" si="10"/>
        <v>100</v>
      </c>
      <c r="T45" s="707" t="s">
        <v>14</v>
      </c>
      <c r="U45" s="708">
        <f t="shared" si="11"/>
        <v>100</v>
      </c>
      <c r="V45" s="707" t="s">
        <v>14</v>
      </c>
      <c r="W45" s="708">
        <f t="shared" si="12"/>
        <v>100</v>
      </c>
      <c r="X45" s="709"/>
      <c r="Y45" s="3847"/>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1"/>
      <c r="M46" s="2722"/>
      <c r="N46" s="2713"/>
      <c r="O46" s="2722"/>
      <c r="P46" s="3849" t="str">
        <f>A46</f>
        <v>成交单价</v>
      </c>
      <c r="Q46" s="3849"/>
      <c r="R46" s="3837">
        <f>E46</f>
        <v>0</v>
      </c>
      <c r="S46" s="3837"/>
      <c r="T46" s="3837">
        <f>G46</f>
        <v>0</v>
      </c>
      <c r="U46" s="3837"/>
      <c r="V46" s="3837">
        <f>I46</f>
        <v>0</v>
      </c>
      <c r="W46" s="3837"/>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1"/>
      <c r="M47" s="2722"/>
      <c r="N47" s="2722"/>
      <c r="O47" s="2722"/>
      <c r="P47" s="3849" t="str">
        <f>A47</f>
        <v>比较价值（元/平方米）</v>
      </c>
      <c r="Q47" s="3849"/>
      <c r="R47" s="3889" t="e">
        <f>ROUND(PRODUCT(R46,AA7:AA45),0)</f>
        <v>#DIV/0!</v>
      </c>
      <c r="S47" s="3889"/>
      <c r="T47" s="3889" t="e">
        <f>ROUND(PRODUCT(T46,AB7:AB45),0)</f>
        <v>#DIV/0!</v>
      </c>
      <c r="U47" s="3889"/>
      <c r="V47" s="3889" t="e">
        <f>ROUND(PRODUCT(V46,AC7:AC45),0)</f>
        <v>#DIV/0!</v>
      </c>
      <c r="W47" s="3889"/>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1"/>
      <c r="M48" s="2722"/>
      <c r="N48" s="2722"/>
      <c r="O48" s="2722"/>
      <c r="P48" s="3884" t="str">
        <f>A48</f>
        <v>估价对象XX用房的比较价值（楼面单价，元/平方米）</v>
      </c>
      <c r="Q48" s="3885"/>
      <c r="R48" s="3890" t="e">
        <f>ROUND(IF(D47="简单平均",AVERAGE(R47:W47),R47*F47+T47*H47+V47*J47),0)</f>
        <v>#DIV/0!</v>
      </c>
      <c r="S48" s="3890"/>
      <c r="T48" s="3890"/>
      <c r="U48" s="3890"/>
      <c r="V48" s="3890"/>
      <c r="W48" s="3890"/>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89" t="s">
        <v>1886</v>
      </c>
      <c r="G55" s="3824" t="s">
        <v>1887</v>
      </c>
      <c r="H55" s="3891"/>
      <c r="I55" s="135"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3">
        <v>1</v>
      </c>
      <c r="E56" s="638">
        <f>'数据-汇总表'!E8+'数据-汇总表'!E9</f>
        <v>3527.3</v>
      </c>
      <c r="F56" s="885" t="e">
        <f t="shared" ref="F56:F64" si="15">ROUND(B56*E56/10000,0)</f>
        <v>#DIV/0!</v>
      </c>
      <c r="G56" s="3820"/>
      <c r="H56" s="3849"/>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0.5</v>
      </c>
      <c r="D57" s="944">
        <v>0.25</v>
      </c>
      <c r="E57" s="642"/>
      <c r="F57" s="885" t="e">
        <f t="shared" si="15"/>
        <v>#DIV/0!</v>
      </c>
      <c r="G57" s="3003" t="s">
        <v>1892</v>
      </c>
      <c r="H57" s="886" t="str">
        <f>项目基本情况!B37</f>
        <v>八级</v>
      </c>
      <c r="I57" s="890">
        <f>SUMIF(修正!A57:A68,H57,修正!B57:B68)</f>
        <v>0.5</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0.2</v>
      </c>
      <c r="D58" s="944">
        <v>0.25</v>
      </c>
      <c r="E58" s="642"/>
      <c r="F58" s="885" t="e">
        <f t="shared" si="15"/>
        <v>#DIV/0!</v>
      </c>
      <c r="G58" s="3004"/>
      <c r="H58" s="886" t="str">
        <f>项目基本情况!B37</f>
        <v>八级</v>
      </c>
      <c r="I58" s="890">
        <f>SUMIF(修正!A57:A68,H58,修正!C57:C68)</f>
        <v>0.2</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0.2</v>
      </c>
      <c r="D59" s="944">
        <v>0.25</v>
      </c>
      <c r="E59" s="642"/>
      <c r="F59" s="885" t="e">
        <f t="shared" si="15"/>
        <v>#DIV/0!</v>
      </c>
      <c r="G59" s="3004"/>
      <c r="H59" s="886" t="str">
        <f>项目基本情况!B37</f>
        <v>八级</v>
      </c>
      <c r="I59" s="890">
        <f>SUMIF(修正!A57:A68,H59,修正!D57:D68)</f>
        <v>0.2</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0.1</v>
      </c>
      <c r="D63" s="944">
        <v>0.25</v>
      </c>
      <c r="E63" s="217">
        <f>'数据-汇总表'!E14</f>
        <v>0</v>
      </c>
      <c r="F63" s="885" t="e">
        <f t="shared" si="15"/>
        <v>#DIV/0!</v>
      </c>
      <c r="G63" s="1986" t="s">
        <v>1892</v>
      </c>
      <c r="H63" s="886" t="str">
        <f>项目基本情况!B37</f>
        <v>八级</v>
      </c>
      <c r="I63" s="890">
        <f>SUMIF(修正!A57:A68,H63,修正!G57:G68)</f>
        <v>0.1</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3527.3</v>
      </c>
      <c r="F65" s="645"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2025-2-1</v>
      </c>
      <c r="D67" s="691">
        <f>EDATE(C67,-3)</f>
        <v>45597</v>
      </c>
      <c r="E67" s="691">
        <f>EDATE(D67,-3)</f>
        <v>45505</v>
      </c>
      <c r="F67" s="691">
        <f t="shared" ref="F67:O67" si="18">EDATE(E67,-3)</f>
        <v>45413</v>
      </c>
      <c r="G67" s="691">
        <f t="shared" si="18"/>
        <v>45323</v>
      </c>
      <c r="H67" s="691">
        <f t="shared" si="18"/>
        <v>45231</v>
      </c>
      <c r="I67" s="691">
        <f t="shared" si="18"/>
        <v>45139</v>
      </c>
      <c r="J67" s="691">
        <f t="shared" si="18"/>
        <v>45047</v>
      </c>
      <c r="K67" s="691">
        <f t="shared" si="18"/>
        <v>44958</v>
      </c>
      <c r="L67" s="691">
        <f t="shared" si="18"/>
        <v>44866</v>
      </c>
      <c r="M67" s="691">
        <f t="shared" si="18"/>
        <v>44774</v>
      </c>
      <c r="N67" s="691">
        <f t="shared" si="18"/>
        <v>44682</v>
      </c>
      <c r="O67" s="691">
        <f t="shared" si="18"/>
        <v>44593</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8"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824" t="s">
        <v>1770</v>
      </c>
      <c r="D4" s="3825"/>
      <c r="E4" s="3826" t="s">
        <v>1771</v>
      </c>
      <c r="F4" s="3827"/>
      <c r="G4" s="3824" t="s">
        <v>1772</v>
      </c>
      <c r="H4" s="3825"/>
      <c r="I4" s="3824" t="s">
        <v>1773</v>
      </c>
      <c r="J4" s="3825"/>
      <c r="K4" s="559" t="s">
        <v>1774</v>
      </c>
      <c r="L4" s="2712"/>
      <c r="M4" s="2713"/>
      <c r="N4" s="2713"/>
      <c r="O4" s="2713"/>
      <c r="P4" s="3880" t="s">
        <v>1775</v>
      </c>
      <c r="Q4" s="3881"/>
      <c r="R4" s="3876" t="s">
        <v>1771</v>
      </c>
      <c r="S4" s="3877"/>
      <c r="T4" s="3876" t="s">
        <v>1772</v>
      </c>
      <c r="U4" s="3877"/>
      <c r="V4" s="3837" t="s">
        <v>1773</v>
      </c>
      <c r="W4" s="3837"/>
      <c r="X4" s="1354"/>
      <c r="Y4" s="3876" t="s">
        <v>1775</v>
      </c>
      <c r="Z4" s="3877"/>
      <c r="AA4" s="3875" t="s">
        <v>1771</v>
      </c>
      <c r="AB4" s="3804" t="s">
        <v>1772</v>
      </c>
      <c r="AC4" s="3875" t="s">
        <v>1773</v>
      </c>
    </row>
    <row r="5" spans="1:29" ht="15">
      <c r="A5" s="358"/>
      <c r="B5" s="359"/>
      <c r="C5" s="3879" t="s">
        <v>1673</v>
      </c>
      <c r="D5" s="3815"/>
      <c r="E5" s="3878" t="s">
        <v>1674</v>
      </c>
      <c r="F5" s="3813"/>
      <c r="G5" s="3879" t="s">
        <v>1675</v>
      </c>
      <c r="H5" s="3815"/>
      <c r="I5" s="3879" t="s">
        <v>1676</v>
      </c>
      <c r="J5" s="3815"/>
      <c r="K5" s="559"/>
      <c r="L5" s="2712"/>
      <c r="M5" s="2713"/>
      <c r="N5" s="2713"/>
      <c r="O5" s="2713"/>
      <c r="P5" s="3882"/>
      <c r="Q5" s="3831"/>
      <c r="R5" s="3810"/>
      <c r="S5" s="3811"/>
      <c r="T5" s="3810"/>
      <c r="U5" s="3811"/>
      <c r="V5" s="3837"/>
      <c r="W5" s="3837"/>
      <c r="X5" s="1354"/>
      <c r="Y5" s="3810"/>
      <c r="Z5" s="3811"/>
      <c r="AA5" s="3804"/>
      <c r="AB5" s="3804"/>
      <c r="AC5" s="3804"/>
    </row>
    <row r="6" spans="1:29" ht="15.75" thickBot="1">
      <c r="A6" s="360"/>
      <c r="B6" s="361"/>
      <c r="C6" s="3892" t="s">
        <v>1919</v>
      </c>
      <c r="D6" s="3893"/>
      <c r="E6" s="3894" t="s">
        <v>1919</v>
      </c>
      <c r="F6" s="3895"/>
      <c r="G6" s="3892" t="s">
        <v>1919</v>
      </c>
      <c r="H6" s="3893"/>
      <c r="I6" s="3892" t="s">
        <v>1919</v>
      </c>
      <c r="J6" s="3893"/>
      <c r="K6" s="559" t="s">
        <v>1678</v>
      </c>
      <c r="L6" s="2712"/>
      <c r="M6" s="2713"/>
      <c r="N6" s="2713"/>
      <c r="O6" s="2713"/>
      <c r="P6" s="3883"/>
      <c r="Q6" s="3833"/>
      <c r="R6" s="3810"/>
      <c r="S6" s="3811"/>
      <c r="T6" s="3834"/>
      <c r="U6" s="3835"/>
      <c r="V6" s="3837"/>
      <c r="W6" s="3837"/>
      <c r="X6" s="1354"/>
      <c r="Y6" s="3834"/>
      <c r="Z6" s="3835"/>
      <c r="AA6" s="3805"/>
      <c r="AB6" s="3805"/>
      <c r="AC6" s="3805"/>
    </row>
    <row r="7" spans="1:29" s="108" customFormat="1" ht="15.75" thickBot="1">
      <c r="A7" s="362" t="s">
        <v>1679</v>
      </c>
      <c r="B7" s="363"/>
      <c r="C7" s="364">
        <f>'数据-取费表'!B2</f>
        <v>45706</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806" t="s">
        <v>1680</v>
      </c>
      <c r="Q7" s="3839"/>
      <c r="R7" s="700" t="s">
        <v>14</v>
      </c>
      <c r="S7" s="701">
        <f t="shared" ref="S7:S15" si="0">F7</f>
        <v>0</v>
      </c>
      <c r="T7" s="700" t="s">
        <v>14</v>
      </c>
      <c r="U7" s="701">
        <f t="shared" ref="U7:U15" si="1">H7</f>
        <v>0</v>
      </c>
      <c r="V7" s="700" t="s">
        <v>14</v>
      </c>
      <c r="W7" s="701">
        <f t="shared" ref="W7:W15" si="2">J7</f>
        <v>0</v>
      </c>
      <c r="X7" s="702"/>
      <c r="Y7" s="3806" t="s">
        <v>1680</v>
      </c>
      <c r="Z7" s="3807"/>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06" t="s">
        <v>1683</v>
      </c>
      <c r="Q8" s="3807"/>
      <c r="R8" s="700" t="s">
        <v>14</v>
      </c>
      <c r="S8" s="701">
        <f t="shared" si="0"/>
        <v>0</v>
      </c>
      <c r="T8" s="700" t="s">
        <v>14</v>
      </c>
      <c r="U8" s="701">
        <f t="shared" si="1"/>
        <v>0</v>
      </c>
      <c r="V8" s="700" t="s">
        <v>14</v>
      </c>
      <c r="W8" s="701">
        <f t="shared" si="2"/>
        <v>0</v>
      </c>
      <c r="X8" s="702"/>
      <c r="Y8" s="3806" t="s">
        <v>1683</v>
      </c>
      <c r="Z8" s="3807"/>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849" t="s">
        <v>1686</v>
      </c>
      <c r="Q9" s="1342" t="str">
        <f t="shared" ref="Q9:Q15" si="6">B9</f>
        <v>用途</v>
      </c>
      <c r="R9" s="700" t="s">
        <v>14</v>
      </c>
      <c r="S9" s="701">
        <f t="shared" si="0"/>
        <v>100</v>
      </c>
      <c r="T9" s="700" t="s">
        <v>14</v>
      </c>
      <c r="U9" s="701">
        <f t="shared" si="1"/>
        <v>100</v>
      </c>
      <c r="V9" s="700" t="s">
        <v>14</v>
      </c>
      <c r="W9" s="701">
        <f t="shared" si="2"/>
        <v>100</v>
      </c>
      <c r="X9" s="702"/>
      <c r="Y9" s="375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171</v>
      </c>
      <c r="G10" s="383"/>
      <c r="H10" s="127">
        <f>ROUND(100/'数据-取费表'!G16,0)</f>
        <v>171</v>
      </c>
      <c r="I10" s="383"/>
      <c r="J10" s="127">
        <f>ROUND(100/'数据-取费表'!G16,0)</f>
        <v>171</v>
      </c>
      <c r="K10" s="620"/>
      <c r="L10" s="2716"/>
      <c r="M10" s="2717"/>
      <c r="N10" s="2717"/>
      <c r="O10" s="2770"/>
      <c r="P10" s="3849"/>
      <c r="Q10" s="1342" t="str">
        <f t="shared" si="6"/>
        <v>土地使用年限（年）</v>
      </c>
      <c r="R10" s="700" t="s">
        <v>14</v>
      </c>
      <c r="S10" s="701">
        <f t="shared" si="0"/>
        <v>171</v>
      </c>
      <c r="T10" s="700" t="s">
        <v>14</v>
      </c>
      <c r="U10" s="701">
        <f t="shared" si="1"/>
        <v>171</v>
      </c>
      <c r="V10" s="700" t="s">
        <v>14</v>
      </c>
      <c r="W10" s="701">
        <f t="shared" si="2"/>
        <v>171</v>
      </c>
      <c r="X10" s="702"/>
      <c r="Y10" s="3752"/>
      <c r="Z10" s="52" t="str">
        <f t="shared" si="7"/>
        <v>土地使用年限（年）</v>
      </c>
      <c r="AA10" s="703">
        <f t="shared" si="3"/>
        <v>0.58479532163742687</v>
      </c>
      <c r="AB10" s="703">
        <f t="shared" si="4"/>
        <v>0.58479532163742687</v>
      </c>
      <c r="AC10" s="703">
        <f t="shared" si="5"/>
        <v>0.58479532163742687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49"/>
      <c r="Q11" s="1342" t="str">
        <f t="shared" si="6"/>
        <v>容积率</v>
      </c>
      <c r="R11" s="700" t="s">
        <v>14</v>
      </c>
      <c r="S11" s="701" t="e">
        <f t="shared" si="0"/>
        <v>#N/A</v>
      </c>
      <c r="T11" s="700" t="s">
        <v>14</v>
      </c>
      <c r="U11" s="701" t="e">
        <f t="shared" si="1"/>
        <v>#N/A</v>
      </c>
      <c r="V11" s="700" t="s">
        <v>14</v>
      </c>
      <c r="W11" s="701" t="e">
        <f t="shared" si="2"/>
        <v>#N/A</v>
      </c>
      <c r="X11" s="702"/>
      <c r="Y11" s="375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49"/>
      <c r="Q12" s="1342">
        <f t="shared" si="6"/>
        <v>111</v>
      </c>
      <c r="R12" s="700" t="s">
        <v>14</v>
      </c>
      <c r="S12" s="701">
        <f t="shared" si="0"/>
        <v>100</v>
      </c>
      <c r="T12" s="700" t="s">
        <v>14</v>
      </c>
      <c r="U12" s="701">
        <f t="shared" si="1"/>
        <v>100</v>
      </c>
      <c r="V12" s="700" t="s">
        <v>14</v>
      </c>
      <c r="W12" s="701">
        <f t="shared" si="2"/>
        <v>100</v>
      </c>
      <c r="X12" s="702"/>
      <c r="Y12" s="375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49"/>
      <c r="Q13" s="1342">
        <f t="shared" si="6"/>
        <v>111</v>
      </c>
      <c r="R13" s="700" t="s">
        <v>14</v>
      </c>
      <c r="S13" s="701">
        <f t="shared" si="0"/>
        <v>100</v>
      </c>
      <c r="T13" s="700" t="s">
        <v>14</v>
      </c>
      <c r="U13" s="701">
        <f t="shared" si="1"/>
        <v>100</v>
      </c>
      <c r="V13" s="700" t="s">
        <v>14</v>
      </c>
      <c r="W13" s="701">
        <f t="shared" si="2"/>
        <v>100</v>
      </c>
      <c r="X13" s="702"/>
      <c r="Y13" s="375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49"/>
      <c r="Q14" s="1342">
        <f t="shared" si="6"/>
        <v>111</v>
      </c>
      <c r="R14" s="700" t="s">
        <v>14</v>
      </c>
      <c r="S14" s="701">
        <f t="shared" si="0"/>
        <v>100</v>
      </c>
      <c r="T14" s="700" t="s">
        <v>14</v>
      </c>
      <c r="U14" s="701">
        <f t="shared" si="1"/>
        <v>100</v>
      </c>
      <c r="V14" s="700" t="s">
        <v>14</v>
      </c>
      <c r="W14" s="701">
        <f t="shared" si="2"/>
        <v>100</v>
      </c>
      <c r="X14" s="702"/>
      <c r="Y14" s="3752"/>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42" t="s">
        <v>1691</v>
      </c>
      <c r="Q15" s="1351" t="str">
        <f t="shared" si="6"/>
        <v>产业集聚程度</v>
      </c>
      <c r="R15" s="704" t="s">
        <v>14</v>
      </c>
      <c r="S15" s="705">
        <f t="shared" si="0"/>
        <v>100</v>
      </c>
      <c r="T15" s="704" t="s">
        <v>14</v>
      </c>
      <c r="U15" s="705">
        <f t="shared" si="1"/>
        <v>100</v>
      </c>
      <c r="V15" s="704" t="s">
        <v>14</v>
      </c>
      <c r="W15" s="705">
        <f t="shared" si="2"/>
        <v>100</v>
      </c>
      <c r="X15" s="1354"/>
      <c r="Y15" s="3842"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843"/>
      <c r="Q16" s="1351"/>
      <c r="R16" s="704"/>
      <c r="S16" s="705"/>
      <c r="T16" s="704"/>
      <c r="U16" s="705"/>
      <c r="V16" s="704"/>
      <c r="W16" s="705"/>
      <c r="X16" s="1354"/>
      <c r="Y16" s="3843"/>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43"/>
      <c r="Q17" s="1351" t="str">
        <f>B17</f>
        <v>交通便捷度</v>
      </c>
      <c r="R17" s="704" t="s">
        <v>14</v>
      </c>
      <c r="S17" s="705">
        <f>F17</f>
        <v>100</v>
      </c>
      <c r="T17" s="704" t="s">
        <v>14</v>
      </c>
      <c r="U17" s="705">
        <f>H17</f>
        <v>100</v>
      </c>
      <c r="V17" s="704" t="s">
        <v>14</v>
      </c>
      <c r="W17" s="705">
        <f>J17</f>
        <v>100</v>
      </c>
      <c r="X17" s="1354"/>
      <c r="Y17" s="3843"/>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843"/>
      <c r="Q18" s="1351"/>
      <c r="R18" s="704"/>
      <c r="S18" s="705"/>
      <c r="T18" s="704"/>
      <c r="U18" s="705"/>
      <c r="V18" s="704"/>
      <c r="W18" s="705"/>
      <c r="X18" s="1354"/>
      <c r="Y18" s="3843"/>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43"/>
      <c r="Q19" s="1351" t="str">
        <f t="shared" ref="Q19:Q33" si="8">B19</f>
        <v>区域土地利用方向</v>
      </c>
      <c r="R19" s="704" t="s">
        <v>14</v>
      </c>
      <c r="S19" s="705">
        <f>F19</f>
        <v>100</v>
      </c>
      <c r="T19" s="704" t="s">
        <v>14</v>
      </c>
      <c r="U19" s="705">
        <f>H19</f>
        <v>100</v>
      </c>
      <c r="V19" s="704" t="s">
        <v>14</v>
      </c>
      <c r="W19" s="705">
        <f>J19</f>
        <v>100</v>
      </c>
      <c r="X19" s="1354"/>
      <c r="Y19" s="3843"/>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19"/>
      <c r="M20" s="2713"/>
      <c r="N20" s="2713"/>
      <c r="O20" s="2771"/>
      <c r="P20" s="3843"/>
      <c r="Q20" s="1351"/>
      <c r="R20" s="704"/>
      <c r="S20" s="705"/>
      <c r="T20" s="704"/>
      <c r="U20" s="705"/>
      <c r="V20" s="704"/>
      <c r="W20" s="705"/>
      <c r="X20" s="1354"/>
      <c r="Y20" s="3843"/>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43"/>
      <c r="Q21" s="1351" t="str">
        <f t="shared" si="8"/>
        <v>环境状况</v>
      </c>
      <c r="R21" s="704" t="s">
        <v>14</v>
      </c>
      <c r="S21" s="705">
        <f>F21</f>
        <v>100</v>
      </c>
      <c r="T21" s="704" t="s">
        <v>14</v>
      </c>
      <c r="U21" s="705">
        <f>H21</f>
        <v>100</v>
      </c>
      <c r="V21" s="704" t="s">
        <v>14</v>
      </c>
      <c r="W21" s="705">
        <f>J21</f>
        <v>100</v>
      </c>
      <c r="X21" s="1354"/>
      <c r="Y21" s="3843"/>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843"/>
      <c r="Q22" s="1351"/>
      <c r="R22" s="704"/>
      <c r="S22" s="705"/>
      <c r="T22" s="704"/>
      <c r="U22" s="705"/>
      <c r="V22" s="704"/>
      <c r="W22" s="705"/>
      <c r="X22" s="1354"/>
      <c r="Y22" s="3843"/>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43"/>
      <c r="Q23" s="1342" t="str">
        <f t="shared" si="8"/>
        <v>公共配套设施</v>
      </c>
      <c r="R23" s="700" t="s">
        <v>14</v>
      </c>
      <c r="S23" s="701">
        <f>F23</f>
        <v>100</v>
      </c>
      <c r="T23" s="700" t="s">
        <v>14</v>
      </c>
      <c r="U23" s="701">
        <f>H23</f>
        <v>100</v>
      </c>
      <c r="V23" s="700" t="s">
        <v>14</v>
      </c>
      <c r="W23" s="701">
        <f>J23</f>
        <v>100</v>
      </c>
      <c r="X23" s="702"/>
      <c r="Y23" s="3843"/>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843"/>
      <c r="Q24" s="1342"/>
      <c r="R24" s="700"/>
      <c r="S24" s="701"/>
      <c r="T24" s="700"/>
      <c r="U24" s="701"/>
      <c r="V24" s="700"/>
      <c r="W24" s="701"/>
      <c r="X24" s="702"/>
      <c r="Y24" s="3843"/>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43"/>
      <c r="Q25" s="1342" t="str">
        <f t="shared" ref="Q25" si="9">B25</f>
        <v>基础设施水平</v>
      </c>
      <c r="R25" s="700" t="s">
        <v>14</v>
      </c>
      <c r="S25" s="701">
        <f>F25</f>
        <v>100</v>
      </c>
      <c r="T25" s="700" t="s">
        <v>14</v>
      </c>
      <c r="U25" s="701">
        <f>H25</f>
        <v>100</v>
      </c>
      <c r="V25" s="700" t="s">
        <v>14</v>
      </c>
      <c r="W25" s="701">
        <f>J25</f>
        <v>100</v>
      </c>
      <c r="X25" s="702"/>
      <c r="Y25" s="3843"/>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843"/>
      <c r="Q26" s="1342"/>
      <c r="R26" s="700"/>
      <c r="S26" s="701"/>
      <c r="T26" s="700"/>
      <c r="U26" s="701"/>
      <c r="V26" s="700"/>
      <c r="W26" s="701"/>
      <c r="X26" s="702"/>
      <c r="Y26" s="3843"/>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43"/>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843"/>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43"/>
      <c r="Q28" s="1351" t="str">
        <f t="shared" si="8"/>
        <v>毗邻道路的类型与等级</v>
      </c>
      <c r="R28" s="704" t="s">
        <v>14</v>
      </c>
      <c r="S28" s="705">
        <f t="shared" si="10"/>
        <v>100</v>
      </c>
      <c r="T28" s="704" t="s">
        <v>14</v>
      </c>
      <c r="U28" s="705">
        <f t="shared" si="11"/>
        <v>100</v>
      </c>
      <c r="V28" s="704" t="s">
        <v>14</v>
      </c>
      <c r="W28" s="705">
        <f t="shared" si="12"/>
        <v>100</v>
      </c>
      <c r="X28" s="1354"/>
      <c r="Y28" s="3843"/>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843"/>
      <c r="Q29" s="1351"/>
      <c r="R29" s="704"/>
      <c r="S29" s="705"/>
      <c r="T29" s="704"/>
      <c r="U29" s="705"/>
      <c r="V29" s="704"/>
      <c r="W29" s="705"/>
      <c r="X29" s="1354"/>
      <c r="Y29" s="3843"/>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43"/>
      <c r="Q30" s="1351" t="str">
        <f t="shared" si="8"/>
        <v>土地级别</v>
      </c>
      <c r="R30" s="704" t="s">
        <v>14</v>
      </c>
      <c r="S30" s="705">
        <f t="shared" si="10"/>
        <v>100</v>
      </c>
      <c r="T30" s="704" t="s">
        <v>14</v>
      </c>
      <c r="U30" s="705">
        <f t="shared" si="11"/>
        <v>100</v>
      </c>
      <c r="V30" s="704" t="s">
        <v>14</v>
      </c>
      <c r="W30" s="705">
        <f t="shared" si="12"/>
        <v>100</v>
      </c>
      <c r="X30" s="1354"/>
      <c r="Y30" s="3843"/>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43"/>
      <c r="Q31" s="1351">
        <f t="shared" si="8"/>
        <v>111</v>
      </c>
      <c r="R31" s="704" t="s">
        <v>14</v>
      </c>
      <c r="S31" s="705">
        <f t="shared" si="10"/>
        <v>100</v>
      </c>
      <c r="T31" s="704" t="s">
        <v>14</v>
      </c>
      <c r="U31" s="705">
        <f t="shared" si="11"/>
        <v>100</v>
      </c>
      <c r="V31" s="704" t="s">
        <v>14</v>
      </c>
      <c r="W31" s="705">
        <f t="shared" si="12"/>
        <v>100</v>
      </c>
      <c r="X31" s="1354"/>
      <c r="Y31" s="3843"/>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87" t="s">
        <v>1696</v>
      </c>
      <c r="Q32" s="1351">
        <f t="shared" si="8"/>
        <v>111</v>
      </c>
      <c r="R32" s="704" t="s">
        <v>14</v>
      </c>
      <c r="S32" s="705">
        <f t="shared" si="10"/>
        <v>100</v>
      </c>
      <c r="T32" s="704" t="s">
        <v>14</v>
      </c>
      <c r="U32" s="705">
        <f t="shared" si="11"/>
        <v>100</v>
      </c>
      <c r="V32" s="704" t="s">
        <v>14</v>
      </c>
      <c r="W32" s="705">
        <f t="shared" si="12"/>
        <v>100</v>
      </c>
      <c r="X32" s="1354"/>
      <c r="Y32" s="3847"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47"/>
      <c r="Q33" s="1351">
        <f t="shared" si="8"/>
        <v>111</v>
      </c>
      <c r="R33" s="707" t="s">
        <v>14</v>
      </c>
      <c r="S33" s="708">
        <f t="shared" si="10"/>
        <v>100</v>
      </c>
      <c r="T33" s="707" t="s">
        <v>14</v>
      </c>
      <c r="U33" s="708">
        <f t="shared" si="11"/>
        <v>100</v>
      </c>
      <c r="V33" s="707" t="s">
        <v>14</v>
      </c>
      <c r="W33" s="708">
        <f t="shared" si="12"/>
        <v>100</v>
      </c>
      <c r="X33" s="709"/>
      <c r="Y33" s="3847"/>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47"/>
      <c r="Q34" s="1351" t="str">
        <f>B34</f>
        <v>宗地面积</v>
      </c>
      <c r="R34" s="704" t="s">
        <v>14</v>
      </c>
      <c r="S34" s="705" t="e">
        <f t="shared" si="10"/>
        <v>#N/A</v>
      </c>
      <c r="T34" s="704" t="s">
        <v>14</v>
      </c>
      <c r="U34" s="705" t="e">
        <f t="shared" si="11"/>
        <v>#N/A</v>
      </c>
      <c r="V34" s="704" t="s">
        <v>14</v>
      </c>
      <c r="W34" s="705" t="e">
        <f t="shared" si="12"/>
        <v>#N/A</v>
      </c>
      <c r="X34" s="1354"/>
      <c r="Y34" s="3847"/>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847"/>
      <c r="Q35" s="1351" t="str">
        <f t="shared" ref="Q35:Q40" si="14">B35</f>
        <v>宗地形状</v>
      </c>
      <c r="R35" s="704" t="s">
        <v>14</v>
      </c>
      <c r="S35" s="705">
        <f t="shared" si="10"/>
        <v>100</v>
      </c>
      <c r="T35" s="704" t="s">
        <v>14</v>
      </c>
      <c r="U35" s="705">
        <f t="shared" si="11"/>
        <v>100</v>
      </c>
      <c r="V35" s="704" t="s">
        <v>14</v>
      </c>
      <c r="W35" s="705">
        <f t="shared" si="12"/>
        <v>100</v>
      </c>
      <c r="X35" s="1354"/>
      <c r="Y35" s="3847"/>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847"/>
      <c r="Q36" s="1351" t="str">
        <f t="shared" si="14"/>
        <v>宗地开发程度</v>
      </c>
      <c r="R36" s="700" t="s">
        <v>14</v>
      </c>
      <c r="S36" s="701">
        <f t="shared" si="10"/>
        <v>100</v>
      </c>
      <c r="T36" s="700" t="s">
        <v>14</v>
      </c>
      <c r="U36" s="701">
        <f t="shared" si="11"/>
        <v>100</v>
      </c>
      <c r="V36" s="700" t="s">
        <v>14</v>
      </c>
      <c r="W36" s="701">
        <f t="shared" si="12"/>
        <v>100</v>
      </c>
      <c r="X36" s="702"/>
      <c r="Y36" s="3847"/>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847" t="s">
        <v>1696</v>
      </c>
      <c r="Q37" s="1351" t="str">
        <f t="shared" si="14"/>
        <v>工程地质条件</v>
      </c>
      <c r="R37" s="704" t="s">
        <v>14</v>
      </c>
      <c r="S37" s="705">
        <f t="shared" si="10"/>
        <v>100</v>
      </c>
      <c r="T37" s="704" t="s">
        <v>14</v>
      </c>
      <c r="U37" s="705">
        <f t="shared" si="11"/>
        <v>100</v>
      </c>
      <c r="V37" s="704" t="s">
        <v>14</v>
      </c>
      <c r="W37" s="705">
        <f t="shared" si="12"/>
        <v>100</v>
      </c>
      <c r="X37" s="1354"/>
      <c r="Y37" s="3847"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47"/>
      <c r="Q38" s="1351">
        <f t="shared" si="14"/>
        <v>111</v>
      </c>
      <c r="R38" s="704" t="s">
        <v>14</v>
      </c>
      <c r="S38" s="705">
        <f t="shared" si="10"/>
        <v>100</v>
      </c>
      <c r="T38" s="704" t="s">
        <v>14</v>
      </c>
      <c r="U38" s="705">
        <f t="shared" si="11"/>
        <v>100</v>
      </c>
      <c r="V38" s="704" t="s">
        <v>14</v>
      </c>
      <c r="W38" s="705">
        <f t="shared" si="12"/>
        <v>100</v>
      </c>
      <c r="X38" s="1354"/>
      <c r="Y38" s="3847"/>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47"/>
      <c r="Q39" s="1351">
        <f t="shared" si="14"/>
        <v>111</v>
      </c>
      <c r="R39" s="704" t="s">
        <v>14</v>
      </c>
      <c r="S39" s="705">
        <f t="shared" si="10"/>
        <v>100</v>
      </c>
      <c r="T39" s="704" t="s">
        <v>14</v>
      </c>
      <c r="U39" s="705">
        <f t="shared" si="11"/>
        <v>100</v>
      </c>
      <c r="V39" s="704" t="s">
        <v>14</v>
      </c>
      <c r="W39" s="705">
        <f t="shared" si="12"/>
        <v>100</v>
      </c>
      <c r="X39" s="1354"/>
      <c r="Y39" s="3847"/>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47"/>
      <c r="Q40" s="1351">
        <f t="shared" si="14"/>
        <v>111</v>
      </c>
      <c r="R40" s="707" t="s">
        <v>14</v>
      </c>
      <c r="S40" s="708">
        <f t="shared" si="10"/>
        <v>100</v>
      </c>
      <c r="T40" s="707" t="s">
        <v>14</v>
      </c>
      <c r="U40" s="708">
        <f t="shared" si="11"/>
        <v>100</v>
      </c>
      <c r="V40" s="707" t="s">
        <v>14</v>
      </c>
      <c r="W40" s="708">
        <f t="shared" si="12"/>
        <v>100</v>
      </c>
      <c r="X40" s="709"/>
      <c r="Y40" s="3847"/>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1"/>
      <c r="M41" s="2713"/>
      <c r="N41" s="2713"/>
      <c r="O41" s="2722"/>
      <c r="P41" s="3849" t="str">
        <f>A41</f>
        <v>成交单价</v>
      </c>
      <c r="Q41" s="3849"/>
      <c r="R41" s="3837">
        <f>E41</f>
        <v>0</v>
      </c>
      <c r="S41" s="3837"/>
      <c r="T41" s="3837">
        <f>G41</f>
        <v>0</v>
      </c>
      <c r="U41" s="3837"/>
      <c r="V41" s="3837">
        <f>I41</f>
        <v>0</v>
      </c>
      <c r="W41" s="3837"/>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1"/>
      <c r="M42" s="2713"/>
      <c r="N42" s="2713"/>
      <c r="O42" s="2722"/>
      <c r="P42" s="3849" t="str">
        <f>A42</f>
        <v>比较价值（元/平方米）</v>
      </c>
      <c r="Q42" s="3849"/>
      <c r="R42" s="3889" t="e">
        <f>ROUND(PRODUCT(R41,AA7:AA40),0)</f>
        <v>#DIV/0!</v>
      </c>
      <c r="S42" s="3889"/>
      <c r="T42" s="3889" t="e">
        <f>ROUND(PRODUCT(T41,AB7:AB40),0)</f>
        <v>#DIV/0!</v>
      </c>
      <c r="U42" s="3889"/>
      <c r="V42" s="3889" t="e">
        <f>ROUND(PRODUCT(V41,AC7:AC40),0)</f>
        <v>#DIV/0!</v>
      </c>
      <c r="W42" s="3889"/>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884" t="str">
        <f>A43</f>
        <v>估价对象XX用房的比较价值（楼面单价，元/平方米）</v>
      </c>
      <c r="Q43" s="3885"/>
      <c r="R43" s="3890" t="e">
        <f>ROUND(IF(D42="简单平均",AVERAGE(R42:W42),R42*F42+T42*H42+V42*J42),0)</f>
        <v>#DIV/0!</v>
      </c>
      <c r="S43" s="3890"/>
      <c r="T43" s="3890"/>
      <c r="U43" s="3890"/>
      <c r="V43" s="3890"/>
      <c r="W43" s="3890"/>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2" t="s">
        <v>1883</v>
      </c>
      <c r="D50" s="1983" t="s">
        <v>1884</v>
      </c>
      <c r="E50" s="634" t="s">
        <v>1885</v>
      </c>
      <c r="F50" s="635" t="s">
        <v>1886</v>
      </c>
      <c r="G50" s="3824" t="s">
        <v>1887</v>
      </c>
      <c r="H50" s="3891"/>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3">
        <v>1</v>
      </c>
      <c r="E51" s="638">
        <f>'数据-汇总表'!E8+'数据-汇总表'!E9</f>
        <v>3527.3</v>
      </c>
      <c r="F51" s="639" t="e">
        <f t="shared" ref="F51:F60" si="15">ROUND(B51*E51/10000,0)</f>
        <v>#DIV/0!</v>
      </c>
      <c r="G51" s="3820"/>
      <c r="H51" s="3849"/>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0.5</v>
      </c>
      <c r="D52" s="944">
        <v>0.25</v>
      </c>
      <c r="E52" s="642"/>
      <c r="F52" s="639" t="e">
        <f t="shared" si="15"/>
        <v>#DIV/0!</v>
      </c>
      <c r="G52" s="3003" t="s">
        <v>1892</v>
      </c>
      <c r="H52" s="886" t="str">
        <f>项目基本情况!B37</f>
        <v>八级</v>
      </c>
      <c r="I52" s="772">
        <f>SUMIF(修正!A57:A68,H52,修正!B57:B68)</f>
        <v>0.5</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0.2</v>
      </c>
      <c r="D53" s="944">
        <v>0.25</v>
      </c>
      <c r="E53" s="642"/>
      <c r="F53" s="639" t="e">
        <f t="shared" si="15"/>
        <v>#DIV/0!</v>
      </c>
      <c r="G53" s="3004"/>
      <c r="H53" s="886" t="str">
        <f>项目基本情况!B37</f>
        <v>八级</v>
      </c>
      <c r="I53" s="772">
        <f>SUMIF(修正!A57:A68,H53,修正!C57:C68)</f>
        <v>0.2</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0.2</v>
      </c>
      <c r="D54" s="944">
        <v>0.25</v>
      </c>
      <c r="E54" s="642"/>
      <c r="F54" s="639" t="e">
        <f t="shared" si="15"/>
        <v>#DIV/0!</v>
      </c>
      <c r="G54" s="3004"/>
      <c r="H54" s="886" t="str">
        <f>项目基本情况!B37</f>
        <v>八级</v>
      </c>
      <c r="I54" s="772">
        <f>SUMIF(修正!A57:A68,H54,修正!D57:D68)</f>
        <v>0.2</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0.1</v>
      </c>
      <c r="D59" s="944">
        <v>0.25</v>
      </c>
      <c r="E59" s="217">
        <f>'数据-汇总表'!E14</f>
        <v>0</v>
      </c>
      <c r="F59" s="639" t="e">
        <f t="shared" si="15"/>
        <v>#DIV/0!</v>
      </c>
      <c r="G59" s="1986" t="s">
        <v>1892</v>
      </c>
      <c r="H59" s="886" t="str">
        <f>项目基本情况!B37</f>
        <v>八级</v>
      </c>
      <c r="I59" s="772">
        <f>SUMIF(修正!A57:A68,H59,修正!G57:G68)</f>
        <v>0.1</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1510.07</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2025-2-1</v>
      </c>
      <c r="D63" s="691">
        <f>EDATE(C63,-3)</f>
        <v>45597</v>
      </c>
      <c r="E63" s="691">
        <f>EDATE(D63,-3)</f>
        <v>45505</v>
      </c>
      <c r="F63" s="691">
        <f t="shared" ref="F63:O63" si="18">EDATE(E63,-3)</f>
        <v>45413</v>
      </c>
      <c r="G63" s="691">
        <f t="shared" si="18"/>
        <v>45323</v>
      </c>
      <c r="H63" s="691">
        <f t="shared" si="18"/>
        <v>45231</v>
      </c>
      <c r="I63" s="691">
        <f t="shared" si="18"/>
        <v>45139</v>
      </c>
      <c r="J63" s="691">
        <f t="shared" si="18"/>
        <v>45047</v>
      </c>
      <c r="K63" s="691">
        <f t="shared" si="18"/>
        <v>44958</v>
      </c>
      <c r="L63" s="691">
        <f t="shared" si="18"/>
        <v>44866</v>
      </c>
      <c r="M63" s="691">
        <f t="shared" si="18"/>
        <v>44774</v>
      </c>
      <c r="N63" s="691">
        <f t="shared" si="18"/>
        <v>44682</v>
      </c>
      <c r="O63" s="691">
        <f t="shared" si="18"/>
        <v>44593</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8"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899" t="s">
        <v>2084</v>
      </c>
      <c r="D1" s="3900"/>
      <c r="E1" s="3900"/>
      <c r="F1" s="3900"/>
      <c r="G1" s="3900"/>
      <c r="H1" s="3900"/>
      <c r="I1" s="3900"/>
      <c r="J1" s="3900"/>
      <c r="K1" s="3900"/>
      <c r="L1" s="3900"/>
      <c r="M1" s="3900"/>
      <c r="N1" s="3900"/>
      <c r="O1" s="3900"/>
      <c r="P1" s="3900"/>
      <c r="Q1" s="3900"/>
      <c r="R1" s="3900"/>
      <c r="S1" s="3901"/>
      <c r="T1" s="982" t="s">
        <v>2085</v>
      </c>
    </row>
    <row r="2" spans="1:45" s="655" customFormat="1" ht="38.25">
      <c r="A2" s="983"/>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300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'比较法-商业'!C104</f>
        <v>100</v>
      </c>
      <c r="D4" s="988">
        <f>'比较法-商业'!D104</f>
        <v>99</v>
      </c>
      <c r="E4" s="988">
        <f>'比较法-商业'!E104</f>
        <v>98</v>
      </c>
      <c r="F4" s="988">
        <f>'比较法-商业'!F104</f>
        <v>97</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t="str">
        <f>'比较法-商业'!C92</f>
        <v>1层</v>
      </c>
      <c r="D17" s="1009" t="str">
        <f>'比较法-商业'!D92</f>
        <v>2层</v>
      </c>
      <c r="E17" s="1009" t="str">
        <f>'比较法-商业'!E92</f>
        <v>3层</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'比较法-商业'!C93</f>
        <v>100</v>
      </c>
      <c r="D18" s="1021">
        <f>'比较法-商业'!D93</f>
        <v>75</v>
      </c>
      <c r="E18" s="1021">
        <f>'比较法-商业'!E93</f>
        <v>65</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IF(D20="——",S22,S22-F20)</f>
        <v>8380</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ROUND(B20*10000/B22,0)</f>
        <v>23758</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3527.3</v>
      </c>
      <c r="C22" s="3896" t="s">
        <v>27</v>
      </c>
      <c r="D22" s="3897"/>
      <c r="E22" s="3897"/>
      <c r="F22" s="3897"/>
      <c r="G22" s="3897"/>
      <c r="H22" s="3897"/>
      <c r="I22" s="3897"/>
      <c r="J22" s="3897"/>
      <c r="K22" s="3897"/>
      <c r="L22" s="3897"/>
      <c r="M22" s="3897"/>
      <c r="N22" s="3897"/>
      <c r="O22" s="3897"/>
      <c r="P22" s="3897"/>
      <c r="Q22" s="3898"/>
      <c r="R22" s="662">
        <f>ROUND(S22*10000/B22,0)</f>
        <v>23758</v>
      </c>
      <c r="S22" s="21">
        <f>SUM(S24:S10000)</f>
        <v>8380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65" t="s">
        <v>3481</v>
      </c>
      <c r="B24" s="664">
        <f>'数据-基础表'!I13</f>
        <v>3527.3</v>
      </c>
      <c r="C24" s="2807">
        <v>1</v>
      </c>
      <c r="D24" s="2808"/>
      <c r="E24" s="2807">
        <v>1</v>
      </c>
      <c r="F24" s="2808"/>
      <c r="G24" s="2807">
        <v>1</v>
      </c>
      <c r="H24" s="2808"/>
      <c r="I24" s="2807">
        <v>1</v>
      </c>
      <c r="J24" s="2808"/>
      <c r="K24" s="2807">
        <v>1</v>
      </c>
      <c r="L24" s="2808"/>
      <c r="M24" s="2807">
        <v>1</v>
      </c>
      <c r="N24" s="2808"/>
      <c r="O24" s="2807">
        <v>1</v>
      </c>
      <c r="P24" s="2808" t="s">
        <v>3465</v>
      </c>
      <c r="Q24" s="2807">
        <v>1</v>
      </c>
      <c r="R24" s="667">
        <f>'比较法-商业'!C49</f>
        <v>23757</v>
      </c>
      <c r="S24" s="665">
        <f t="shared" ref="S24:S54" si="11">ROUND(R24*B24/10000,0)</f>
        <v>8380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3482</v>
      </c>
      <c r="B25" s="664">
        <f>'数据-基础表'!I14</f>
        <v>0</v>
      </c>
      <c r="C25" s="21">
        <f>IF(B25="",1,(LOOKUP(B25,$3:$3,$4:$4)-LOOKUP($B$24,$3:$3,$4:$4)+100)/100)</f>
        <v>1.03</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3484</v>
      </c>
      <c r="Q25" s="21">
        <f>(SUMIF($17:$17,P25,$18:$18)-SUMIF($17:$17,$P$24,$18:$18)+100)/100</f>
        <v>0.75</v>
      </c>
      <c r="R25" s="662">
        <f>IF(B25="",0,ROUND($R$24*C25*E25*G25*I25*K25*M25*O25*Q25,0))</f>
        <v>18352</v>
      </c>
      <c r="S25" s="316">
        <f t="shared" si="11"/>
        <v>0</v>
      </c>
    </row>
    <row r="26" spans="1:45">
      <c r="A26" s="150" t="s">
        <v>3483</v>
      </c>
      <c r="B26" s="664">
        <f>'数据-基础表'!I15</f>
        <v>0</v>
      </c>
      <c r="C26" s="21">
        <f t="shared" ref="C26:C89" si="12">IF(B26="",1,(LOOKUP(B26,$3:$3,$4:$4)-LOOKUP($B$24,$3:$3,$4:$4)+100)/100)</f>
        <v>1.03</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t="s">
        <v>3485</v>
      </c>
      <c r="Q26" s="21">
        <f t="shared" ref="Q26:Q89" si="19">(SUMIF($17:$17,P26,$18:$18)-SUMIF($17:$17,$P$24,$18:$18)+100)/100</f>
        <v>0.65</v>
      </c>
      <c r="R26" s="662">
        <f t="shared" ref="R26:R89" si="20">IF(B26="",0,ROUND($R$24*C26*E26*G26*I26*K26*M26*O26*Q26,0))</f>
        <v>15905</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0</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600">
        <f ca="1">SUMIF(B6:B13,"&lt;&gt;#ref!",B6:B13)</f>
        <v>1717</v>
      </c>
      <c r="C2" s="2144" t="s">
        <v>2074</v>
      </c>
      <c r="D2" s="2144" t="s">
        <v>2075</v>
      </c>
      <c r="E2" s="2610">
        <f ca="1">SUMIF(E6:E13,"&lt;&gt;#ref!",E6:E13)</f>
        <v>932.7</v>
      </c>
      <c r="F2" s="2790"/>
      <c r="G2" s="2790"/>
      <c r="H2" s="2790"/>
      <c r="I2" s="2790"/>
      <c r="J2" s="2790"/>
      <c r="K2" s="2790"/>
      <c r="L2" s="2790"/>
      <c r="M2" s="2790"/>
      <c r="N2" s="2790"/>
      <c r="O2" s="2790"/>
      <c r="P2" s="2790"/>
    </row>
    <row r="3" spans="1:16" ht="15.75">
      <c r="A3" s="2144" t="s">
        <v>2076</v>
      </c>
      <c r="B3" s="2600">
        <f ca="1">ROUND(B2*10000/E2,0)</f>
        <v>18409</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5"/>
      <c r="D5" s="2790"/>
      <c r="E5" s="2609" t="s">
        <v>2079</v>
      </c>
      <c r="F5" s="2790"/>
      <c r="G5" s="2790"/>
      <c r="H5" s="2790"/>
      <c r="I5" s="2790"/>
      <c r="J5" s="2790"/>
      <c r="K5" s="2790"/>
      <c r="L5" s="2790"/>
      <c r="M5" s="2790"/>
      <c r="N5" s="2790"/>
      <c r="O5" s="2790"/>
      <c r="P5" s="2790"/>
    </row>
    <row r="6" spans="1:16" ht="15.75">
      <c r="A6" s="2607" t="s">
        <v>2080</v>
      </c>
      <c r="B6" s="2600">
        <f ca="1">SUMIF(INDIRECT("'"&amp;A6&amp;"'"&amp;"!A:A"),"总价",INDIRECT("'"&amp;A6&amp;"'"&amp;"!B:B"))</f>
        <v>1717</v>
      </c>
      <c r="C6" s="2144" t="s">
        <v>2074</v>
      </c>
      <c r="D6" s="2790"/>
      <c r="E6" s="2610">
        <f ca="1">SUMIF(INDIRECT("'"&amp;A6&amp;"'"&amp;"!C:C"),"建筑面积",INDIRECT("'"&amp;A6&amp;"'"&amp;"!D:D"))</f>
        <v>932.7</v>
      </c>
      <c r="F6" s="2790"/>
      <c r="G6" s="2790"/>
      <c r="H6" s="2790"/>
      <c r="I6" s="2790"/>
      <c r="J6" s="2790"/>
      <c r="K6" s="2790"/>
      <c r="L6" s="2790"/>
      <c r="M6" s="2790"/>
      <c r="N6" s="2790"/>
      <c r="O6" s="2790"/>
      <c r="P6" s="2790"/>
    </row>
    <row r="7" spans="1:16" ht="15.75">
      <c r="A7" s="2607"/>
      <c r="B7" s="2600" t="e">
        <f ca="1">SUMIF(INDIRECT("'"&amp;A7&amp;"'"&amp;"!A:A"),"总价",INDIRECT("'"&amp;A7&amp;"'"&amp;"!B:B"))</f>
        <v>#REF!</v>
      </c>
      <c r="C7" s="2144"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4"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4"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4"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4"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4"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4"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909" t="s">
        <v>2606</v>
      </c>
      <c r="B20" s="3902" t="s">
        <v>2627</v>
      </c>
      <c r="C20" s="3100" t="s">
        <v>2438</v>
      </c>
      <c r="D20" s="3101"/>
      <c r="E20" s="3102">
        <v>1</v>
      </c>
      <c r="F20" s="3103" t="s">
        <v>2439</v>
      </c>
      <c r="G20" s="3103"/>
    </row>
    <row r="21" spans="1:13" ht="19.5" customHeight="1">
      <c r="A21" s="3910"/>
      <c r="B21" s="3903"/>
      <c r="C21" s="3104" t="s">
        <v>2440</v>
      </c>
      <c r="D21" s="3105"/>
      <c r="E21" s="3106">
        <v>1</v>
      </c>
      <c r="F21" s="3103" t="s">
        <v>2441</v>
      </c>
      <c r="G21" s="3103"/>
    </row>
    <row r="22" spans="1:13" ht="19.5" customHeight="1">
      <c r="A22" s="3910"/>
      <c r="B22" s="3903"/>
      <c r="C22" s="3104" t="s">
        <v>2442</v>
      </c>
      <c r="D22" s="3105"/>
      <c r="E22" s="3106">
        <v>0.9</v>
      </c>
      <c r="F22" s="3103" t="s">
        <v>2443</v>
      </c>
      <c r="G22" s="3103"/>
    </row>
    <row r="23" spans="1:13" ht="19.5" customHeight="1">
      <c r="A23" s="3910"/>
      <c r="B23" s="3903"/>
      <c r="C23" s="3104" t="s">
        <v>2444</v>
      </c>
      <c r="D23" s="3105"/>
      <c r="E23" s="3106">
        <v>0.9</v>
      </c>
      <c r="F23" s="3103" t="s">
        <v>2445</v>
      </c>
      <c r="G23" s="3103"/>
    </row>
    <row r="24" spans="1:13" ht="19.5" customHeight="1">
      <c r="A24" s="3910"/>
      <c r="B24" s="3903"/>
      <c r="C24" s="3104" t="s">
        <v>2446</v>
      </c>
      <c r="D24" s="3105"/>
      <c r="E24" s="3106">
        <v>0.8</v>
      </c>
      <c r="F24" s="3103" t="s">
        <v>2447</v>
      </c>
      <c r="G24" s="3103"/>
    </row>
    <row r="25" spans="1:13" ht="19.5" customHeight="1" thickBot="1">
      <c r="A25" s="3911"/>
      <c r="B25" s="3904"/>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905" t="s">
        <v>2630</v>
      </c>
      <c r="B27" s="3902" t="s">
        <v>2611</v>
      </c>
      <c r="C27" s="3100" t="s">
        <v>2451</v>
      </c>
      <c r="D27" s="3101"/>
      <c r="E27" s="3102">
        <v>1</v>
      </c>
      <c r="F27" s="3103" t="s">
        <v>2452</v>
      </c>
      <c r="G27" s="3103"/>
    </row>
    <row r="28" spans="1:13" ht="19.5" customHeight="1">
      <c r="A28" s="3906"/>
      <c r="B28" s="3903"/>
      <c r="C28" s="3104" t="s">
        <v>2453</v>
      </c>
      <c r="D28" s="3105"/>
      <c r="E28" s="3106">
        <v>1</v>
      </c>
      <c r="F28" s="3103" t="s">
        <v>2454</v>
      </c>
      <c r="G28" s="3103"/>
    </row>
    <row r="29" spans="1:13" ht="19.5" customHeight="1">
      <c r="A29" s="3906"/>
      <c r="B29" s="3903"/>
      <c r="C29" s="3104" t="s">
        <v>2455</v>
      </c>
      <c r="D29" s="3105"/>
      <c r="E29" s="3106">
        <v>0.8</v>
      </c>
      <c r="F29" s="3103" t="s">
        <v>2456</v>
      </c>
      <c r="G29" s="3103"/>
    </row>
    <row r="30" spans="1:13" ht="19.5" customHeight="1">
      <c r="A30" s="3906"/>
      <c r="B30" s="3903"/>
      <c r="C30" s="3104" t="s">
        <v>2457</v>
      </c>
      <c r="D30" s="3105"/>
      <c r="E30" s="3106">
        <v>0.8</v>
      </c>
      <c r="F30" s="3103" t="s">
        <v>2458</v>
      </c>
      <c r="G30" s="3103"/>
    </row>
    <row r="31" spans="1:13" ht="19.5" customHeight="1">
      <c r="A31" s="3906"/>
      <c r="B31" s="3903"/>
      <c r="C31" s="3104" t="s">
        <v>2459</v>
      </c>
      <c r="D31" s="3105"/>
      <c r="E31" s="3106">
        <v>0.8</v>
      </c>
      <c r="F31" s="3103" t="s">
        <v>2460</v>
      </c>
      <c r="G31" s="3103"/>
    </row>
    <row r="32" spans="1:13" ht="19.5" customHeight="1">
      <c r="A32" s="3906"/>
      <c r="B32" s="3903"/>
      <c r="C32" s="3104" t="s">
        <v>2461</v>
      </c>
      <c r="D32" s="3105"/>
      <c r="E32" s="3106">
        <v>0.7</v>
      </c>
      <c r="F32" s="3103" t="s">
        <v>2462</v>
      </c>
      <c r="G32" s="3103"/>
    </row>
    <row r="33" spans="1:7" ht="19.5" customHeight="1">
      <c r="A33" s="3906"/>
      <c r="B33" s="3903"/>
      <c r="C33" s="3104" t="s">
        <v>2463</v>
      </c>
      <c r="D33" s="3105"/>
      <c r="E33" s="3106">
        <v>0.8</v>
      </c>
      <c r="F33" s="3103" t="s">
        <v>2464</v>
      </c>
      <c r="G33" s="3103"/>
    </row>
    <row r="34" spans="1:7" ht="19.5" customHeight="1">
      <c r="A34" s="3906"/>
      <c r="B34" s="3903"/>
      <c r="C34" s="3104" t="s">
        <v>2465</v>
      </c>
      <c r="D34" s="3105"/>
      <c r="E34" s="3106">
        <v>0.6</v>
      </c>
      <c r="F34" s="3103" t="s">
        <v>2466</v>
      </c>
      <c r="G34" s="3103"/>
    </row>
    <row r="35" spans="1:7" ht="19.5" customHeight="1">
      <c r="A35" s="3906"/>
      <c r="B35" s="3903"/>
      <c r="C35" s="3104" t="s">
        <v>2467</v>
      </c>
      <c r="D35" s="3105"/>
      <c r="E35" s="3106">
        <v>0.2</v>
      </c>
      <c r="F35" s="3103" t="s">
        <v>2468</v>
      </c>
      <c r="G35" s="3103"/>
    </row>
    <row r="36" spans="1:7" ht="19.5" customHeight="1">
      <c r="A36" s="3906"/>
      <c r="B36" s="3903"/>
      <c r="C36" s="3104" t="s">
        <v>2469</v>
      </c>
      <c r="D36" s="3105"/>
      <c r="E36" s="3106">
        <v>0.2</v>
      </c>
      <c r="F36" s="3103" t="s">
        <v>2470</v>
      </c>
      <c r="G36" s="3103"/>
    </row>
    <row r="37" spans="1:7" ht="19.5" customHeight="1">
      <c r="A37" s="3906"/>
      <c r="B37" s="3908" t="s">
        <v>2631</v>
      </c>
      <c r="C37" s="3104" t="s">
        <v>2471</v>
      </c>
      <c r="D37" s="3105"/>
      <c r="E37" s="3106">
        <v>0.6</v>
      </c>
      <c r="F37" s="3103" t="s">
        <v>2472</v>
      </c>
      <c r="G37" s="3103"/>
    </row>
    <row r="38" spans="1:7" ht="19.5" customHeight="1">
      <c r="A38" s="3906"/>
      <c r="B38" s="3903"/>
      <c r="C38" s="3104" t="s">
        <v>2473</v>
      </c>
      <c r="D38" s="3105"/>
      <c r="E38" s="3106">
        <v>0.6</v>
      </c>
      <c r="F38" s="3103" t="s">
        <v>2474</v>
      </c>
      <c r="G38" s="3103"/>
    </row>
    <row r="39" spans="1:7" ht="19.5" customHeight="1" thickBot="1">
      <c r="A39" s="3907"/>
      <c r="B39" s="3904"/>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909" t="s">
        <v>2609</v>
      </c>
      <c r="B41" s="3902" t="s">
        <v>2633</v>
      </c>
      <c r="C41" s="3100" t="s">
        <v>2478</v>
      </c>
      <c r="D41" s="3101"/>
      <c r="E41" s="3102">
        <v>1</v>
      </c>
      <c r="F41" s="3103" t="s">
        <v>2479</v>
      </c>
      <c r="G41" s="3103"/>
    </row>
    <row r="42" spans="1:7" ht="19.5" customHeight="1">
      <c r="A42" s="3910"/>
      <c r="B42" s="3903"/>
      <c r="C42" s="3104" t="s">
        <v>2480</v>
      </c>
      <c r="D42" s="3105"/>
      <c r="E42" s="3106">
        <v>1</v>
      </c>
      <c r="F42" s="3103" t="s">
        <v>2481</v>
      </c>
      <c r="G42" s="3103"/>
    </row>
    <row r="43" spans="1:7" ht="19.5" customHeight="1">
      <c r="A43" s="3910"/>
      <c r="B43" s="3912"/>
      <c r="C43" s="3104" t="s">
        <v>2482</v>
      </c>
      <c r="D43" s="3105"/>
      <c r="E43" s="3106">
        <v>1.5</v>
      </c>
      <c r="F43" s="3103" t="s">
        <v>2483</v>
      </c>
      <c r="G43" s="3103"/>
    </row>
    <row r="44" spans="1:7" ht="19.5" customHeight="1">
      <c r="A44" s="3910"/>
      <c r="B44" s="3115" t="s">
        <v>2634</v>
      </c>
      <c r="C44" s="3104" t="s">
        <v>2635</v>
      </c>
      <c r="D44" s="3105"/>
      <c r="E44" s="3106">
        <v>2</v>
      </c>
      <c r="F44" s="3103" t="s">
        <v>2484</v>
      </c>
      <c r="G44" s="3103"/>
    </row>
    <row r="45" spans="1:7" ht="19.5" customHeight="1">
      <c r="A45" s="3910"/>
      <c r="B45" s="3908" t="s">
        <v>2636</v>
      </c>
      <c r="C45" s="3104" t="s">
        <v>2485</v>
      </c>
      <c r="D45" s="3105"/>
      <c r="E45" s="3106">
        <v>1</v>
      </c>
      <c r="F45" s="3103" t="s">
        <v>2486</v>
      </c>
      <c r="G45" s="3103"/>
    </row>
    <row r="46" spans="1:7" ht="19.5" customHeight="1">
      <c r="A46" s="3910"/>
      <c r="B46" s="3903"/>
      <c r="C46" s="3104" t="s">
        <v>2487</v>
      </c>
      <c r="D46" s="3105"/>
      <c r="E46" s="3106">
        <v>1</v>
      </c>
      <c r="F46" s="3103" t="s">
        <v>2488</v>
      </c>
      <c r="G46" s="3103"/>
    </row>
    <row r="47" spans="1:7" ht="19.5" customHeight="1">
      <c r="A47" s="3910"/>
      <c r="B47" s="3903"/>
      <c r="C47" s="3104" t="s">
        <v>2489</v>
      </c>
      <c r="D47" s="3105"/>
      <c r="E47" s="3106">
        <v>1</v>
      </c>
      <c r="F47" s="3103" t="s">
        <v>2490</v>
      </c>
      <c r="G47" s="3103"/>
    </row>
    <row r="48" spans="1:7" ht="19.5" customHeight="1">
      <c r="A48" s="3910"/>
      <c r="B48" s="3903"/>
      <c r="C48" s="3104" t="s">
        <v>2491</v>
      </c>
      <c r="D48" s="3105"/>
      <c r="E48" s="3106">
        <v>1</v>
      </c>
      <c r="F48" s="3103" t="s">
        <v>2492</v>
      </c>
      <c r="G48" s="3103"/>
    </row>
    <row r="49" spans="1:7" ht="19.5" customHeight="1">
      <c r="A49" s="3910"/>
      <c r="B49" s="3903"/>
      <c r="C49" s="3104" t="s">
        <v>2493</v>
      </c>
      <c r="D49" s="3105"/>
      <c r="E49" s="3106">
        <v>1</v>
      </c>
      <c r="F49" s="3103" t="s">
        <v>2494</v>
      </c>
      <c r="G49" s="3103"/>
    </row>
    <row r="50" spans="1:7" ht="19.5" customHeight="1">
      <c r="A50" s="3910"/>
      <c r="B50" s="3903"/>
      <c r="C50" s="3104" t="s">
        <v>2495</v>
      </c>
      <c r="D50" s="3105"/>
      <c r="E50" s="3106">
        <v>1</v>
      </c>
      <c r="F50" s="3103" t="s">
        <v>2496</v>
      </c>
      <c r="G50" s="3103"/>
    </row>
    <row r="51" spans="1:7" ht="19.5" customHeight="1" thickBot="1">
      <c r="A51" s="3911"/>
      <c r="B51" s="3904"/>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908" t="s">
        <v>2650</v>
      </c>
      <c r="C73" s="3089" t="s">
        <v>2651</v>
      </c>
      <c r="D73" s="3089" t="s">
        <v>2652</v>
      </c>
      <c r="E73" s="3115">
        <v>0.2</v>
      </c>
      <c r="F73" s="3115">
        <v>25</v>
      </c>
    </row>
    <row r="74" spans="1:7" ht="24">
      <c r="A74" s="3115">
        <v>2</v>
      </c>
      <c r="B74" s="3903"/>
      <c r="C74" s="3089" t="s">
        <v>2653</v>
      </c>
      <c r="D74" s="3089" t="s">
        <v>2654</v>
      </c>
      <c r="E74" s="3115">
        <v>0.2</v>
      </c>
      <c r="F74" s="3115">
        <v>25</v>
      </c>
    </row>
    <row r="75" spans="1:7" ht="24">
      <c r="A75" s="3115">
        <v>3</v>
      </c>
      <c r="B75" s="3903"/>
      <c r="C75" s="3089" t="s">
        <v>2655</v>
      </c>
      <c r="D75" s="3089" t="s">
        <v>2656</v>
      </c>
      <c r="E75" s="3115">
        <v>0.2</v>
      </c>
      <c r="F75" s="3115">
        <v>25</v>
      </c>
    </row>
    <row r="76" spans="1:7" ht="13.5">
      <c r="A76" s="3115">
        <v>4</v>
      </c>
      <c r="B76" s="3903"/>
      <c r="C76" s="3089" t="s">
        <v>2657</v>
      </c>
      <c r="D76" s="3089" t="s">
        <v>2658</v>
      </c>
      <c r="E76" s="3115">
        <v>0.15</v>
      </c>
      <c r="F76" s="3115">
        <v>20</v>
      </c>
    </row>
    <row r="77" spans="1:7" ht="24">
      <c r="A77" s="3115">
        <v>5</v>
      </c>
      <c r="B77" s="3903"/>
      <c r="C77" s="3089" t="s">
        <v>2659</v>
      </c>
      <c r="D77" s="3089" t="s">
        <v>2660</v>
      </c>
      <c r="E77" s="3115">
        <v>0.15</v>
      </c>
      <c r="F77" s="3115">
        <v>20</v>
      </c>
    </row>
    <row r="78" spans="1:7" ht="24">
      <c r="A78" s="3115">
        <v>6</v>
      </c>
      <c r="B78" s="3903"/>
      <c r="C78" s="3089" t="s">
        <v>2661</v>
      </c>
      <c r="D78" s="3089" t="s">
        <v>2662</v>
      </c>
      <c r="E78" s="3115">
        <v>0.15</v>
      </c>
      <c r="F78" s="3115">
        <v>20</v>
      </c>
    </row>
    <row r="79" spans="1:7" ht="24">
      <c r="A79" s="3115">
        <v>7</v>
      </c>
      <c r="B79" s="3903"/>
      <c r="C79" s="3089" t="s">
        <v>2663</v>
      </c>
      <c r="D79" s="3089" t="s">
        <v>2664</v>
      </c>
      <c r="E79" s="3115">
        <v>0.15</v>
      </c>
      <c r="F79" s="3115">
        <v>20</v>
      </c>
    </row>
    <row r="80" spans="1:7" ht="24">
      <c r="A80" s="3115">
        <v>8</v>
      </c>
      <c r="B80" s="3903"/>
      <c r="C80" s="3089" t="s">
        <v>2665</v>
      </c>
      <c r="D80" s="3089" t="s">
        <v>2666</v>
      </c>
      <c r="E80" s="3115">
        <v>0.1</v>
      </c>
      <c r="F80" s="3115">
        <v>15</v>
      </c>
    </row>
    <row r="81" spans="1:6" ht="24">
      <c r="A81" s="3115">
        <v>9</v>
      </c>
      <c r="B81" s="3903"/>
      <c r="C81" s="3089" t="s">
        <v>2667</v>
      </c>
      <c r="D81" s="3089" t="s">
        <v>2668</v>
      </c>
      <c r="E81" s="3115">
        <v>0.1</v>
      </c>
      <c r="F81" s="3115">
        <v>15</v>
      </c>
    </row>
    <row r="82" spans="1:6" ht="24">
      <c r="A82" s="3115">
        <v>10</v>
      </c>
      <c r="B82" s="3903"/>
      <c r="C82" s="3089" t="s">
        <v>2669</v>
      </c>
      <c r="D82" s="3089" t="s">
        <v>2670</v>
      </c>
      <c r="E82" s="3115">
        <v>0.1</v>
      </c>
      <c r="F82" s="3115">
        <v>15</v>
      </c>
    </row>
    <row r="83" spans="1:6" ht="24">
      <c r="A83" s="3115">
        <v>11</v>
      </c>
      <c r="B83" s="3903"/>
      <c r="C83" s="3089" t="s">
        <v>2671</v>
      </c>
      <c r="D83" s="3089" t="s">
        <v>2672</v>
      </c>
      <c r="E83" s="3115">
        <v>0.1</v>
      </c>
      <c r="F83" s="3115">
        <v>15</v>
      </c>
    </row>
    <row r="84" spans="1:6" ht="24">
      <c r="A84" s="3115">
        <v>12</v>
      </c>
      <c r="B84" s="3903"/>
      <c r="C84" s="3089" t="s">
        <v>2673</v>
      </c>
      <c r="D84" s="3089" t="s">
        <v>2674</v>
      </c>
      <c r="E84" s="3115">
        <v>0.1</v>
      </c>
      <c r="F84" s="3115">
        <v>15</v>
      </c>
    </row>
    <row r="85" spans="1:6" ht="13.5">
      <c r="A85" s="3115">
        <v>13</v>
      </c>
      <c r="B85" s="3903"/>
      <c r="C85" s="3089" t="s">
        <v>2675</v>
      </c>
      <c r="D85" s="3089" t="s">
        <v>2676</v>
      </c>
      <c r="E85" s="3115">
        <v>0.1</v>
      </c>
      <c r="F85" s="3115">
        <v>15</v>
      </c>
    </row>
    <row r="86" spans="1:6" ht="13.5">
      <c r="A86" s="3115">
        <v>14</v>
      </c>
      <c r="B86" s="3903"/>
      <c r="C86" s="3089" t="s">
        <v>2677</v>
      </c>
      <c r="D86" s="3089" t="s">
        <v>2678</v>
      </c>
      <c r="E86" s="3115">
        <v>0.1</v>
      </c>
      <c r="F86" s="3115">
        <v>15</v>
      </c>
    </row>
    <row r="87" spans="1:6" ht="13.5">
      <c r="A87" s="3115">
        <v>15</v>
      </c>
      <c r="B87" s="3903"/>
      <c r="C87" s="3089" t="s">
        <v>2679</v>
      </c>
      <c r="D87" s="3089" t="s">
        <v>2680</v>
      </c>
      <c r="E87" s="3115">
        <v>0.1</v>
      </c>
      <c r="F87" s="3115">
        <v>15</v>
      </c>
    </row>
    <row r="88" spans="1:6" ht="24">
      <c r="A88" s="3115">
        <v>16</v>
      </c>
      <c r="B88" s="3903"/>
      <c r="C88" s="3089" t="s">
        <v>2681</v>
      </c>
      <c r="D88" s="3089" t="s">
        <v>2682</v>
      </c>
      <c r="E88" s="3115">
        <v>0.1</v>
      </c>
      <c r="F88" s="3115">
        <v>15</v>
      </c>
    </row>
    <row r="89" spans="1:6" ht="24">
      <c r="A89" s="3115">
        <v>17</v>
      </c>
      <c r="B89" s="3912"/>
      <c r="C89" s="3089" t="s">
        <v>2683</v>
      </c>
      <c r="D89" s="3089" t="s">
        <v>2684</v>
      </c>
      <c r="E89" s="3115">
        <v>0.1</v>
      </c>
      <c r="F89" s="3115">
        <v>15</v>
      </c>
    </row>
    <row r="90" spans="1:6" ht="13.5">
      <c r="A90" s="3115">
        <v>18</v>
      </c>
      <c r="B90" s="3908" t="s">
        <v>2685</v>
      </c>
      <c r="C90" s="3089" t="s">
        <v>2686</v>
      </c>
      <c r="D90" s="3089" t="s">
        <v>2687</v>
      </c>
      <c r="E90" s="3115">
        <v>0.2</v>
      </c>
      <c r="F90" s="3115">
        <v>25</v>
      </c>
    </row>
    <row r="91" spans="1:6" ht="24">
      <c r="A91" s="3115">
        <v>19</v>
      </c>
      <c r="B91" s="3903"/>
      <c r="C91" s="3089" t="s">
        <v>2688</v>
      </c>
      <c r="D91" s="3089" t="s">
        <v>2689</v>
      </c>
      <c r="E91" s="3115">
        <v>0.2</v>
      </c>
      <c r="F91" s="3115">
        <v>25</v>
      </c>
    </row>
    <row r="92" spans="1:6" ht="13.5">
      <c r="A92" s="3115">
        <v>20</v>
      </c>
      <c r="B92" s="3903"/>
      <c r="C92" s="3089" t="s">
        <v>2690</v>
      </c>
      <c r="D92" s="3089" t="s">
        <v>2691</v>
      </c>
      <c r="E92" s="3115">
        <v>0.15</v>
      </c>
      <c r="F92" s="3115">
        <v>20</v>
      </c>
    </row>
    <row r="93" spans="1:6" ht="13.5">
      <c r="A93" s="3115">
        <v>21</v>
      </c>
      <c r="B93" s="3903"/>
      <c r="C93" s="3089" t="s">
        <v>2692</v>
      </c>
      <c r="D93" s="3089" t="s">
        <v>2693</v>
      </c>
      <c r="E93" s="3115">
        <v>0.15</v>
      </c>
      <c r="F93" s="3115">
        <v>20</v>
      </c>
    </row>
    <row r="94" spans="1:6" ht="13.5">
      <c r="A94" s="3115">
        <v>22</v>
      </c>
      <c r="B94" s="3903"/>
      <c r="C94" s="3089" t="s">
        <v>2694</v>
      </c>
      <c r="D94" s="3089" t="s">
        <v>2695</v>
      </c>
      <c r="E94" s="3115">
        <v>0.15</v>
      </c>
      <c r="F94" s="3115">
        <v>20</v>
      </c>
    </row>
    <row r="95" spans="1:6" ht="36">
      <c r="A95" s="3115">
        <v>23</v>
      </c>
      <c r="B95" s="3903"/>
      <c r="C95" s="3089" t="s">
        <v>2696</v>
      </c>
      <c r="D95" s="3089" t="s">
        <v>2697</v>
      </c>
      <c r="E95" s="3115">
        <v>0.15</v>
      </c>
      <c r="F95" s="3115">
        <v>20</v>
      </c>
    </row>
    <row r="96" spans="1:6" ht="13.5">
      <c r="A96" s="3115">
        <v>24</v>
      </c>
      <c r="B96" s="3903"/>
      <c r="C96" s="3089" t="s">
        <v>2698</v>
      </c>
      <c r="D96" s="3089" t="s">
        <v>2699</v>
      </c>
      <c r="E96" s="3115">
        <v>0.1</v>
      </c>
      <c r="F96" s="3115">
        <v>15</v>
      </c>
    </row>
    <row r="97" spans="1:6" ht="13.5">
      <c r="A97" s="3115">
        <v>25</v>
      </c>
      <c r="B97" s="3903"/>
      <c r="C97" s="3089" t="s">
        <v>2700</v>
      </c>
      <c r="D97" s="3089" t="s">
        <v>2701</v>
      </c>
      <c r="E97" s="3115">
        <v>0.1</v>
      </c>
      <c r="F97" s="3115">
        <v>15</v>
      </c>
    </row>
    <row r="98" spans="1:6" ht="24">
      <c r="A98" s="3115">
        <v>26</v>
      </c>
      <c r="B98" s="3903"/>
      <c r="C98" s="3089" t="s">
        <v>2702</v>
      </c>
      <c r="D98" s="3089" t="s">
        <v>2703</v>
      </c>
      <c r="E98" s="3115">
        <v>0.1</v>
      </c>
      <c r="F98" s="3115">
        <v>15</v>
      </c>
    </row>
    <row r="99" spans="1:6" ht="24">
      <c r="A99" s="3115">
        <v>27</v>
      </c>
      <c r="B99" s="3903"/>
      <c r="C99" s="3089" t="s">
        <v>2704</v>
      </c>
      <c r="D99" s="3089" t="s">
        <v>2705</v>
      </c>
      <c r="E99" s="3115">
        <v>0.1</v>
      </c>
      <c r="F99" s="3115">
        <v>15</v>
      </c>
    </row>
    <row r="100" spans="1:6" ht="13.5">
      <c r="A100" s="3115">
        <v>28</v>
      </c>
      <c r="B100" s="3903"/>
      <c r="C100" s="3089" t="s">
        <v>2706</v>
      </c>
      <c r="D100" s="3089" t="s">
        <v>2707</v>
      </c>
      <c r="E100" s="3115">
        <v>0.1</v>
      </c>
      <c r="F100" s="3115">
        <v>15</v>
      </c>
    </row>
    <row r="101" spans="1:6" ht="13.5">
      <c r="A101" s="3115">
        <v>29</v>
      </c>
      <c r="B101" s="3903"/>
      <c r="C101" s="3089" t="s">
        <v>2708</v>
      </c>
      <c r="D101" s="3089" t="s">
        <v>2709</v>
      </c>
      <c r="E101" s="3115">
        <v>0.1</v>
      </c>
      <c r="F101" s="3115">
        <v>15</v>
      </c>
    </row>
    <row r="102" spans="1:6" ht="13.5">
      <c r="A102" s="3115">
        <v>30</v>
      </c>
      <c r="B102" s="3903"/>
      <c r="C102" s="3089" t="s">
        <v>2710</v>
      </c>
      <c r="D102" s="3089" t="s">
        <v>2711</v>
      </c>
      <c r="E102" s="3115">
        <v>0.1</v>
      </c>
      <c r="F102" s="3115">
        <v>15</v>
      </c>
    </row>
    <row r="103" spans="1:6" ht="24">
      <c r="A103" s="3115">
        <v>31</v>
      </c>
      <c r="B103" s="3903"/>
      <c r="C103" s="3089" t="s">
        <v>2712</v>
      </c>
      <c r="D103" s="3089" t="s">
        <v>2713</v>
      </c>
      <c r="E103" s="3115">
        <v>0.1</v>
      </c>
      <c r="F103" s="3115">
        <v>15</v>
      </c>
    </row>
    <row r="104" spans="1:6" ht="24">
      <c r="A104" s="3115">
        <v>32</v>
      </c>
      <c r="B104" s="3903"/>
      <c r="C104" s="3089" t="s">
        <v>2714</v>
      </c>
      <c r="D104" s="3089" t="s">
        <v>2715</v>
      </c>
      <c r="E104" s="3115">
        <v>0.1</v>
      </c>
      <c r="F104" s="3115">
        <v>15</v>
      </c>
    </row>
    <row r="105" spans="1:6" ht="24">
      <c r="A105" s="3115">
        <v>33</v>
      </c>
      <c r="B105" s="3903"/>
      <c r="C105" s="3089" t="s">
        <v>2716</v>
      </c>
      <c r="D105" s="3089" t="s">
        <v>2717</v>
      </c>
      <c r="E105" s="3115">
        <v>0.1</v>
      </c>
      <c r="F105" s="3115">
        <v>15</v>
      </c>
    </row>
    <row r="106" spans="1:6" ht="24">
      <c r="A106" s="3115">
        <v>34</v>
      </c>
      <c r="B106" s="3912"/>
      <c r="C106" s="3089" t="s">
        <v>2718</v>
      </c>
      <c r="D106" s="3089" t="s">
        <v>2719</v>
      </c>
      <c r="E106" s="3115">
        <v>0.1</v>
      </c>
      <c r="F106" s="3115">
        <v>15</v>
      </c>
    </row>
    <row r="107" spans="1:6" ht="24">
      <c r="A107" s="3115">
        <v>35</v>
      </c>
      <c r="B107" s="3908" t="s">
        <v>2720</v>
      </c>
      <c r="C107" s="3115" t="s">
        <v>2721</v>
      </c>
      <c r="D107" s="3089" t="s">
        <v>2722</v>
      </c>
      <c r="E107" s="3115">
        <v>0.15</v>
      </c>
      <c r="F107" s="3115">
        <v>20</v>
      </c>
    </row>
    <row r="108" spans="1:6" ht="13.5">
      <c r="A108" s="3115">
        <v>36</v>
      </c>
      <c r="B108" s="3903"/>
      <c r="C108" s="3115" t="s">
        <v>2723</v>
      </c>
      <c r="D108" s="3089" t="s">
        <v>2724</v>
      </c>
      <c r="E108" s="3115">
        <v>0.15</v>
      </c>
      <c r="F108" s="3115">
        <v>20</v>
      </c>
    </row>
    <row r="109" spans="1:6" ht="13.5">
      <c r="A109" s="3115">
        <v>37</v>
      </c>
      <c r="B109" s="3903"/>
      <c r="C109" s="3115" t="s">
        <v>2725</v>
      </c>
      <c r="D109" s="3089" t="s">
        <v>2726</v>
      </c>
      <c r="E109" s="3115">
        <v>0.15</v>
      </c>
      <c r="F109" s="3115">
        <v>20</v>
      </c>
    </row>
    <row r="110" spans="1:6" ht="13.5">
      <c r="A110" s="3115">
        <v>38</v>
      </c>
      <c r="B110" s="3903"/>
      <c r="C110" s="3115" t="s">
        <v>2727</v>
      </c>
      <c r="D110" s="3089" t="s">
        <v>2728</v>
      </c>
      <c r="E110" s="3115">
        <v>0.1</v>
      </c>
      <c r="F110" s="3115">
        <v>15</v>
      </c>
    </row>
    <row r="111" spans="1:6" ht="24">
      <c r="A111" s="3115">
        <v>39</v>
      </c>
      <c r="B111" s="3903"/>
      <c r="C111" s="3115" t="s">
        <v>2729</v>
      </c>
      <c r="D111" s="3089" t="s">
        <v>2730</v>
      </c>
      <c r="E111" s="3115">
        <v>0.1</v>
      </c>
      <c r="F111" s="3115">
        <v>15</v>
      </c>
    </row>
    <row r="112" spans="1:6" ht="24">
      <c r="A112" s="3115">
        <v>40</v>
      </c>
      <c r="B112" s="3912"/>
      <c r="C112" s="3115" t="s">
        <v>2731</v>
      </c>
      <c r="D112" s="3089" t="s">
        <v>2732</v>
      </c>
      <c r="E112" s="3115">
        <v>0.1</v>
      </c>
      <c r="F112" s="3115">
        <v>15</v>
      </c>
    </row>
    <row r="113" spans="1:6" ht="13.5">
      <c r="A113" s="3115">
        <v>41</v>
      </c>
      <c r="B113" s="3913" t="s">
        <v>2733</v>
      </c>
      <c r="C113" s="3115" t="s">
        <v>2734</v>
      </c>
      <c r="D113" s="3089" t="s">
        <v>2735</v>
      </c>
      <c r="E113" s="3115">
        <v>0.1</v>
      </c>
      <c r="F113" s="3115">
        <v>15</v>
      </c>
    </row>
    <row r="114" spans="1:6" ht="13.5">
      <c r="A114" s="3115">
        <v>42</v>
      </c>
      <c r="B114" s="3913"/>
      <c r="C114" s="3115" t="s">
        <v>2736</v>
      </c>
      <c r="D114" s="3089" t="s">
        <v>2737</v>
      </c>
      <c r="E114" s="3115">
        <v>0.1</v>
      </c>
      <c r="F114" s="3115">
        <v>15</v>
      </c>
    </row>
    <row r="115" spans="1:6" ht="24">
      <c r="A115" s="3115">
        <v>43</v>
      </c>
      <c r="B115" s="3913"/>
      <c r="C115" s="3115" t="s">
        <v>2738</v>
      </c>
      <c r="D115" s="3089" t="s">
        <v>2739</v>
      </c>
      <c r="E115" s="3115">
        <v>0.1</v>
      </c>
      <c r="F115" s="3115">
        <v>15</v>
      </c>
    </row>
    <row r="116" spans="1:6" ht="13.5">
      <c r="A116" s="3115">
        <v>44</v>
      </c>
      <c r="B116" s="3908" t="s">
        <v>2740</v>
      </c>
      <c r="C116" s="3115" t="s">
        <v>2741</v>
      </c>
      <c r="D116" s="3089" t="s">
        <v>2742</v>
      </c>
      <c r="E116" s="3115">
        <v>0.1</v>
      </c>
      <c r="F116" s="3115">
        <v>15</v>
      </c>
    </row>
    <row r="117" spans="1:6" ht="24">
      <c r="A117" s="3115">
        <v>45</v>
      </c>
      <c r="B117" s="3912"/>
      <c r="C117" s="3089" t="s">
        <v>2743</v>
      </c>
      <c r="D117" s="3089" t="s">
        <v>2744</v>
      </c>
      <c r="E117" s="3115">
        <v>0.1</v>
      </c>
      <c r="F117" s="3115">
        <v>15</v>
      </c>
    </row>
    <row r="118" spans="1:6" ht="24">
      <c r="A118" s="3115">
        <v>46</v>
      </c>
      <c r="B118" s="3908" t="s">
        <v>2745</v>
      </c>
      <c r="C118" s="3115" t="s">
        <v>2746</v>
      </c>
      <c r="D118" s="3089" t="s">
        <v>2747</v>
      </c>
      <c r="E118" s="3115">
        <v>0.1</v>
      </c>
      <c r="F118" s="3115">
        <v>15</v>
      </c>
    </row>
    <row r="119" spans="1:6" ht="24">
      <c r="A119" s="3115">
        <v>47</v>
      </c>
      <c r="B119" s="3912"/>
      <c r="C119" s="3115" t="s">
        <v>2748</v>
      </c>
      <c r="D119" s="3089" t="s">
        <v>2749</v>
      </c>
      <c r="E119" s="3115">
        <v>0.1</v>
      </c>
      <c r="F119" s="3115">
        <v>15</v>
      </c>
    </row>
    <row r="120" spans="1:6" ht="13.5">
      <c r="A120" s="3115">
        <v>48</v>
      </c>
      <c r="B120" s="3908" t="s">
        <v>2750</v>
      </c>
      <c r="C120" s="3115" t="s">
        <v>2751</v>
      </c>
      <c r="D120" s="3089" t="s">
        <v>2752</v>
      </c>
      <c r="E120" s="3115">
        <v>0.1</v>
      </c>
      <c r="F120" s="3115">
        <v>15</v>
      </c>
    </row>
    <row r="121" spans="1:6" ht="13.5">
      <c r="A121" s="3115">
        <v>49</v>
      </c>
      <c r="B121" s="3912"/>
      <c r="C121" s="3115" t="s">
        <v>2753</v>
      </c>
      <c r="D121" s="3089" t="s">
        <v>2754</v>
      </c>
      <c r="E121" s="3115">
        <v>0.1</v>
      </c>
      <c r="F121" s="3115">
        <v>15</v>
      </c>
    </row>
    <row r="122" spans="1:6" ht="24">
      <c r="A122" s="3115">
        <v>50</v>
      </c>
      <c r="B122" s="3913" t="s">
        <v>2755</v>
      </c>
      <c r="C122" s="3115" t="s">
        <v>2756</v>
      </c>
      <c r="D122" s="3089" t="s">
        <v>2757</v>
      </c>
      <c r="E122" s="3115">
        <v>0.1</v>
      </c>
      <c r="F122" s="3115">
        <v>15</v>
      </c>
    </row>
    <row r="123" spans="1:6" ht="24">
      <c r="A123" s="3115">
        <v>51</v>
      </c>
      <c r="B123" s="3913"/>
      <c r="C123" s="3115" t="s">
        <v>2758</v>
      </c>
      <c r="D123" s="3089" t="s">
        <v>2759</v>
      </c>
      <c r="E123" s="3115">
        <v>0.1</v>
      </c>
      <c r="F123" s="3115">
        <v>15</v>
      </c>
    </row>
    <row r="124" spans="1:6" ht="24">
      <c r="A124" s="3115">
        <v>52</v>
      </c>
      <c r="B124" s="3913" t="s">
        <v>2760</v>
      </c>
      <c r="C124" s="3115" t="s">
        <v>2761</v>
      </c>
      <c r="D124" s="3089" t="s">
        <v>2762</v>
      </c>
      <c r="E124" s="3115">
        <v>0.1</v>
      </c>
      <c r="F124" s="3115">
        <v>15</v>
      </c>
    </row>
    <row r="125" spans="1:6" ht="24">
      <c r="A125" s="3115">
        <v>53</v>
      </c>
      <c r="B125" s="3913"/>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913" t="s">
        <v>2768</v>
      </c>
      <c r="C127" s="3115" t="s">
        <v>2769</v>
      </c>
      <c r="D127" s="3089" t="s">
        <v>2770</v>
      </c>
      <c r="E127" s="3115">
        <v>0.1</v>
      </c>
      <c r="F127" s="3115">
        <v>15</v>
      </c>
    </row>
    <row r="128" spans="1:6" ht="13.5">
      <c r="A128" s="3115">
        <v>56</v>
      </c>
      <c r="B128" s="3913"/>
      <c r="C128" s="3115" t="s">
        <v>2771</v>
      </c>
      <c r="D128" s="3089" t="s">
        <v>2772</v>
      </c>
      <c r="E128" s="3115">
        <v>0.1</v>
      </c>
      <c r="F128" s="3115">
        <v>15</v>
      </c>
    </row>
    <row r="129" spans="1:6" ht="24">
      <c r="A129" s="3115">
        <v>57</v>
      </c>
      <c r="B129" s="3913"/>
      <c r="C129" s="3115" t="s">
        <v>2773</v>
      </c>
      <c r="D129" s="3089" t="s">
        <v>2774</v>
      </c>
      <c r="E129" s="3115">
        <v>0.1</v>
      </c>
      <c r="F129" s="3115">
        <v>15</v>
      </c>
    </row>
    <row r="130" spans="1:6" ht="24">
      <c r="A130" s="3115">
        <v>58</v>
      </c>
      <c r="B130" s="3913" t="s">
        <v>2775</v>
      </c>
      <c r="C130" s="3115" t="s">
        <v>2776</v>
      </c>
      <c r="D130" s="3089" t="s">
        <v>2777</v>
      </c>
      <c r="E130" s="3115">
        <v>0.1</v>
      </c>
      <c r="F130" s="3115">
        <v>15</v>
      </c>
    </row>
    <row r="131" spans="1:6" ht="13.5">
      <c r="A131" s="3115">
        <v>59</v>
      </c>
      <c r="B131" s="3913"/>
      <c r="C131" s="3115" t="s">
        <v>2778</v>
      </c>
      <c r="D131" s="3089" t="s">
        <v>2779</v>
      </c>
      <c r="E131" s="3115">
        <v>0.1</v>
      </c>
      <c r="F131" s="3115">
        <v>15</v>
      </c>
    </row>
    <row r="132" spans="1:6" ht="13.5">
      <c r="A132" s="3115">
        <v>60</v>
      </c>
      <c r="B132" s="3908" t="s">
        <v>2780</v>
      </c>
      <c r="C132" s="3115" t="s">
        <v>2781</v>
      </c>
      <c r="D132" s="3089" t="s">
        <v>2782</v>
      </c>
      <c r="E132" s="3115">
        <v>0.1</v>
      </c>
      <c r="F132" s="3115">
        <v>15</v>
      </c>
    </row>
    <row r="133" spans="1:6" ht="13.5">
      <c r="A133" s="3115">
        <v>61</v>
      </c>
      <c r="B133" s="3912"/>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913" t="s">
        <v>2788</v>
      </c>
      <c r="C135" s="3115" t="s">
        <v>2789</v>
      </c>
      <c r="D135" s="3089" t="s">
        <v>2790</v>
      </c>
      <c r="E135" s="3115">
        <v>0.1</v>
      </c>
      <c r="F135" s="3115">
        <v>15</v>
      </c>
    </row>
    <row r="136" spans="1:6" ht="13.5">
      <c r="A136" s="3115">
        <v>64</v>
      </c>
      <c r="B136" s="3913"/>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81"/>
      <c r="C2" s="3581"/>
      <c r="D2" s="3581"/>
      <c r="E2" s="3581"/>
    </row>
    <row r="3" spans="1:5" ht="18">
      <c r="A3" s="3582" t="str">
        <f>IF(项目基本情况!B9="房地产市场价值","估价结果一览表（市场价值不需“结果表-1”）","估价结果一览表")</f>
        <v>估价结果一览表</v>
      </c>
      <c r="B3" s="3582"/>
      <c r="C3" s="3582"/>
      <c r="D3" s="3582"/>
      <c r="E3" s="3582"/>
    </row>
    <row r="4" spans="1:5" ht="19.5" thickBot="1">
      <c r="A4" s="1492"/>
      <c r="B4" s="3580" t="s">
        <v>917</v>
      </c>
      <c r="C4" s="3580"/>
      <c r="D4" s="3580"/>
      <c r="E4" s="1492"/>
    </row>
    <row r="5" spans="1:5" ht="16.5" thickTop="1">
      <c r="A5" s="1490"/>
      <c r="B5" s="3578" t="s">
        <v>909</v>
      </c>
      <c r="C5" s="1493" t="s">
        <v>910</v>
      </c>
      <c r="D5" s="849">
        <f ca="1">结果表!H101</f>
        <v>3371</v>
      </c>
      <c r="E5" s="1490"/>
    </row>
    <row r="6" spans="1:5" ht="15.75">
      <c r="A6" s="1490"/>
      <c r="B6" s="3578"/>
      <c r="C6" s="1493" t="s">
        <v>911</v>
      </c>
      <c r="D6" s="849" t="str">
        <f ca="1">NUMBERSTRING(INT(D5*10000),2)&amp;"元整"</f>
        <v>叁仟叁佰柒拾壹万元整</v>
      </c>
      <c r="E6" s="1490"/>
    </row>
    <row r="7" spans="1:5" ht="15.75">
      <c r="A7" s="1490"/>
      <c r="B7" s="3583"/>
      <c r="C7" s="1494" t="s">
        <v>912</v>
      </c>
      <c r="D7" s="850">
        <f ca="1">结果表!H102</f>
        <v>7559</v>
      </c>
      <c r="E7" s="1490"/>
    </row>
    <row r="8" spans="1:5" ht="15.75">
      <c r="A8" s="1490"/>
      <c r="B8" s="3584" t="str">
        <f>结果表!E103</f>
        <v>2.估价师知悉的法定优先受偿款</v>
      </c>
      <c r="C8" s="1495" t="s">
        <v>913</v>
      </c>
      <c r="D8" s="850">
        <f>结果表!H103</f>
        <v>0</v>
      </c>
      <c r="E8" s="1490"/>
    </row>
    <row r="9" spans="1:5" ht="15.75">
      <c r="A9" s="1490"/>
      <c r="B9" s="3586"/>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77" t="str">
        <f>结果表!E107</f>
        <v>3.房地产抵押价值</v>
      </c>
      <c r="C13" s="1498" t="s">
        <v>910</v>
      </c>
      <c r="D13" s="852">
        <f ca="1">结果表!H107</f>
        <v>3371</v>
      </c>
      <c r="E13" s="1490"/>
    </row>
    <row r="14" spans="1:5" ht="15.75">
      <c r="A14" s="1490"/>
      <c r="B14" s="3578"/>
      <c r="C14" s="1493" t="s">
        <v>911</v>
      </c>
      <c r="D14" s="849" t="str">
        <f ca="1">NUMBERSTRING(INT(D13*10000),2)&amp;"元整"</f>
        <v>叁仟叁佰柒拾壹万元整</v>
      </c>
      <c r="E14" s="1490"/>
    </row>
    <row r="15" spans="1:5" ht="15">
      <c r="A15" s="1490"/>
      <c r="B15" s="3583"/>
      <c r="C15" s="1494" t="s">
        <v>921</v>
      </c>
      <c r="D15" s="858">
        <f ca="1">结果表!H108</f>
        <v>7559</v>
      </c>
      <c r="E15" s="1490"/>
    </row>
    <row r="16" spans="1:5" ht="15">
      <c r="A16" s="1490"/>
      <c r="B16" s="3584" t="str">
        <f>结果表!E109</f>
        <v>——</v>
      </c>
      <c r="C16" s="1498" t="s">
        <v>922</v>
      </c>
      <c r="D16" s="1499" t="str">
        <f>结果表!H109</f>
        <v>——</v>
      </c>
      <c r="E16" s="1490"/>
    </row>
    <row r="17" spans="1:5" ht="15.75">
      <c r="A17" s="1490"/>
      <c r="B17" s="3585"/>
      <c r="C17" s="1493" t="s">
        <v>923</v>
      </c>
      <c r="D17" s="849" t="e">
        <f>NUMBERSTRING(INT(D16*10000),2)&amp;"元整"</f>
        <v>#VALUE!</v>
      </c>
      <c r="E17" s="1490"/>
    </row>
    <row r="18" spans="1:5" ht="15">
      <c r="A18" s="1490"/>
      <c r="B18" s="3586"/>
      <c r="C18" s="1494" t="s">
        <v>912</v>
      </c>
      <c r="D18" s="858" t="str">
        <f>结果表!H110</f>
        <v>——</v>
      </c>
      <c r="E18" s="1490"/>
    </row>
    <row r="19" spans="1:5" ht="15.75">
      <c r="A19" s="1490"/>
      <c r="B19" s="3577" t="str">
        <f>结果表!E111</f>
        <v>——</v>
      </c>
      <c r="C19" s="1498" t="s">
        <v>910</v>
      </c>
      <c r="D19" s="850" t="str">
        <f>结果表!H111</f>
        <v>——</v>
      </c>
      <c r="E19" s="1490"/>
    </row>
    <row r="20" spans="1:5" ht="15.75">
      <c r="A20" s="1490"/>
      <c r="B20" s="3578"/>
      <c r="C20" s="1493" t="s">
        <v>923</v>
      </c>
      <c r="D20" s="849" t="e">
        <f>NUMBERSTRING(INT(D19*10000),2)&amp;"元整"</f>
        <v>#VALUE!</v>
      </c>
      <c r="E20" s="1490"/>
    </row>
    <row r="21" spans="1:5" ht="15.75" thickBot="1">
      <c r="A21" s="1490"/>
      <c r="B21" s="3579"/>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2797</v>
      </c>
      <c r="B1" s="3124"/>
      <c r="C1" s="3124"/>
      <c r="D1" s="3124"/>
      <c r="E1" s="3124"/>
      <c r="F1" s="3124"/>
      <c r="G1" s="3124"/>
      <c r="H1" s="3124"/>
      <c r="I1" s="3124"/>
      <c r="J1" s="3124"/>
      <c r="K1" s="3124"/>
      <c r="L1" s="3124"/>
      <c r="M1" s="3124"/>
      <c r="N1" s="748"/>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49">
        <f>SUMPRODUCT((A95:A184=ROUNDDOWN(基准地价修正!G3,1))*(B94:M94=基准地价修正!G2)*(B95:M184))</f>
        <v>0.95369999999999999</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49">
        <f>SUMPRODUCT((A371:A460=ROUNDDOWN(基准地价修正!G3,1))*(B370:M370=基准地价修正!G2)*(B371:M460))</f>
        <v>0.86819999999999997</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28637</v>
      </c>
      <c r="C2" s="2" t="s">
        <v>106</v>
      </c>
      <c r="D2" s="199"/>
      <c r="E2" s="199"/>
      <c r="F2" s="199"/>
      <c r="G2" s="199"/>
    </row>
    <row r="3" spans="1:7" s="200" customFormat="1" ht="18" customHeight="1" thickBot="1">
      <c r="A3" s="203" t="s">
        <v>58</v>
      </c>
      <c r="B3" s="204">
        <f ca="1">ROUND(B2*10000/'数据-汇总表'!E3,0)</f>
        <v>64209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100</v>
      </c>
      <c r="F9" s="221"/>
      <c r="G9" s="226"/>
    </row>
    <row r="10" spans="1:7" s="214" customFormat="1" ht="13.5" customHeight="1">
      <c r="A10" s="778" t="s">
        <v>356</v>
      </c>
      <c r="B10" s="224" t="s">
        <v>67</v>
      </c>
      <c r="C10" s="225">
        <f>ROUND(D10*E10/10000,0)</f>
        <v>67</v>
      </c>
      <c r="D10" s="844">
        <f>'数据-汇总表'!E6</f>
        <v>4460</v>
      </c>
      <c r="E10" s="225">
        <f>'数据-取费表'!B28</f>
        <v>150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89</v>
      </c>
      <c r="D19" s="848">
        <f>'数据-汇总表'!E3</f>
        <v>4460</v>
      </c>
      <c r="E19" s="211">
        <f>'数据-取费表'!B31</f>
        <v>200</v>
      </c>
      <c r="F19" s="231"/>
      <c r="G19" s="1" t="s">
        <v>436</v>
      </c>
    </row>
    <row r="20" spans="1:7" s="214" customFormat="1" ht="13.5" customHeight="1">
      <c r="A20" s="776" t="s">
        <v>419</v>
      </c>
      <c r="B20" s="210" t="s">
        <v>77</v>
      </c>
      <c r="C20" s="232">
        <f>ROUND((C5+C19)*F20,0)</f>
        <v>621</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652</v>
      </c>
      <c r="D22" s="235">
        <f ca="1">C26</f>
        <v>2.9999999999999997E-4</v>
      </c>
      <c r="E22" s="236" t="s">
        <v>99</v>
      </c>
      <c r="F22" s="237">
        <f ca="1">'数据-取费表'!B40</f>
        <v>3.1E-2</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639</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v>
      </c>
      <c r="D24" s="238"/>
      <c r="E24" s="238"/>
      <c r="F24" s="239"/>
      <c r="G24" s="240" t="s">
        <v>82</v>
      </c>
    </row>
    <row r="25" spans="1:7" s="214" customFormat="1" ht="24">
      <c r="A25" s="779" t="s">
        <v>348</v>
      </c>
      <c r="B25" s="215" t="s">
        <v>420</v>
      </c>
      <c r="C25" s="1104">
        <f ca="1">ROUND(IF('数据-取费表'!B22&lt;=1,C20*F22*'数据-取费表'!B23/2,C20*(POWER((1+F22),'数据-取费表'!B23/2)-1)),0)</f>
        <v>10</v>
      </c>
      <c r="D25" s="238"/>
      <c r="E25" s="241"/>
      <c r="F25" s="239"/>
      <c r="G25" s="242" t="s">
        <v>83</v>
      </c>
    </row>
    <row r="26" spans="1:7" s="214" customFormat="1">
      <c r="A26" s="779" t="s">
        <v>350</v>
      </c>
      <c r="B26" s="215" t="s">
        <v>422</v>
      </c>
      <c r="C26" s="238">
        <f ca="1">ROUND(IF('数据-取费表'!B22&lt;=1,F21*F22*'数据-取费表'!B23/2,F21*(POWER((1+F22),'数据-取费表'!B23/2)-1)),4)</f>
        <v>2.9999999999999997E-4</v>
      </c>
      <c r="D26" s="238"/>
      <c r="E26" s="241"/>
      <c r="F26" s="239"/>
      <c r="G26" s="243"/>
    </row>
    <row r="27" spans="1:7" s="214" customFormat="1" ht="24.75">
      <c r="A27" s="776" t="s">
        <v>342</v>
      </c>
      <c r="B27" s="244" t="s">
        <v>85</v>
      </c>
      <c r="C27" s="245">
        <f>C28</f>
        <v>3198</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3198</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27259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1767</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1561</v>
      </c>
      <c r="D34" s="217"/>
      <c r="E34" s="220"/>
      <c r="F34" s="257">
        <f>IF('数据-取费表'!B24=0,1,'数据-取费表'!N16)</f>
        <v>1</v>
      </c>
      <c r="G34" s="219" t="s">
        <v>89</v>
      </c>
    </row>
    <row r="35" spans="1:7" ht="13.5" customHeight="1">
      <c r="A35" s="779" t="s">
        <v>351</v>
      </c>
      <c r="B35" s="215" t="s">
        <v>33</v>
      </c>
      <c r="C35" s="220">
        <f>ROUND(C34*F35,0)</f>
        <v>78</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89</v>
      </c>
      <c r="D37" s="217">
        <f>'数据-汇总表'!E3</f>
        <v>4460</v>
      </c>
      <c r="E37" s="249">
        <f>'数据-取费表'!B35</f>
        <v>200</v>
      </c>
      <c r="F37" s="259"/>
      <c r="G37" s="261" t="s">
        <v>92</v>
      </c>
    </row>
    <row r="38" spans="1:7" ht="13.5" customHeight="1">
      <c r="A38" s="779" t="s">
        <v>354</v>
      </c>
      <c r="B38" s="215" t="s">
        <v>36</v>
      </c>
      <c r="C38" s="220">
        <f>ROUND(C34*F38,0)</f>
        <v>39</v>
      </c>
      <c r="D38" s="220"/>
      <c r="E38" s="220"/>
      <c r="F38" s="259">
        <f>'数据-取费表'!B36</f>
        <v>2.5000000000000001E-2</v>
      </c>
      <c r="G38" s="219" t="s">
        <v>90</v>
      </c>
    </row>
    <row r="39" spans="1:7" s="214" customFormat="1" ht="13.5" customHeight="1">
      <c r="A39" s="776" t="s">
        <v>338</v>
      </c>
      <c r="B39" s="210" t="s">
        <v>77</v>
      </c>
      <c r="C39" s="232">
        <f>ROUND(C33*F20,0)</f>
        <v>53</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28</v>
      </c>
      <c r="D41" s="235">
        <f ca="1">C44</f>
        <v>2.9999999999999997E-4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27</v>
      </c>
      <c r="D42" s="238"/>
      <c r="E42" s="238"/>
      <c r="F42" s="239"/>
      <c r="G42" s="3776" t="s">
        <v>94</v>
      </c>
    </row>
    <row r="43" spans="1:7" ht="13.5" customHeight="1">
      <c r="A43" s="779" t="s">
        <v>347</v>
      </c>
      <c r="B43" s="215" t="s">
        <v>426</v>
      </c>
      <c r="C43" s="238">
        <f ca="1">ROUND(IF('数据-取费表'!B22&lt;=1,C39*F22*'数据-取费表'!B21/2,C39*(POWER((1+F22),'数据-取费表'!B21/2)-1)),0)</f>
        <v>1</v>
      </c>
      <c r="D43" s="238"/>
      <c r="E43" s="238"/>
      <c r="F43" s="239"/>
      <c r="G43" s="3777"/>
    </row>
    <row r="44" spans="1:7" ht="13.5" customHeight="1">
      <c r="A44" s="779" t="s">
        <v>348</v>
      </c>
      <c r="B44" s="215" t="s">
        <v>428</v>
      </c>
      <c r="C44" s="238">
        <f ca="1">ROUND(IF('数据-取费表'!B22&lt;=1,C40*F22*'数据-取费表'!B21/2,C40*(POWER((1+F22),'数据-取费表'!B21/2)-1)),4)</f>
        <v>2.9999999999999997E-4</v>
      </c>
      <c r="D44" s="238"/>
      <c r="E44" s="238"/>
      <c r="F44" s="239"/>
      <c r="G44" s="3778"/>
    </row>
    <row r="45" spans="1:7" s="214" customFormat="1" ht="13.5" customHeight="1">
      <c r="A45" s="776" t="s">
        <v>341</v>
      </c>
      <c r="B45" s="244" t="s">
        <v>85</v>
      </c>
      <c r="C45" s="245">
        <f>C46</f>
        <v>273</v>
      </c>
      <c r="D45" s="235">
        <f>C47</f>
        <v>3.0000000000000001E-3</v>
      </c>
      <c r="E45" s="236" t="s">
        <v>102</v>
      </c>
      <c r="F45" s="246"/>
      <c r="G45" s="247" t="s">
        <v>434</v>
      </c>
    </row>
    <row r="46" spans="1:7" s="214" customFormat="1" ht="13.5" customHeight="1">
      <c r="A46" s="779" t="s">
        <v>349</v>
      </c>
      <c r="B46" s="248" t="s">
        <v>427</v>
      </c>
      <c r="C46" s="249">
        <f>ROUND((C33+C39)*F27,0)</f>
        <v>273</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2297</v>
      </c>
      <c r="D49" s="232"/>
      <c r="E49" s="232"/>
      <c r="F49" s="264"/>
      <c r="G49" s="234" t="s">
        <v>435</v>
      </c>
    </row>
    <row r="50" spans="1:7" s="258" customFormat="1" ht="24">
      <c r="A50" s="776" t="s">
        <v>344</v>
      </c>
      <c r="B50" s="210" t="s">
        <v>97</v>
      </c>
      <c r="C50" s="232"/>
      <c r="D50" s="232"/>
      <c r="E50" s="232"/>
      <c r="F50" s="264">
        <f>IF('数据-取费表'!B24=0,'数据-取费表'!N16,1)</f>
        <v>0.6</v>
      </c>
      <c r="G50" s="247" t="s">
        <v>98</v>
      </c>
    </row>
    <row r="51" spans="1:7" ht="16.5" customHeight="1">
      <c r="A51" s="776" t="s">
        <v>345</v>
      </c>
      <c r="B51" s="210" t="s">
        <v>105</v>
      </c>
      <c r="C51" s="232">
        <f ca="1">ROUND(C49*F50,0)</f>
        <v>1378</v>
      </c>
      <c r="D51" s="232"/>
      <c r="E51" s="232"/>
      <c r="F51" s="264"/>
      <c r="G51" s="234" t="s">
        <v>37</v>
      </c>
    </row>
    <row r="52" spans="1:7" s="208" customFormat="1" ht="16.5" thickBot="1">
      <c r="A52" s="265" t="s">
        <v>38</v>
      </c>
      <c r="B52" s="266"/>
      <c r="C52" s="267">
        <f ca="1">C31+C51</f>
        <v>28637</v>
      </c>
      <c r="D52" s="266"/>
      <c r="E52" s="266"/>
      <c r="F52" s="266"/>
      <c r="G52" s="268"/>
    </row>
    <row r="55" spans="1:7" ht="15">
      <c r="B55" s="270" t="s">
        <v>39</v>
      </c>
      <c r="C55" s="271"/>
    </row>
    <row r="56" spans="1:7">
      <c r="B56" s="273" t="s">
        <v>40</v>
      </c>
      <c r="C56" s="274">
        <f ca="1">ROUND(C51/C52,3)</f>
        <v>4.8000000000000001E-2</v>
      </c>
    </row>
    <row r="57" spans="1:7">
      <c r="B57" s="273" t="s">
        <v>41</v>
      </c>
      <c r="C57" s="275">
        <f ca="1">1-C56</f>
        <v>0.95199999999999996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916" t="s">
        <v>2838</v>
      </c>
      <c r="B1" s="3916"/>
      <c r="C1" s="3916"/>
      <c r="D1" s="3916"/>
      <c r="E1" s="3916"/>
      <c r="F1" s="3916"/>
      <c r="G1" s="3917"/>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2"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914"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2" thickBot="1">
      <c r="A4" s="3915"/>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2"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2"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2"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2"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918" t="s">
        <v>3180</v>
      </c>
      <c r="B1" s="3918"/>
    </row>
    <row r="2" spans="1:7" ht="14.25" thickBot="1">
      <c r="A2" s="3252"/>
      <c r="B2" s="3252"/>
    </row>
    <row r="3" spans="1:7" ht="14.25" thickBot="1">
      <c r="A3" s="3252"/>
      <c r="B3" s="3252"/>
      <c r="C3" s="3253" t="s">
        <v>2810</v>
      </c>
      <c r="D3" s="3253" t="s">
        <v>2866</v>
      </c>
      <c r="E3" s="3253" t="s">
        <v>2812</v>
      </c>
      <c r="F3" s="3253" t="s">
        <v>2867</v>
      </c>
      <c r="G3" s="3253" t="s">
        <v>2630</v>
      </c>
    </row>
    <row r="4" spans="1:7" ht="14.2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4.2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4.2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4.2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4.2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4.2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4.2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4.2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4.2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4.2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4.2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919" t="s">
        <v>3231</v>
      </c>
      <c r="B1" s="3919"/>
      <c r="C1" s="3919"/>
      <c r="D1" s="3919"/>
      <c r="E1" s="3919"/>
      <c r="F1" s="3920"/>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18">
        <f>基准地价修正!G23</f>
        <v>45706</v>
      </c>
      <c r="B1" s="3207" t="s">
        <v>3377</v>
      </c>
      <c r="C1" s="3208"/>
      <c r="D1" s="3208"/>
      <c r="E1" s="3208"/>
      <c r="F1" s="3208"/>
      <c r="G1" s="3208"/>
      <c r="H1" s="3208"/>
      <c r="I1" s="3208"/>
      <c r="J1" s="3162"/>
      <c r="K1" s="3208" t="s">
        <v>454</v>
      </c>
      <c r="L1" s="3208"/>
      <c r="M1" s="3208"/>
      <c r="N1" s="3208"/>
      <c r="O1" s="3208"/>
      <c r="P1" s="3208"/>
      <c r="Q1" s="3162"/>
      <c r="R1" s="3921" t="s">
        <v>456</v>
      </c>
      <c r="S1" s="3922"/>
      <c r="T1" s="3922"/>
      <c r="U1" s="3922"/>
      <c r="V1" s="3922"/>
      <c r="W1" s="3922"/>
      <c r="X1" s="3162"/>
      <c r="Y1" s="3921" t="s">
        <v>457</v>
      </c>
      <c r="Z1" s="3922"/>
      <c r="AA1" s="3922"/>
      <c r="AB1" s="3922"/>
      <c r="AC1" s="3922"/>
      <c r="AD1" s="3922"/>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ROUND(AVERAGEIF(D4:D21,"&lt;&gt;0"),2)</f>
        <v>0.38</v>
      </c>
      <c r="E3" s="3148">
        <f t="shared" ref="E3:H3" si="0">ROUND(AVERAGEIF(E4:E21,"&lt;&gt;0"),2)</f>
        <v>0.26</v>
      </c>
      <c r="F3" s="3148">
        <f t="shared" si="0"/>
        <v>-0.01</v>
      </c>
      <c r="G3" s="3148">
        <f t="shared" si="0"/>
        <v>0.41</v>
      </c>
      <c r="H3" s="3148">
        <f t="shared" si="0"/>
        <v>0.52</v>
      </c>
      <c r="I3" s="3148">
        <f>F3</f>
        <v>-0.01</v>
      </c>
      <c r="J3" s="3149"/>
      <c r="K3" s="3150">
        <f>ROUND(AVERAGEIF(K4:K21,"&lt;&gt;0"),4)</f>
        <v>3.8E-3</v>
      </c>
      <c r="L3" s="3151">
        <f t="shared" ref="L3:O3" si="1">ROUND(AVERAGEIF(L4:L21,"&lt;&gt;0"),4)</f>
        <v>2.5999999999999999E-3</v>
      </c>
      <c r="M3" s="3151">
        <f t="shared" si="1"/>
        <v>-1E-4</v>
      </c>
      <c r="N3" s="3151">
        <f t="shared" si="1"/>
        <v>4.1000000000000003E-3</v>
      </c>
      <c r="O3" s="3151">
        <f t="shared" si="1"/>
        <v>5.1999999999999998E-3</v>
      </c>
      <c r="P3" s="3151">
        <f>M3</f>
        <v>-1E-4</v>
      </c>
      <c r="Q3" s="3149"/>
      <c r="R3" s="3152">
        <f>ROUND(SUMPRODUCT(PRODUCT(1+K4:K21)),4)</f>
        <v>1.0613999999999999</v>
      </c>
      <c r="S3" s="3153">
        <f t="shared" ref="S3:V3" si="2">ROUND(SUMPRODUCT(PRODUCT(1+L4:L21)),4)</f>
        <v>1.0415000000000001</v>
      </c>
      <c r="T3" s="3153">
        <f t="shared" si="2"/>
        <v>0.99780000000000002</v>
      </c>
      <c r="U3" s="3153">
        <f t="shared" si="2"/>
        <v>1.0678000000000001</v>
      </c>
      <c r="V3" s="3153">
        <f t="shared" si="2"/>
        <v>1.0866</v>
      </c>
      <c r="W3" s="3152">
        <f>T3</f>
        <v>0.99780000000000002</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4" t="s">
        <v>3373</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1.0511999999999999</v>
      </c>
      <c r="S5" s="3180">
        <f>ROUND(IF(项目基本情况!$B$8="出让",SUMPRODUCT(PRODUCT(1+L5:$L$21)),SUMPRODUCT(PRODUCT(1+L5:$L$20))),4)</f>
        <v>1.0398000000000001</v>
      </c>
      <c r="T5" s="3180">
        <f>ROUND(IF(项目基本情况!$B$8="出让",SUMPRODUCT(PRODUCT(1+M5:$M$21)),SUMPRODUCT(PRODUCT(1+M5:$M$20))),4)</f>
        <v>1.0003</v>
      </c>
      <c r="U5" s="3180">
        <f>ROUND(IF(项目基本情况!$B$8="出让",SUMPRODUCT(PRODUCT(1+N5:$N$21)),SUMPRODUCT(PRODUCT(1+N5:$N$20))),4)</f>
        <v>1.0561</v>
      </c>
      <c r="V5" s="3180">
        <f>ROUND(IF(项目基本情况!$B$8="出让",SUMPRODUCT(PRODUCT(1+O5:$O$21)),SUMPRODUCT(PRODUCT(1+O5:$O$20))),4)</f>
        <v>1.0827</v>
      </c>
      <c r="W5" s="3180">
        <f>T5</f>
        <v>1.0003</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3382</v>
      </c>
      <c r="B6" s="3184">
        <v>2024</v>
      </c>
      <c r="C6" s="3185">
        <v>4</v>
      </c>
      <c r="D6" s="3186">
        <v>-1.02</v>
      </c>
      <c r="E6" s="3186">
        <v>-0.48</v>
      </c>
      <c r="F6" s="3186">
        <v>-0.75</v>
      </c>
      <c r="G6" s="3186">
        <v>-1.05</v>
      </c>
      <c r="H6" s="3187">
        <v>0.08</v>
      </c>
      <c r="I6" s="3188">
        <f t="shared" ref="I6" si="15">F6</f>
        <v>-0.75</v>
      </c>
      <c r="J6" s="3189"/>
      <c r="K6" s="3190">
        <f t="shared" ref="K6" si="16">D6/100</f>
        <v>-1.0200000000000001E-2</v>
      </c>
      <c r="L6" s="3191">
        <f t="shared" ref="L6" si="17">E6/100</f>
        <v>-4.7999999999999996E-3</v>
      </c>
      <c r="M6" s="3191">
        <f t="shared" ref="M6" si="18">F6/100</f>
        <v>-7.4999999999999997E-3</v>
      </c>
      <c r="N6" s="3191">
        <f t="shared" ref="N6" si="19">G6/100</f>
        <v>-1.0500000000000001E-2</v>
      </c>
      <c r="O6" s="3191">
        <f t="shared" ref="O6" si="20">H6/100</f>
        <v>8.0000000000000004E-4</v>
      </c>
      <c r="P6" s="3191">
        <f>M6</f>
        <v>-7.4999999999999997E-3</v>
      </c>
      <c r="Q6" s="3189"/>
      <c r="R6" s="3189">
        <f>ROUND(IF(项目基本情况!$B$8="出让",SUMPRODUCT(PRODUCT(1+K6:$K$21)),SUMPRODUCT(PRODUCT(1+K6:$K$20))),4)</f>
        <v>1.0511999999999999</v>
      </c>
      <c r="S6" s="3189">
        <f>ROUND(IF(项目基本情况!$B$8="出让",SUMPRODUCT(PRODUCT(1+L6:$L$21)),SUMPRODUCT(PRODUCT(1+L6:$L$20))),4)</f>
        <v>1.0398000000000001</v>
      </c>
      <c r="T6" s="3189">
        <f>ROUND(IF(项目基本情况!$B$8="出让",SUMPRODUCT(PRODUCT(1+M6:$M$21)),SUMPRODUCT(PRODUCT(1+M6:$M$20))),4)</f>
        <v>1.0003</v>
      </c>
      <c r="U6" s="3189">
        <f>ROUND(IF(项目基本情况!$B$8="出让",SUMPRODUCT(PRODUCT(1+N6:$N$21)),SUMPRODUCT(PRODUCT(1+N6:$N$20))),4)</f>
        <v>1.0561</v>
      </c>
      <c r="V6" s="3189">
        <f>ROUND(IF(项目基本情况!$B$8="出让",SUMPRODUCT(PRODUCT(1+O6:$O$21)),SUMPRODUCT(PRODUCT(1+O6:$O$20))),4)</f>
        <v>1.0827</v>
      </c>
      <c r="W6" s="3189">
        <f>T6</f>
        <v>1.0003</v>
      </c>
      <c r="X6" s="3189"/>
      <c r="Y6" s="3191">
        <f>IF(D6=0,0,ROUND(AVERAGE(D6:D19)/100,4))</f>
        <v>2.8999999999999998E-3</v>
      </c>
      <c r="Z6" s="3191">
        <f t="shared" ref="Z6" si="21">IF(E6=0,0,ROUND(AVERAGE(E6:E19)/100,4))</f>
        <v>2.3E-3</v>
      </c>
      <c r="AA6" s="3191">
        <f t="shared" ref="AA6" si="22">IF(F6=0,0,ROUND(AVERAGE(F6:F19)/100,4))</f>
        <v>-2.9999999999999997E-4</v>
      </c>
      <c r="AB6" s="3191">
        <f t="shared" ref="AB6" si="23">IF(G6=0,0,ROUND(AVERAGE(G6:G19)/100,4))</f>
        <v>3.3E-3</v>
      </c>
      <c r="AC6" s="3191">
        <f t="shared" ref="AC6" si="24">IF(H6=0,0,ROUND(AVERAGE(H6:H19)/100,4))</f>
        <v>5.0000000000000001E-3</v>
      </c>
      <c r="AD6" s="3191">
        <f t="shared" ref="AD6" si="25">AA6</f>
        <v>-2.9999999999999997E-4</v>
      </c>
    </row>
    <row r="7" spans="1:30" s="3182" customFormat="1" ht="12.75">
      <c r="A7" s="2204" t="s">
        <v>3381</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2.75">
      <c r="A8" s="3173" t="s">
        <v>3374</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2.75">
      <c r="A9" s="3173" t="s">
        <v>3372</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2.75">
      <c r="A10" s="3173" t="s">
        <v>3368</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2.75">
      <c r="A11" s="3173" t="s">
        <v>3367</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2.75">
      <c r="A12" s="3173" t="s">
        <v>3365</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2.75">
      <c r="A13" s="3173" t="s">
        <v>3364</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2.75">
      <c r="A14" s="3173" t="s">
        <v>3363</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2.75">
      <c r="A15" s="3173" t="s">
        <v>3361</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2.75">
      <c r="A16" s="3173" t="s">
        <v>3352</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2.75">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2.75">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2.75">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2.75">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4.25" thickTop="1"/>
    <row r="23" spans="1:30" s="3006" customFormat="1">
      <c r="A23" s="3445" t="s">
        <v>3380</v>
      </c>
    </row>
    <row r="24" spans="1:30" s="3006" customFormat="1">
      <c r="I24" s="3205" t="s">
        <v>2824</v>
      </c>
    </row>
    <row r="25" spans="1:30" s="3006" customFormat="1"/>
    <row r="26" spans="1:30" s="3206" customFormat="1" ht="12.75">
      <c r="B26" s="3207" t="s">
        <v>3378</v>
      </c>
      <c r="C26" s="3208"/>
      <c r="D26" s="3208"/>
      <c r="E26" s="3208"/>
      <c r="F26" s="3208"/>
      <c r="G26" s="3208"/>
      <c r="H26" s="3208"/>
      <c r="I26" s="3208"/>
      <c r="J26" s="3162"/>
      <c r="K26" s="3208" t="s">
        <v>2825</v>
      </c>
      <c r="L26" s="3208"/>
      <c r="M26" s="3208"/>
      <c r="N26" s="3208"/>
      <c r="O26" s="3208"/>
      <c r="P26" s="3208"/>
      <c r="Q26" s="3162"/>
      <c r="R26" s="3921" t="s">
        <v>2826</v>
      </c>
      <c r="S26" s="3922"/>
      <c r="T26" s="3922"/>
      <c r="U26" s="3922"/>
      <c r="V26" s="3922"/>
      <c r="W26" s="3922"/>
      <c r="X26" s="3162"/>
      <c r="Y26" s="3921" t="s">
        <v>2827</v>
      </c>
      <c r="Z26" s="3922"/>
      <c r="AA26" s="3922"/>
      <c r="AB26" s="3922"/>
      <c r="AC26" s="3922"/>
      <c r="AD26" s="3922"/>
    </row>
    <row r="27" spans="1:30" s="3140" customFormat="1" ht="14.2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2.75">
      <c r="A28" s="3146" t="s">
        <v>2833</v>
      </c>
      <c r="B28" s="3147"/>
      <c r="C28" s="3148"/>
      <c r="D28" s="3148"/>
      <c r="E28" s="3148">
        <f t="shared" ref="E28:G28" si="65">ROUND(AVERAGEIF(E29:E46,"&lt;&gt;0"),2)</f>
        <v>0.21</v>
      </c>
      <c r="F28" s="3148">
        <f t="shared" si="65"/>
        <v>0.14000000000000001</v>
      </c>
      <c r="G28" s="3148">
        <f t="shared" si="65"/>
        <v>0.3</v>
      </c>
      <c r="H28" s="3148"/>
      <c r="I28" s="3148">
        <f>F28</f>
        <v>0.14000000000000001</v>
      </c>
      <c r="J28" s="3149"/>
      <c r="K28" s="3150"/>
      <c r="L28" s="3151">
        <f t="shared" ref="L28:N28" si="66">ROUND(AVERAGEIF(L29:L46,"&lt;&gt;0"),4)</f>
        <v>2.0999999999999999E-3</v>
      </c>
      <c r="M28" s="3151">
        <f t="shared" si="66"/>
        <v>1.4E-3</v>
      </c>
      <c r="N28" s="3151">
        <f t="shared" si="66"/>
        <v>3.0000000000000001E-3</v>
      </c>
      <c r="O28" s="3151"/>
      <c r="P28" s="3151">
        <f>M28</f>
        <v>1.4E-3</v>
      </c>
      <c r="Q28" s="3149"/>
      <c r="R28" s="3152"/>
      <c r="S28" s="3153">
        <f>ROUND(SUMPRODUCT(PRODUCT(1+L29:L46)),4)</f>
        <v>1.0337000000000001</v>
      </c>
      <c r="T28" s="3153">
        <f t="shared" ref="T28:U28" si="67">ROUND(SUMPRODUCT(PRODUCT(1+M29:M46)),4)</f>
        <v>1.022</v>
      </c>
      <c r="U28" s="3153">
        <f t="shared" si="67"/>
        <v>1.0489999999999999</v>
      </c>
      <c r="V28" s="3153"/>
      <c r="W28" s="3152">
        <f>T28</f>
        <v>1.022</v>
      </c>
      <c r="X28" s="3149"/>
      <c r="Y28" s="3154"/>
      <c r="Z28" s="3155">
        <f t="shared" ref="Z28:AB28" si="68">ROUND(AVERAGEIF(Z29:Z46,"&lt;&gt;0"),4)</f>
        <v>3.8E-3</v>
      </c>
      <c r="AA28" s="3156">
        <f t="shared" si="68"/>
        <v>3.0000000000000001E-3</v>
      </c>
      <c r="AB28" s="3154">
        <f t="shared" si="68"/>
        <v>7.4999999999999997E-3</v>
      </c>
      <c r="AC28" s="3157"/>
      <c r="AD28" s="3154">
        <f>AA28</f>
        <v>3.0000000000000001E-3</v>
      </c>
    </row>
    <row r="29" spans="1:30" s="3159" customFormat="1" ht="12.75">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2.75">
      <c r="A30" s="2204" t="s">
        <v>3373</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1.0301</v>
      </c>
      <c r="T30" s="3180">
        <f>ROUND(IF(项目基本情况!$B$8="出让",SUMPRODUCT(PRODUCT(1+M30:M$46)),SUMPRODUCT(PRODUCT(1+M30:M$45))),4)</f>
        <v>1.0170999999999999</v>
      </c>
      <c r="U30" s="3180">
        <f>ROUND(IF(项目基本情况!$B$8="出让",SUMPRODUCT(PRODUCT(1+N30:N$46)),SUMPRODUCT(PRODUCT(1+N30:N$45))),4)</f>
        <v>1.0387999999999999</v>
      </c>
      <c r="V30" s="3180"/>
      <c r="W30" s="3180">
        <f>T30</f>
        <v>1.0170999999999999</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2.75">
      <c r="A31" s="3183" t="s">
        <v>3375</v>
      </c>
      <c r="B31" s="3184">
        <v>2024</v>
      </c>
      <c r="C31" s="3185">
        <v>4</v>
      </c>
      <c r="D31" s="3186"/>
      <c r="E31" s="3186">
        <v>-0.61</v>
      </c>
      <c r="F31" s="3186">
        <v>-0.71</v>
      </c>
      <c r="G31" s="3186">
        <v>-0.88</v>
      </c>
      <c r="H31" s="3187"/>
      <c r="I31" s="3188">
        <f t="shared" ref="I31" si="76">F31</f>
        <v>-0.71</v>
      </c>
      <c r="J31" s="3189"/>
      <c r="K31" s="3190"/>
      <c r="L31" s="3191">
        <f t="shared" ref="L31" si="77">E31/100</f>
        <v>-6.0999999999999995E-3</v>
      </c>
      <c r="M31" s="3191">
        <f t="shared" ref="M31" si="78">F31/100</f>
        <v>-7.0999999999999995E-3</v>
      </c>
      <c r="N31" s="3191">
        <f t="shared" ref="N31" si="79">G31/100</f>
        <v>-8.8000000000000005E-3</v>
      </c>
      <c r="O31" s="3191"/>
      <c r="P31" s="3191">
        <f>M31</f>
        <v>-7.0999999999999995E-3</v>
      </c>
      <c r="Q31" s="3189"/>
      <c r="R31" s="3189"/>
      <c r="S31" s="3189">
        <f>ROUND(IF(项目基本情况!$B$8="出让",SUMPRODUCT(PRODUCT(1+L31:L$46)),SUMPRODUCT(PRODUCT(1+L31:L$45))),4)</f>
        <v>1.0301</v>
      </c>
      <c r="T31" s="3189">
        <f>ROUND(IF(项目基本情况!$B$8="出让",SUMPRODUCT(PRODUCT(1+M31:M$46)),SUMPRODUCT(PRODUCT(1+M31:M$45))),4)</f>
        <v>1.0170999999999999</v>
      </c>
      <c r="U31" s="3189">
        <f>ROUND(IF(项目基本情况!$B$8="出让",SUMPRODUCT(PRODUCT(1+N31:N$46)),SUMPRODUCT(PRODUCT(1+N31:N$45))),4)</f>
        <v>1.0387999999999999</v>
      </c>
      <c r="V31" s="3189"/>
      <c r="W31" s="3189">
        <f>T31</f>
        <v>1.0170999999999999</v>
      </c>
      <c r="X31" s="3189"/>
      <c r="Y31" s="3191"/>
      <c r="Z31" s="3212">
        <f t="shared" ref="Z31" si="80">IF(E31=0,0,ROUND(AVERAGE(E31:E44)/100,4))</f>
        <v>1.6999999999999999E-3</v>
      </c>
      <c r="AA31" s="3213">
        <f t="shared" ref="AA31" si="81">IF(F31=0,0,ROUND(AVERAGE(F31:F44)/100,4))</f>
        <v>8.9999999999999998E-4</v>
      </c>
      <c r="AB31" s="3191">
        <f t="shared" ref="AB31" si="82">IF(G31=0,0,ROUND(AVERAGE(G31:G44)/100,4))</f>
        <v>2E-3</v>
      </c>
      <c r="AC31" s="3214"/>
      <c r="AD31" s="3191">
        <f>IF(I31=0,0,ROUND(AVERAGE(I31:I44)/100,4))</f>
        <v>8.9999999999999998E-4</v>
      </c>
    </row>
    <row r="32" spans="1:30" s="3182" customFormat="1" ht="12.75">
      <c r="A32" s="2204" t="s">
        <v>3370</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2.75">
      <c r="A33" s="3173" t="s">
        <v>3376</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2.75">
      <c r="A34" s="3173" t="s">
        <v>3371</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2.75">
      <c r="A35" s="3173" t="s">
        <v>3369</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2.75">
      <c r="A36" s="3173" t="s">
        <v>3367</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2.75">
      <c r="A37" s="3173" t="s">
        <v>3366</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2.75">
      <c r="A38" s="3173" t="s">
        <v>3364</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2.75">
      <c r="A39" s="3173" t="s">
        <v>3363</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2.75">
      <c r="A40" s="3173" t="s">
        <v>3362</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2.75">
      <c r="A41" s="3173" t="s">
        <v>3352</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2.75">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2.75">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2.75">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2.75">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4.25" thickTop="1"/>
    <row r="48" spans="1:30">
      <c r="A48" s="3445"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928" t="s">
        <v>452</v>
      </c>
      <c r="C1" s="3928"/>
      <c r="D1" s="3928"/>
      <c r="E1" s="3928"/>
      <c r="F1" s="3928"/>
      <c r="G1" s="3924" t="s">
        <v>453</v>
      </c>
      <c r="H1" s="3924"/>
      <c r="I1" s="3924"/>
      <c r="J1" s="3924"/>
      <c r="K1" s="3924"/>
      <c r="L1" s="3924"/>
      <c r="N1" s="3924" t="s">
        <v>454</v>
      </c>
      <c r="O1" s="3924"/>
      <c r="P1" s="3924"/>
      <c r="Q1" s="3924"/>
      <c r="S1" s="3924" t="s">
        <v>455</v>
      </c>
      <c r="T1" s="3924"/>
      <c r="U1" s="3924"/>
      <c r="V1" s="3924"/>
      <c r="X1" s="3923" t="s">
        <v>456</v>
      </c>
      <c r="Y1" s="3924"/>
      <c r="Z1" s="3924"/>
      <c r="AA1" s="3924"/>
      <c r="AB1" s="3924"/>
      <c r="AD1" s="3923" t="s">
        <v>457</v>
      </c>
      <c r="AE1" s="3924"/>
      <c r="AF1" s="3924"/>
      <c r="AG1" s="3924"/>
      <c r="AH1" s="392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2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2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2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3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92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2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92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3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2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2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2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2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92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2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2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2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92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2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2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2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93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3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3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3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92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2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2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92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92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2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2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2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92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2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2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2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92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2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2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2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92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2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2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2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92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2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2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2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92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2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2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2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92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2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2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2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92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2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2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2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92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2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2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92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92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2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2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92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45706</v>
      </c>
      <c r="D1" s="1301" t="s">
        <v>603</v>
      </c>
      <c r="E1" s="1296">
        <f>'数据-取费表'!B22</f>
        <v>1</v>
      </c>
      <c r="F1" s="1301" t="s">
        <v>604</v>
      </c>
      <c r="G1" s="1297">
        <f ca="1">INDIRECT("d"&amp;$K$1)/100</f>
        <v>3.1E-2</v>
      </c>
      <c r="H1" s="1301" t="s">
        <v>634</v>
      </c>
      <c r="I1" s="1297">
        <f ca="1">F4/100</f>
        <v>1.4999999999999999E-2</v>
      </c>
      <c r="J1" s="1302">
        <f>IF(C1&gt;C13,0,MATCH(C1,C$13:C$114,-1))+IF(SUMIF(C13:C114,C1,D13:D114)=0,13,12)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45586</v>
      </c>
      <c r="D13" s="2819">
        <v>3.1</v>
      </c>
      <c r="E13" s="2819">
        <f>D13</f>
        <v>3.1</v>
      </c>
      <c r="F13" s="2819">
        <f>D13</f>
        <v>3.1</v>
      </c>
      <c r="G13" s="2819">
        <f>D13</f>
        <v>3.1</v>
      </c>
      <c r="H13" s="2819">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45495</v>
      </c>
      <c r="D14" s="2814">
        <v>3.35</v>
      </c>
      <c r="E14" s="2814">
        <f>D14</f>
        <v>3.35</v>
      </c>
      <c r="F14" s="2814">
        <f>D14</f>
        <v>3.35</v>
      </c>
      <c r="G14" s="2814">
        <f>D14</f>
        <v>3.35</v>
      </c>
      <c r="H14" s="2814">
        <v>3.85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45342</v>
      </c>
      <c r="D15" s="2814">
        <v>3.45</v>
      </c>
      <c r="E15" s="2814">
        <f>D15</f>
        <v>3.45</v>
      </c>
      <c r="F15" s="2814">
        <f>D15</f>
        <v>3.45</v>
      </c>
      <c r="G15" s="2814">
        <f>D15</f>
        <v>3.45</v>
      </c>
      <c r="H15" s="2814">
        <v>3.95</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5">
        <v>45159</v>
      </c>
      <c r="D16" s="2814">
        <v>3.45</v>
      </c>
      <c r="E16" s="2814">
        <f>D16</f>
        <v>3.45</v>
      </c>
      <c r="F16" s="2814">
        <f>D16</f>
        <v>3.45</v>
      </c>
      <c r="G16" s="2814">
        <f>D16</f>
        <v>3.45</v>
      </c>
      <c r="H16" s="2814">
        <v>4.2</v>
      </c>
      <c r="I16" s="2819"/>
      <c r="J16" s="2819"/>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5">
        <v>45097</v>
      </c>
      <c r="D17" s="2814">
        <v>3.55</v>
      </c>
      <c r="E17" s="2814">
        <f>D17</f>
        <v>3.55</v>
      </c>
      <c r="F17" s="2814">
        <f>D17</f>
        <v>3.55</v>
      </c>
      <c r="G17" s="2814">
        <f>D17</f>
        <v>3.55</v>
      </c>
      <c r="H17" s="2814">
        <v>4.2</v>
      </c>
      <c r="I17" s="2819"/>
      <c r="J17" s="2819"/>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3"/>
      <c r="C19" s="2815">
        <v>44701</v>
      </c>
      <c r="D19" s="2814">
        <v>3.7</v>
      </c>
      <c r="E19" s="2814">
        <f>D19</f>
        <v>3.7</v>
      </c>
      <c r="F19" s="2814">
        <f>D19</f>
        <v>3.7</v>
      </c>
      <c r="G19" s="2814">
        <f>D19</f>
        <v>3.7</v>
      </c>
      <c r="H19" s="2814">
        <v>4.45</v>
      </c>
      <c r="I19" s="2819"/>
      <c r="J19" s="281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5">
        <v>44581</v>
      </c>
      <c r="D20" s="2814">
        <v>3.7</v>
      </c>
      <c r="E20" s="2814">
        <f>D20</f>
        <v>3.7</v>
      </c>
      <c r="F20" s="2814">
        <f>D20</f>
        <v>3.7</v>
      </c>
      <c r="G20" s="2814">
        <f>D20</f>
        <v>3.7</v>
      </c>
      <c r="H20" s="2814">
        <v>4.5999999999999996</v>
      </c>
      <c r="I20" s="2819"/>
      <c r="J20" s="281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5">
        <v>44550</v>
      </c>
      <c r="D21" s="2814">
        <v>3.8</v>
      </c>
      <c r="E21" s="2814">
        <f>D21</f>
        <v>3.8</v>
      </c>
      <c r="F21" s="2814">
        <f>D21</f>
        <v>3.8</v>
      </c>
      <c r="G21" s="2814">
        <f>D21</f>
        <v>3.8</v>
      </c>
      <c r="H21" s="2814">
        <v>4.6500000000000004</v>
      </c>
      <c r="I21" s="2814"/>
      <c r="J21" s="281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4"/>
      <c r="C22" s="2815">
        <v>43941</v>
      </c>
      <c r="D22" s="2814">
        <v>3.85</v>
      </c>
      <c r="E22" s="2814">
        <v>3.85</v>
      </c>
      <c r="F22" s="2814">
        <v>3.85</v>
      </c>
      <c r="G22" s="2814">
        <v>3.85</v>
      </c>
      <c r="H22" s="2814">
        <v>4.6500000000000004</v>
      </c>
      <c r="I22" s="2814"/>
      <c r="J22" s="2814"/>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0"/>
      <c r="B23" s="2814"/>
      <c r="C23" s="2815">
        <v>43881</v>
      </c>
      <c r="D23" s="2814">
        <v>4.05</v>
      </c>
      <c r="E23" s="2814">
        <v>4.05</v>
      </c>
      <c r="F23" s="2814">
        <v>4.05</v>
      </c>
      <c r="G23" s="2814">
        <v>4.05</v>
      </c>
      <c r="H23" s="2814">
        <v>4.75</v>
      </c>
      <c r="I23" s="2814"/>
      <c r="J23" s="281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4"/>
      <c r="C24" s="2815">
        <v>43789</v>
      </c>
      <c r="D24" s="2814">
        <v>4.1500000000000004</v>
      </c>
      <c r="E24" s="2814">
        <v>4.1500000000000004</v>
      </c>
      <c r="F24" s="2814">
        <v>4.1500000000000004</v>
      </c>
      <c r="G24" s="2814">
        <v>4.1500000000000004</v>
      </c>
      <c r="H24" s="2814">
        <v>4.8</v>
      </c>
      <c r="I24" s="2814"/>
      <c r="J24" s="281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4"/>
      <c r="C25" s="2815">
        <v>43728</v>
      </c>
      <c r="D25" s="2814">
        <v>4.2</v>
      </c>
      <c r="E25" s="2814">
        <v>4.2</v>
      </c>
      <c r="F25" s="2814">
        <v>4.2</v>
      </c>
      <c r="G25" s="2814">
        <v>4.2</v>
      </c>
      <c r="H25" s="2814">
        <v>4.8499999999999996</v>
      </c>
      <c r="I25" s="2814"/>
      <c r="J25" s="2814"/>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3" t="s">
        <v>2308</v>
      </c>
      <c r="C26" s="2816">
        <v>43697</v>
      </c>
      <c r="D26" s="2817">
        <v>4.25</v>
      </c>
      <c r="E26" s="2817">
        <v>4.25</v>
      </c>
      <c r="F26" s="2817">
        <v>4.25</v>
      </c>
      <c r="G26" s="2817">
        <v>4.25</v>
      </c>
      <c r="H26" s="2817">
        <v>4.8499999999999996</v>
      </c>
      <c r="I26" s="2817"/>
      <c r="J26" s="2817"/>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1"/>
      <c r="C27" s="2822">
        <v>42301</v>
      </c>
      <c r="D27" s="2823">
        <v>4.3499999999999996</v>
      </c>
      <c r="E27" s="2823">
        <v>4.3499999999999996</v>
      </c>
      <c r="F27" s="2823">
        <v>4.75</v>
      </c>
      <c r="G27" s="2823">
        <v>4.75</v>
      </c>
      <c r="H27" s="2823">
        <v>4.9000000000000004</v>
      </c>
      <c r="I27" s="2823"/>
      <c r="J27" s="2823"/>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50"/>
  <sheetViews>
    <sheetView topLeftCell="A142" workbookViewId="0">
      <selection activeCell="L150" sqref="L150"/>
    </sheetView>
  </sheetViews>
  <sheetFormatPr defaultRowHeight="13.5"/>
  <sheetData>
    <row r="150" spans="12:12">
      <c r="L150" s="3459" t="s">
        <v>3793</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87" t="str">
        <f>IF(项目基本情况!B9="房地产市场价值","估价结果一览表","结果表-2")</f>
        <v>结果表-2</v>
      </c>
      <c r="B1" s="3587"/>
      <c r="C1" s="3587"/>
      <c r="D1" s="3587"/>
      <c r="E1" s="3587"/>
      <c r="F1" s="3587"/>
      <c r="G1" s="3587"/>
      <c r="H1" s="3587"/>
      <c r="I1" s="3587"/>
    </row>
    <row r="2" spans="1:9" ht="30" customHeight="1" thickTop="1">
      <c r="A2" s="3588" t="s">
        <v>928</v>
      </c>
      <c r="B2" s="3588" t="s">
        <v>929</v>
      </c>
      <c r="C2" s="3588" t="s">
        <v>930</v>
      </c>
      <c r="D2" s="3588" t="str">
        <f>结果表!D116</f>
        <v>出让国有建设用地使用权价值</v>
      </c>
      <c r="E2" s="3588"/>
      <c r="F2" s="3588" t="str">
        <f>结果表!F116</f>
        <v>在建建筑物价值</v>
      </c>
      <c r="G2" s="3588"/>
      <c r="H2" s="3588" t="str">
        <f>IF(项目基本情况!B9="房地产市场价值","房地产市场价值","房地产价值")</f>
        <v>房地产价值</v>
      </c>
      <c r="I2" s="3588"/>
    </row>
    <row r="3" spans="1:9" ht="15">
      <c r="A3" s="3589"/>
      <c r="B3" s="3589"/>
      <c r="C3" s="3589"/>
      <c r="D3" s="853" t="s">
        <v>925</v>
      </c>
      <c r="E3" s="853" t="s">
        <v>931</v>
      </c>
      <c r="F3" s="853" t="s">
        <v>925</v>
      </c>
      <c r="G3" s="853" t="s">
        <v>926</v>
      </c>
      <c r="H3" s="853" t="s">
        <v>925</v>
      </c>
      <c r="I3" s="853" t="s">
        <v>926</v>
      </c>
    </row>
    <row r="4" spans="1:9" ht="45">
      <c r="A4" s="1504" t="str">
        <f>项目基本情况!S2</f>
        <v>北京市延庆区延庆镇东街2号（北侧）-1层地下室等[2]套商业用房房地产</v>
      </c>
      <c r="B4" s="853">
        <f>项目基本情况!C17</f>
        <v>4460</v>
      </c>
      <c r="C4" s="853">
        <f>项目基本情况!C18</f>
        <v>1510.07</v>
      </c>
      <c r="D4" s="853">
        <f ca="1">结果表!D118</f>
        <v>2147</v>
      </c>
      <c r="E4" s="853">
        <f ca="1">结果表!E118</f>
        <v>4815</v>
      </c>
      <c r="F4" s="853">
        <f ca="1">结果表!F118</f>
        <v>1224</v>
      </c>
      <c r="G4" s="853">
        <f ca="1">结果表!G118</f>
        <v>2744</v>
      </c>
      <c r="H4" s="853">
        <f ca="1">结果表!H118</f>
        <v>3371</v>
      </c>
      <c r="I4" s="853">
        <f ca="1">结果表!I118</f>
        <v>7559</v>
      </c>
    </row>
    <row r="5" spans="1:9" ht="30" customHeight="1">
      <c r="A5" s="3589" t="s">
        <v>927</v>
      </c>
      <c r="B5" s="3589"/>
      <c r="C5" s="3589"/>
      <c r="D5" s="3589" t="str">
        <f ca="1">结果表!D119</f>
        <v>贰仟壹佰肆拾柒万元整</v>
      </c>
      <c r="E5" s="3589"/>
      <c r="F5" s="3589" t="str">
        <f ca="1">结果表!F119</f>
        <v>壹仟贰佰贰拾肆万元整</v>
      </c>
      <c r="G5" s="3589"/>
      <c r="H5" s="3589" t="str">
        <f ca="1">结果表!H119</f>
        <v>叁仟叁佰柒拾壹万元整</v>
      </c>
      <c r="I5" s="3589"/>
    </row>
    <row r="6" spans="1:9" ht="15.75">
      <c r="A6" s="3590" t="str">
        <f>结果表!A120</f>
        <v>估价师知悉的法定优先受偿款</v>
      </c>
      <c r="B6" s="3590"/>
      <c r="C6" s="3590"/>
      <c r="D6" s="3590">
        <f>结果表!D120</f>
        <v>0</v>
      </c>
      <c r="E6" s="3590"/>
      <c r="F6" s="3590"/>
      <c r="G6" s="3590"/>
      <c r="H6" s="3590"/>
      <c r="I6" s="3590"/>
    </row>
    <row r="7" spans="1:9" ht="15">
      <c r="A7" s="3589" t="s">
        <v>927</v>
      </c>
      <c r="B7" s="3589"/>
      <c r="C7" s="3589"/>
      <c r="D7" s="3591" t="str">
        <f>结果表!D121</f>
        <v>零元整</v>
      </c>
      <c r="E7" s="3592"/>
      <c r="F7" s="3592"/>
      <c r="G7" s="3592"/>
      <c r="H7" s="3592"/>
      <c r="I7" s="3593"/>
    </row>
    <row r="8" spans="1:9" ht="15.75">
      <c r="A8" s="3590" t="str">
        <f>结果表!A122</f>
        <v>房地产抵押价值</v>
      </c>
      <c r="B8" s="3590"/>
      <c r="C8" s="3590"/>
      <c r="D8" s="3590">
        <f ca="1">结果表!D122</f>
        <v>3371</v>
      </c>
      <c r="E8" s="3590"/>
      <c r="F8" s="3590"/>
      <c r="G8" s="3590"/>
      <c r="H8" s="3590"/>
      <c r="I8" s="3590"/>
    </row>
    <row r="9" spans="1:9" ht="15">
      <c r="A9" s="3589" t="s">
        <v>927</v>
      </c>
      <c r="B9" s="3589"/>
      <c r="C9" s="3589"/>
      <c r="D9" s="3589" t="str">
        <f ca="1">结果表!D123</f>
        <v>叁仟叁佰柒拾壹万元整</v>
      </c>
      <c r="E9" s="3589"/>
      <c r="F9" s="3589"/>
      <c r="G9" s="3589"/>
      <c r="H9" s="3589"/>
      <c r="I9" s="3589"/>
    </row>
    <row r="10" spans="1:9" ht="15.75">
      <c r="A10" s="3590" t="str">
        <f>结果表!A124</f>
        <v/>
      </c>
      <c r="B10" s="3590"/>
      <c r="C10" s="3590"/>
      <c r="D10" s="3590" t="str">
        <f>结果表!D124</f>
        <v>——</v>
      </c>
      <c r="E10" s="3590"/>
      <c r="F10" s="3590"/>
      <c r="G10" s="3590"/>
      <c r="H10" s="3590"/>
      <c r="I10" s="3590"/>
    </row>
    <row r="11" spans="1:9" ht="15">
      <c r="A11" s="3589" t="s">
        <v>927</v>
      </c>
      <c r="B11" s="3589"/>
      <c r="C11" s="3589"/>
      <c r="D11" s="3589" t="e">
        <f>结果表!D125</f>
        <v>#VALUE!</v>
      </c>
      <c r="E11" s="3589"/>
      <c r="F11" s="3589"/>
      <c r="G11" s="3589"/>
      <c r="H11" s="3589"/>
      <c r="I11" s="3589"/>
    </row>
    <row r="12" spans="1:9" ht="15.75">
      <c r="A12" s="3590" t="str">
        <f>结果表!A126</f>
        <v/>
      </c>
      <c r="B12" s="3590"/>
      <c r="C12" s="3590"/>
      <c r="D12" s="3590" t="str">
        <f>结果表!D126</f>
        <v>——</v>
      </c>
      <c r="E12" s="3590"/>
      <c r="F12" s="3590"/>
      <c r="G12" s="3590"/>
      <c r="H12" s="3590"/>
      <c r="I12" s="3590"/>
    </row>
    <row r="13" spans="1:9" ht="15.75" thickBot="1">
      <c r="A13" s="3594" t="s">
        <v>927</v>
      </c>
      <c r="B13" s="3594"/>
      <c r="C13" s="3594"/>
      <c r="D13" s="3594" t="e">
        <f>结果表!D127</f>
        <v>#VALUE!</v>
      </c>
      <c r="E13" s="3594"/>
      <c r="F13" s="3594"/>
      <c r="G13" s="3594"/>
      <c r="H13" s="3594"/>
      <c r="I13" s="3594"/>
    </row>
    <row r="14" spans="1:9" ht="15" thickTop="1">
      <c r="A14" s="3595" t="s">
        <v>932</v>
      </c>
      <c r="B14" s="3595"/>
      <c r="C14" s="3595"/>
      <c r="D14" s="3595"/>
      <c r="E14" s="3595"/>
      <c r="F14" s="3595"/>
      <c r="G14" s="3595"/>
      <c r="H14" s="3595"/>
      <c r="I14" s="359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96" t="s">
        <v>949</v>
      </c>
      <c r="B1" s="3596"/>
      <c r="C1" s="3596"/>
      <c r="D1" s="3596"/>
    </row>
    <row r="2" spans="1:4" ht="18">
      <c r="A2" s="3597" t="s">
        <v>933</v>
      </c>
      <c r="B2" s="3597"/>
      <c r="C2" s="3597"/>
      <c r="D2" s="359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97" t="s">
        <v>939</v>
      </c>
      <c r="B6" s="3597"/>
      <c r="C6" s="3597"/>
      <c r="D6" s="3597"/>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98" t="s">
        <v>942</v>
      </c>
      <c r="B11" s="3599"/>
      <c r="C11" s="3599"/>
      <c r="D11" s="3599"/>
    </row>
    <row r="12" spans="1:4" ht="15.75">
      <c r="A12" s="35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0"/>
      <c r="C12" s="3600"/>
      <c r="D12" s="3600"/>
    </row>
    <row r="13" spans="1:4" ht="30" customHeight="1">
      <c r="A13" s="35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0"/>
      <c r="C13" s="3600"/>
      <c r="D13" s="3600"/>
    </row>
    <row r="14" spans="1:4" ht="15.75" customHeight="1">
      <c r="A14" s="3599" t="str">
        <f>IF(项目基本情况!B8="抵押","4.本次评估估价师所知悉的法定优先受偿款情况说明如下：","——")</f>
        <v>4.本次评估估价师所知悉的法定优先受偿款情况说明如下：</v>
      </c>
      <c r="B14" s="3600"/>
      <c r="C14" s="3600"/>
      <c r="D14" s="3600"/>
    </row>
    <row r="15" spans="1:4" ht="42" customHeight="1">
      <c r="A15" s="35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9"/>
      <c r="C15" s="3599"/>
      <c r="D15" s="3599"/>
    </row>
    <row r="16" spans="1:4" ht="30" customHeight="1">
      <c r="A16" s="3602" t="s">
        <v>943</v>
      </c>
      <c r="B16" s="3602"/>
      <c r="C16" s="3602"/>
      <c r="D16" s="3602"/>
    </row>
    <row r="17" spans="1:4" ht="144" customHeight="1">
      <c r="A17" s="3602" t="s">
        <v>944</v>
      </c>
      <c r="B17" s="3602"/>
      <c r="C17" s="3602"/>
      <c r="D17" s="3602"/>
    </row>
    <row r="18" spans="1:4" ht="15.75" customHeight="1">
      <c r="A18" s="3599" t="str">
        <f>IF(项目基本情况!B8="抵押",结果表!K120,"——")</f>
        <v>故，本次评估不存在估价师知悉的法定优先受偿款</v>
      </c>
      <c r="B18" s="3599"/>
      <c r="C18" s="3599"/>
      <c r="D18" s="3599"/>
    </row>
    <row r="19" spans="1:4" ht="46.5" customHeight="1">
      <c r="A19" s="35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9"/>
      <c r="C19" s="3599"/>
      <c r="D19" s="3599"/>
    </row>
    <row r="20" spans="1:4" ht="57.75" customHeight="1">
      <c r="A20" s="35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99"/>
      <c r="C20" s="3599"/>
      <c r="D20" s="3599"/>
    </row>
    <row r="21" spans="1:4" ht="57.75" customHeight="1">
      <c r="A21" s="36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03"/>
      <c r="C21" s="3603"/>
      <c r="D21" s="3603"/>
    </row>
    <row r="22" spans="1:4" ht="18.75" customHeight="1">
      <c r="A22" s="3604" t="s">
        <v>945</v>
      </c>
      <c r="B22" s="3604"/>
      <c r="C22" s="3604"/>
      <c r="D22" s="360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601">
        <v>42551</v>
      </c>
      <c r="D31" s="36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610" t="s">
        <v>956</v>
      </c>
      <c r="B15" s="3605" t="s">
        <v>109</v>
      </c>
      <c r="C15" s="3606"/>
    </row>
    <row r="16" spans="1:7" ht="13.5">
      <c r="A16" s="3611"/>
      <c r="B16" s="3605" t="s">
        <v>42</v>
      </c>
      <c r="C16" s="3606"/>
    </row>
    <row r="17" spans="1:3" ht="13.5">
      <c r="A17" s="3611"/>
      <c r="B17" s="3608" t="s">
        <v>957</v>
      </c>
      <c r="C17" s="1531" t="s">
        <v>956</v>
      </c>
    </row>
    <row r="18" spans="1:3" ht="13.5">
      <c r="A18" s="3611"/>
      <c r="B18" s="3608"/>
      <c r="C18" s="1531" t="s">
        <v>958</v>
      </c>
    </row>
    <row r="19" spans="1:3" ht="13.5">
      <c r="A19" s="3611"/>
      <c r="B19" s="3608"/>
      <c r="C19" s="1531" t="s">
        <v>959</v>
      </c>
    </row>
    <row r="20" spans="1:3" ht="13.5">
      <c r="A20" s="3612"/>
      <c r="B20" s="3607" t="s">
        <v>960</v>
      </c>
      <c r="C20" s="3606"/>
    </row>
    <row r="21" spans="1:3" ht="13.5">
      <c r="A21" s="1532" t="s">
        <v>961</v>
      </c>
      <c r="B21" s="1533"/>
      <c r="C21" s="1534"/>
    </row>
    <row r="22" spans="1:3" ht="13.5">
      <c r="A22" s="3609" t="s">
        <v>962</v>
      </c>
      <c r="B22" s="3607" t="s">
        <v>963</v>
      </c>
      <c r="C22" s="3606"/>
    </row>
    <row r="23" spans="1:3" ht="13.5">
      <c r="A23" s="3609"/>
      <c r="B23" s="3607" t="s">
        <v>964</v>
      </c>
      <c r="C23" s="3606"/>
    </row>
    <row r="24" spans="1:3" ht="13.5">
      <c r="A24" s="3609"/>
      <c r="B24" s="3607" t="s">
        <v>965</v>
      </c>
      <c r="C24" s="3606"/>
    </row>
    <row r="25" spans="1:3" ht="13.5">
      <c r="A25" s="3609"/>
      <c r="B25" s="3608" t="s">
        <v>966</v>
      </c>
      <c r="C25" s="1531" t="s">
        <v>967</v>
      </c>
    </row>
    <row r="26" spans="1:3" ht="13.5">
      <c r="A26" s="3609"/>
      <c r="B26" s="3608"/>
      <c r="C26" s="1531" t="s">
        <v>968</v>
      </c>
    </row>
    <row r="27" spans="1:3" ht="13.5">
      <c r="A27" s="3609"/>
      <c r="B27" s="3608"/>
      <c r="C27" s="1531" t="s">
        <v>969</v>
      </c>
    </row>
    <row r="28" spans="1:3" ht="13.5">
      <c r="A28" s="3609"/>
      <c r="B28" s="3608"/>
      <c r="C28" s="1531" t="s">
        <v>970</v>
      </c>
    </row>
    <row r="29" spans="1:3" ht="13.5">
      <c r="A29" s="3609"/>
      <c r="B29" s="3608"/>
      <c r="C29" s="1531" t="s">
        <v>971</v>
      </c>
    </row>
    <row r="30" spans="1:3" ht="13.5">
      <c r="A30" s="3609"/>
      <c r="B30" s="3608"/>
      <c r="C30" s="1531" t="s">
        <v>972</v>
      </c>
    </row>
    <row r="31" spans="1:3" ht="13.5">
      <c r="A31" s="3609"/>
      <c r="B31" s="3608"/>
      <c r="C31" s="1531" t="s">
        <v>973</v>
      </c>
    </row>
    <row r="32" spans="1:3" ht="13.5">
      <c r="A32" s="3609"/>
      <c r="B32" s="3608"/>
      <c r="C32" s="1531" t="s">
        <v>974</v>
      </c>
    </row>
    <row r="33" spans="1:3" ht="13.5">
      <c r="A33" s="3609"/>
      <c r="B33" s="360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45706</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613" t="s">
        <v>2159</v>
      </c>
      <c r="B17" s="3613"/>
      <c r="C17" s="3613"/>
      <c r="D17" s="3613"/>
      <c r="E17" s="3613"/>
      <c r="F17" s="3613"/>
      <c r="G17" s="3613"/>
      <c r="H17" s="3613"/>
    </row>
    <row r="18" spans="1:8" ht="24" customHeight="1">
      <c r="A18" s="3614" t="s">
        <v>2160</v>
      </c>
      <c r="B18" s="3614"/>
      <c r="C18" s="3614"/>
      <c r="D18" s="2342"/>
      <c r="E18" s="3615" t="s">
        <v>2161</v>
      </c>
      <c r="F18" s="3614"/>
      <c r="G18" s="3614"/>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168</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人民商场租赁合同明细</vt:lpstr>
      <vt:lpstr>系统读取表</vt:lpstr>
      <vt:lpstr>结果表</vt:lpstr>
      <vt:lpstr>成本法</vt:lpstr>
      <vt:lpstr>成本法 (元)</vt:lpstr>
      <vt:lpstr>假设开发法</vt:lpstr>
      <vt:lpstr>基准地价修正</vt:lpstr>
      <vt:lpstr>收益法</vt:lpstr>
      <vt:lpstr>比较法-办公</vt:lpstr>
      <vt:lpstr>比较法-办公租金</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Sheet3</vt:lpstr>
      <vt:lpstr>Sheet4</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人民商场租赁合同明细!Print_Area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人民商场租赁合同明细!Print_Titles</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2025-02-18T06:10:59Z</dcterms:modified>
</cp:coreProperties>
</file>