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255" windowWidth="17085" windowHeight="114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8" i="39" l="1"/>
  <c r="F35" i="88" l="1"/>
  <c r="F35" i="67"/>
  <c r="F35" i="79"/>
  <c r="G2" i="81"/>
  <c r="B8" i="81"/>
  <c r="B7" i="81"/>
  <c r="B6" i="81"/>
  <c r="B5" i="81"/>
  <c r="C7" i="81"/>
  <c r="C8" i="81" l="1"/>
  <c r="H2" i="81" s="1"/>
  <c r="I2" i="81" l="1"/>
  <c r="B18" i="74"/>
  <c r="D18" i="74" l="1"/>
  <c r="I18" i="74" l="1"/>
  <c r="AM7" i="1" l="1"/>
  <c r="AM8" i="1"/>
  <c r="S29" i="81" l="1"/>
  <c r="Q29" i="8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F38" i="39"/>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AC20" i="35" s="1"/>
  <c r="U25" i="39"/>
  <c r="S25" i="39"/>
  <c r="W25" i="39"/>
  <c r="L9" i="1"/>
  <c r="N8" i="1"/>
  <c r="N9" i="1"/>
  <c r="C5" i="43"/>
  <c r="F28" i="6"/>
  <c r="E28" i="6"/>
  <c r="AB15" i="39"/>
  <c r="U15" i="39"/>
  <c r="AA15" i="39"/>
  <c r="S15" i="39"/>
  <c r="AC15" i="39"/>
  <c r="W15" i="39"/>
  <c r="AB32" i="21"/>
  <c r="U32" i="21"/>
  <c r="AC32" i="21"/>
  <c r="W32" i="21"/>
  <c r="AA32" i="21"/>
  <c r="S32" i="21"/>
  <c r="AB15" i="21"/>
  <c r="U15" i="21"/>
  <c r="AA15" i="21"/>
  <c r="S15" i="21"/>
  <c r="AC15" i="21"/>
  <c r="W15" i="21"/>
  <c r="O8" i="1"/>
  <c r="P8" i="1"/>
  <c r="E30" i="6"/>
  <c r="K14" i="1"/>
  <c r="M14" i="1" s="1"/>
  <c r="K15" i="1"/>
  <c r="F30" i="6"/>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M22" i="88"/>
  <c r="C76" i="79"/>
  <c r="F38" i="79"/>
  <c r="E7" i="76"/>
  <c r="M28" i="79"/>
  <c r="M26" i="88"/>
  <c r="J15" i="88"/>
  <c r="F13" i="88"/>
  <c r="B13" i="76"/>
  <c r="F9" i="79"/>
  <c r="M24" i="79"/>
  <c r="F36" i="79"/>
  <c r="B10" i="76"/>
  <c r="C36" i="69"/>
  <c r="M27" i="67"/>
  <c r="F9" i="67"/>
  <c r="M23" i="67"/>
  <c r="F37" i="79"/>
  <c r="D2" i="37"/>
  <c r="D2" i="33"/>
  <c r="C36" i="82"/>
  <c r="D2" i="35"/>
  <c r="F13" i="67"/>
  <c r="M23" i="88"/>
  <c r="AO13" i="1"/>
  <c r="M6" i="88"/>
  <c r="D9" i="87"/>
  <c r="F8" i="79"/>
  <c r="L47" i="88"/>
  <c r="E2" i="68"/>
  <c r="D2" i="34"/>
  <c r="F20" i="31"/>
  <c r="M9" i="88"/>
  <c r="J15" i="79"/>
  <c r="AO10" i="1"/>
  <c r="E2" i="87"/>
  <c r="M6" i="79"/>
  <c r="F8" i="67"/>
  <c r="M23" i="79"/>
  <c r="F42" i="79"/>
  <c r="E2" i="82"/>
  <c r="F6" i="79"/>
  <c r="M9" i="79"/>
  <c r="F42" i="67"/>
  <c r="E9" i="76"/>
  <c r="M24" i="88"/>
  <c r="M28" i="67"/>
  <c r="E13" i="76"/>
  <c r="F40" i="67"/>
  <c r="AO12" i="1"/>
  <c r="B9" i="76"/>
  <c r="F27" i="87"/>
  <c r="B7" i="76"/>
  <c r="F40" i="79"/>
  <c r="M8" i="67"/>
  <c r="B12" i="76"/>
  <c r="C36" i="87"/>
  <c r="M22" i="79"/>
  <c r="F13" i="79"/>
  <c r="F27" i="69"/>
  <c r="F7" i="88"/>
  <c r="M6" i="67"/>
  <c r="J15" i="67"/>
  <c r="M27" i="79"/>
  <c r="M27" i="88"/>
  <c r="E2" i="69"/>
  <c r="E2" i="89"/>
  <c r="F16" i="67"/>
  <c r="F6" i="67"/>
  <c r="D9" i="82"/>
  <c r="C76" i="67"/>
  <c r="F26" i="88"/>
  <c r="M9" i="67"/>
  <c r="B8" i="76"/>
  <c r="AO6" i="1"/>
  <c r="F38" i="67"/>
  <c r="F16" i="88"/>
  <c r="F9" i="88"/>
  <c r="D9" i="69"/>
  <c r="F8" i="88"/>
  <c r="F37" i="67"/>
  <c r="M8" i="79"/>
  <c r="F37" i="88"/>
  <c r="B11" i="76"/>
  <c r="E8" i="76"/>
  <c r="F38" i="88"/>
  <c r="F40" i="88"/>
  <c r="M28" i="88"/>
  <c r="F36" i="88"/>
  <c r="F26" i="79"/>
  <c r="F36" i="67"/>
  <c r="F6" i="88"/>
  <c r="F26" i="67"/>
  <c r="F27" i="82"/>
  <c r="AO11" i="1"/>
  <c r="D2" i="21"/>
  <c r="M24" i="67"/>
  <c r="M26" i="67"/>
  <c r="C76" i="88"/>
  <c r="D2" i="36"/>
  <c r="E12" i="76"/>
  <c r="E10" i="76"/>
  <c r="F16" i="79"/>
  <c r="F42" i="88"/>
  <c r="M8" i="88"/>
  <c r="M22" i="67"/>
  <c r="M26" i="79"/>
  <c r="E11" i="76"/>
  <c r="L47" i="67"/>
  <c r="L47" i="79"/>
  <c r="F27" i="89"/>
  <c r="W20" i="35" l="1"/>
  <c r="H16" i="35"/>
  <c r="AB16" i="35" s="1"/>
  <c r="F16" i="35"/>
  <c r="AA16" i="35" s="1"/>
  <c r="F66" i="35"/>
  <c r="G66" i="35" s="1"/>
  <c r="J16" i="35"/>
  <c r="F27" i="39"/>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S20"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C36" i="89"/>
  <c r="F43" i="88"/>
  <c r="L48" i="88"/>
  <c r="F7" i="79"/>
  <c r="F7" i="67"/>
  <c r="M29" i="88"/>
  <c r="M29" i="67"/>
  <c r="M29" i="79"/>
  <c r="L48" i="79"/>
  <c r="F43" i="79"/>
  <c r="L48" i="67"/>
  <c r="D9" i="89"/>
  <c r="F43" i="67"/>
  <c r="S16" i="35" l="1"/>
  <c r="U16" i="35"/>
  <c r="AC16" i="35"/>
  <c r="W16" i="35"/>
  <c r="U27" i="39"/>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D9" i="68"/>
  <c r="D4" i="73"/>
  <c r="D5" i="73"/>
  <c r="D7" i="73"/>
  <c r="F3" i="73"/>
  <c r="F4" i="73"/>
  <c r="C16" i="88"/>
  <c r="D3" i="73"/>
  <c r="D6" i="73"/>
  <c r="C16" i="67"/>
  <c r="C16" i="79"/>
  <c r="F7" i="73"/>
  <c r="F6" i="73"/>
  <c r="F5" i="73"/>
  <c r="C32" i="88" l="1"/>
  <c r="C32" i="79"/>
  <c r="G104" i="43"/>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C14" i="67"/>
  <c r="D10" i="87"/>
  <c r="D10" i="89"/>
  <c r="C17" i="79"/>
  <c r="C34" i="89"/>
  <c r="AE8" i="1"/>
  <c r="C17" i="67"/>
  <c r="D10" i="82"/>
  <c r="AE9" i="1"/>
  <c r="C34" i="69"/>
  <c r="C17" i="88"/>
  <c r="D10" i="69"/>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14" i="79"/>
  <c r="C34" i="87"/>
  <c r="C14" i="88"/>
  <c r="C34" i="82"/>
  <c r="F41" i="67"/>
  <c r="F41" i="88"/>
  <c r="F41" i="79"/>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M21" i="67"/>
  <c r="E6" i="76"/>
  <c r="B6" i="76"/>
  <c r="M21" i="88"/>
  <c r="M21" i="79"/>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20" i="9"/>
  <c r="D19"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67"/>
  <c r="L51" i="88"/>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AO9" i="1"/>
  <c r="D19" i="86"/>
  <c r="D19" i="83"/>
  <c r="AO7" i="1"/>
  <c r="M69" i="39" l="1"/>
  <c r="N67" i="39"/>
  <c r="N63" i="40"/>
  <c r="M65" i="40"/>
  <c r="B7" i="70"/>
  <c r="D102" i="83"/>
  <c r="D21" i="83"/>
  <c r="D21" i="86"/>
  <c r="G19" i="86"/>
  <c r="D22" i="86"/>
  <c r="D102" i="86"/>
  <c r="B9" i="70"/>
  <c r="D8" i="12"/>
  <c r="C4" i="12" s="1"/>
  <c r="B3" i="79"/>
  <c r="B3" i="88"/>
  <c r="D20" i="86"/>
  <c r="D20" i="83"/>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5" i="85"/>
  <c r="C20" i="83"/>
  <c r="D35" i="9"/>
  <c r="D34" i="85"/>
  <c r="D34" i="83"/>
  <c r="D35" i="83"/>
  <c r="B3" i="87"/>
  <c r="C19" i="85"/>
  <c r="D35" i="86"/>
  <c r="B3" i="69"/>
  <c r="D34" i="9"/>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O6" i="81" l="1"/>
  <c r="U26" i="81"/>
  <c r="D45" i="83"/>
  <c r="M48" i="83" s="1"/>
  <c r="M49" i="83" s="1"/>
  <c r="L65" i="83" s="1"/>
  <c r="M65" i="83" s="1"/>
  <c r="G14" i="74"/>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D45" i="9"/>
  <c r="M48" i="9" s="1"/>
  <c r="M49" i="9" s="1"/>
  <c r="C81" i="85"/>
  <c r="C97" i="85"/>
  <c r="D58" i="85" s="1"/>
  <c r="D56" i="85" s="1"/>
  <c r="M54" i="85" s="1"/>
  <c r="N57" i="85" s="1"/>
  <c r="C96" i="85"/>
  <c r="E96" i="85" s="1"/>
  <c r="E97" i="85" s="1"/>
  <c r="M69" i="85"/>
  <c r="N69" i="85" s="1"/>
  <c r="C79" i="83" l="1"/>
  <c r="C80" i="83" s="1"/>
  <c r="E80" i="83" s="1"/>
  <c r="E81" i="83" s="1"/>
  <c r="C95" i="83"/>
  <c r="C96" i="83" s="1"/>
  <c r="E96" i="83" s="1"/>
  <c r="E97" i="83" s="1"/>
  <c r="M69" i="83"/>
  <c r="N69"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L22" i="9" s="1"/>
  <c r="L23" i="9" s="1"/>
  <c r="P57" i="9"/>
  <c r="H111" i="9"/>
  <c r="N60" i="9" l="1"/>
  <c r="N61" i="9"/>
  <c r="H112" i="9" s="1"/>
  <c r="D21" i="53" s="1"/>
  <c r="B39" i="72" s="1"/>
  <c r="P5" i="81"/>
  <c r="D19" i="53"/>
  <c r="D126" i="9"/>
  <c r="I14" i="74" l="1"/>
  <c r="D12" i="52"/>
  <c r="D127" i="9"/>
  <c r="D13" i="52" s="1"/>
  <c r="B38" i="72"/>
  <c r="D20" i="53"/>
  <c r="B40" i="72" s="1"/>
  <c r="G18" i="74" l="1"/>
  <c r="F18" i="74"/>
  <c r="E18" i="74"/>
  <c r="B5" i="74"/>
  <c r="C5" i="74" l="1"/>
  <c r="D5" i="74"/>
  <c r="O7" i="81"/>
  <c r="O8" i="81" s="1"/>
  <c r="B6" i="74"/>
  <c r="D6" i="74" l="1"/>
  <c r="C6" i="74"/>
  <c r="P7" i="81" l="1"/>
  <c r="P8" i="81" s="1"/>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<sst xmlns="http://schemas.openxmlformats.org/spreadsheetml/2006/main" count="15387" uniqueCount="4276">
  <si>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</si>
  <si>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</si>
  <si>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</si>
  <si>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</si>
  <si>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</si>
  <si>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</si>
  <si>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</si>
  <si>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</si>
  <si>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</si>
  <si>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</si>
  <si>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</si>
  <si>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</si>
  <si>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</si>
  <si>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</si>
  <si>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</si>
  <si>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</si>
  <si>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</si>
  <si>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</si>
  <si>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</si>
  <si>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</si>
  <si>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</si>
  <si>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</si>
  <si>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</si>
  <si>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</si>
  <si>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</si>
  <si>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</si>
  <si>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</si>
  <si>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</si>
  <si>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</si>
  <si>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</si>
  <si>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</si>
  <si>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</si>
  <si>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</si>
  <si>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</si>
  <si>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</si>
  <si>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</si>
  <si>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</si>
  <si>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</si>
  <si>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</si>
  <si>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</si>
  <si>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</si>
  <si>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</si>
  <si>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</si>
  <si>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</si>
  <si>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</si>
  <si>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</si>
  <si>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</si>
  <si>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</si>
  <si>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</si>
  <si>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</si>
  <si>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</si>
  <si>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</si>
  <si>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</si>
  <si>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</si>
  <si>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</si>
  <si>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</si>
  <si>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</si>
  <si>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</si>
  <si>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</si>
  <si>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</si>
  <si>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</si>
  <si>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</si>
  <si>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</si>
  <si>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</si>
  <si>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</si>
  <si>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</si>
  <si>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</si>
  <si>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</si>
  <si>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</si>
  <si>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</si>
  <si>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</si>
  <si>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</si>
  <si>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</si>
  <si>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</si>
  <si>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</si>
  <si>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</si>
  <si>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</si>
  <si>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</si>
  <si>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</si>
  <si>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</si>
  <si>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</si>
  <si>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</si>
  <si>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</si>
  <si>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</si>
  <si>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</si>
  <si>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</si>
  <si>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</si>
  <si>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</si>
  <si>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</si>
  <si>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</si>
  <si>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</si>
  <si>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</si>
  <si>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</si>
  <si>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</si>
  <si>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</si>
  <si>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</si>
  <si>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</si>
  <si>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</si>
  <si>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</si>
  <si>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</si>
  <si>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</si>
  <si>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</si>
  <si>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</si>
  <si>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</si>
  <si>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</si>
  <si>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</si>
  <si>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</si>
  <si>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</si>
  <si>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</si>
  <si>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</si>
  <si>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</si>
  <si>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</si>
  <si>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</si>
  <si>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</si>
  <si>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</si>
  <si>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</si>
  <si>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</si>
  <si>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</si>
  <si>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</si>
  <si>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</si>
  <si>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</si>
  <si>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</si>
  <si>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</si>
  <si>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</si>
  <si>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</si>
  <si>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</si>
  <si>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</si>
  <si>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</si>
  <si>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</si>
  <si>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</si>
  <si>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</si>
  <si>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</si>
  <si>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</si>
  <si>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</si>
  <si>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</si>
  <si>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</si>
  <si>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</si>
  <si>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</si>
  <si>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</si>
  <si>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</si>
  <si>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</si>
  <si>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</si>
  <si>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</si>
  <si>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</si>
  <si>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</si>
  <si>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</si>
  <si>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</si>
  <si>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</si>
  <si>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</si>
  <si>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</si>
  <si>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</si>
  <si>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</si>
  <si>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</si>
  <si>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</si>
  <si>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</si>
  <si>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</si>
  <si>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</si>
  <si>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</si>
  <si>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</si>
  <si>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</si>
  <si>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</si>
  <si>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</si>
  <si>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</si>
  <si>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</si>
  <si>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</si>
  <si>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</si>
  <si>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</si>
  <si>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</si>
  <si>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</si>
  <si>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</si>
  <si>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</si>
  <si>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</si>
  <si>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</si>
  <si>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</si>
  <si>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</si>
  <si>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</si>
  <si>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</si>
  <si>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</si>
  <si>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</si>
  <si>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</si>
  <si>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</si>
  <si>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</si>
  <si>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</si>
  <si>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</si>
  <si>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</si>
  <si>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</si>
  <si>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</si>
  <si>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</si>
  <si>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</si>
  <si>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</si>
  <si>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</si>
  <si>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</si>
  <si>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</si>
  <si>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</si>
  <si>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</si>
  <si>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</si>
  <si>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</si>
  <si>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</si>
  <si>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</si>
  <si>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</si>
  <si>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</si>
  <si>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</si>
  <si>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</si>
  <si>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</si>
  <si>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</si>
  <si>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</si>
  <si>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</si>
  <si>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</si>
  <si>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</si>
  <si>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</si>
  <si>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</si>
  <si>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</si>
  <si>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</si>
  <si>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</si>
  <si>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</si>
  <si>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</si>
  <si>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</si>
  <si>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</si>
  <si>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</si>
  <si>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</si>
  <si>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</si>
  <si>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</si>
  <si>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</si>
  <si>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</si>
  <si>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</si>
  <si>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</si>
  <si>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</si>
  <si>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</si>
  <si>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</si>
  <si>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</si>
  <si>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</si>
  <si>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</si>
  <si>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</si>
  <si>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</si>
  <si>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</si>
  <si>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</si>
  <si>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</si>
  <si>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</si>
  <si>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</si>
  <si>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</si>
  <si>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</si>
  <si>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</si>
  <si>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</si>
  <si>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</si>
  <si>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</si>
  <si>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</si>
  <si>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</si>
  <si>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</si>
  <si>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</si>
  <si>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</si>
  <si>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</si>
  <si>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</si>
  <si>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</si>
  <si>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</si>
  <si>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</si>
  <si>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</si>
  <si>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</si>
  <si>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</si>
  <si>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</si>
  <si>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</si>
  <si>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</si>
  <si>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</si>
  <si>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</si>
  <si>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</si>
  <si>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</si>
  <si>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</si>
  <si>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</si>
  <si>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</si>
  <si>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</si>
  <si>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</si>
  <si>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</si>
  <si>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</si>
  <si>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</si>
  <si>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</si>
  <si>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</si>
  <si>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</si>
  <si>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</si>
  <si>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</si>
  <si>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</si>
  <si>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</si>
  <si>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</si>
  <si>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</si>
  <si>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</si>
  <si>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</si>
  <si>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</si>
  <si>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</si>
  <si>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</si>
  <si>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</si>
  <si>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</si>
  <si>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</si>
  <si>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</si>
  <si>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</si>
  <si>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</si>
  <si>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</si>
  <si>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</si>
  <si>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</si>
  <si>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</si>
  <si>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</si>
  <si>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</si>
  <si>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</si>
  <si>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</si>
  <si>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</si>
  <si>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</si>
  <si>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</si>
  <si>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</si>
  <si>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</si>
  <si>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</si>
  <si>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</si>
  <si>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</si>
  <si>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</si>
  <si>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</si>
  <si>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</si>
  <si>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</si>
  <si>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</si>
  <si>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</si>
  <si>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</si>
  <si>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</si>
  <si>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</si>
  <si>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</si>
  <si>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</si>
  <si>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</si>
  <si>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</si>
  <si>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</si>
  <si>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</si>
  <si>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</si>
  <si>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</si>
  <si>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</si>
  <si>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</si>
  <si>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</si>
  <si>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</si>
  <si>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</si>
  <si>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</si>
  <si>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</si>
  <si>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</si>
  <si>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</si>
  <si>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</si>
  <si>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</si>
  <si>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</si>
  <si>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</si>
  <si>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</si>
  <si>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</si>
  <si>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</si>
  <si>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</si>
  <si>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</si>
  <si>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</si>
  <si>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</si>
  <si>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</si>
  <si>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</si>
  <si>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</si>
  <si>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</si>
  <si>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</si>
  <si>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</si>
  <si>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</si>
  <si>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</si>
  <si>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</si>
  <si>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</si>
  <si>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</si>
  <si>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</si>
  <si>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</si>
  <si>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</si>
  <si>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</si>
  <si>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</si>
  <si>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</si>
  <si>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</si>
  <si>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</si>
  <si>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</si>
  <si>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</si>
  <si>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</si>
  <si>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</si>
  <si>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</si>
  <si>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</si>
  <si>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</si>
  <si>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</si>
  <si>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</si>
  <si>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</si>
  <si>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</si>
  <si>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</si>
  <si>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</si>
  <si>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</si>
  <si>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</si>
  <si>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</si>
  <si>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</si>
  <si>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</si>
  <si>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</si>
  <si>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</si>
  <si>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</si>
  <si>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</si>
  <si>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</si>
  <si>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</si>
  <si>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</si>
  <si>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</si>
  <si>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</si>
  <si>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</si>
  <si>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</si>
  <si>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</si>
  <si>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</si>
  <si>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</si>
  <si>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</si>
  <si>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</si>
  <si>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</si>
  <si>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</si>
  <si>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</si>
  <si>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</si>
  <si>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</si>
  <si>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</si>
  <si>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</si>
  <si>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</si>
  <si>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</si>
  <si>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</si>
  <si>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</si>
  <si>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</si>
  <si>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</si>
  <si>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</si>
  <si>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</si>
  <si>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</si>
  <si>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</si>
  <si>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</si>
  <si>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</si>
  <si>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</si>
  <si>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</si>
  <si>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</si>
  <si>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</si>
  <si>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</si>
  <si>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</si>
  <si>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</si>
  <si>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</si>
  <si>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</si>
  <si>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</si>
  <si>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</si>
  <si>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</si>
  <si>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</si>
  <si>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</si>
  <si>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</si>
  <si>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</si>
  <si>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</si>
  <si>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</si>
  <si>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</si>
  <si>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</si>
  <si>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</si>
  <si>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</si>
  <si>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</si>
  <si>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</si>
  <si>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</si>
  <si>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</si>
  <si>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</si>
  <si>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</si>
  <si>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</si>
  <si>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</si>
  <si>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</si>
  <si>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</si>
  <si>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</si>
  <si>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</si>
  <si>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</si>
  <si>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</si>
  <si>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</si>
  <si>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</si>
  <si>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</si>
  <si>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</si>
  <si>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</si>
  <si>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</si>
  <si>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</si>
  <si>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</si>
  <si>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</si>
  <si>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</si>
  <si>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</si>
  <si>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</si>
  <si>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</si>
  <si>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</si>
  <si>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</si>
  <si>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</si>
  <si>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</si>
  <si>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</si>
  <si>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</si>
  <si>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</si>
  <si>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</si>
  <si>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</si>
  <si>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</si>
  <si>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</si>
  <si>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</si>
  <si>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</si>
  <si>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</si>
  <si>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</si>
  <si>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</si>
  <si>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</si>
  <si>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</si>
  <si>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</si>
  <si>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</si>
  <si>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</si>
  <si>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</si>
  <si>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</si>
  <si>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</si>
  <si>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</si>
  <si>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</si>
  <si>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</si>
  <si>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</si>
  <si>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</si>
  <si>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</si>
  <si>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</si>
  <si>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</si>
  <si>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</si>
  <si>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</si>
  <si>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</si>
  <si>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</si>
  <si>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</si>
  <si>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</si>
  <si>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</si>
  <si>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</si>
  <si>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</si>
  <si>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</si>
  <si>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</si>
  <si>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</si>
  <si>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</si>
  <si>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</si>
  <si>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</si>
  <si>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</si>
  <si>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</si>
  <si>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</si>
  <si>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</si>
  <si>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</si>
  <si>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</si>
  <si>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</si>
  <si>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</si>
  <si>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</si>
  <si>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</si>
  <si>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</si>
  <si>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</si>
  <si>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</si>
  <si>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</si>
  <si>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</si>
  <si>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</si>
  <si>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</si>
  <si>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</si>
  <si>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</si>
  <si>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</si>
  <si>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</si>
  <si>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</si>
  <si>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</si>
  <si>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</si>
  <si>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</si>
  <si>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</si>
  <si>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</si>
  <si>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</si>
  <si>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</si>
  <si>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</si>
  <si>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</si>
  <si>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</si>
  <si>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</si>
  <si>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</si>
  <si>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</si>
  <si>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</si>
  <si>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</si>
  <si>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</si>
  <si>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</si>
  <si>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</si>
  <si>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</si>
  <si>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</si>
  <si>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</si>
  <si>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</si>
  <si>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</si>
  <si>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</si>
  <si>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</si>
  <si>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</si>
  <si>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</si>
  <si>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</si>
  <si>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</si>
  <si>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</si>
  <si>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</si>
  <si>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</si>
  <si>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</si>
  <si>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</si>
  <si>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</si>
  <si>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</si>
  <si>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</si>
  <si>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</si>
  <si>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</si>
  <si>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</si>
  <si>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</si>
  <si>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</si>
  <si>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</si>
  <si>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</si>
  <si>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</si>
  <si>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</si>
  <si>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</si>
  <si>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</si>
  <si>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</si>
  <si>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</si>
  <si>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</si>
  <si>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</si>
  <si>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</si>
  <si>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</si>
  <si>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</si>
  <si>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</si>
  <si>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</si>
  <si>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</si>
  <si>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</si>
  <si>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</si>
  <si>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</si>
  <si>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</si>
  <si>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</si>
  <si>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</si>
  <si>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</si>
  <si>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</si>
  <si>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</si>
  <si>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</si>
  <si>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</si>
  <si>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</si>
  <si>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</si>
  <si>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</si>
  <si>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</si>
  <si>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</si>
  <si>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</si>
  <si>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</si>
  <si>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</si>
  <si>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</si>
  <si>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</si>
  <si>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</si>
  <si>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</si>
  <si>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</si>
  <si>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</si>
  <si>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</si>
  <si>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</si>
  <si>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</si>
  <si>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</si>
  <si>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</si>
  <si>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</si>
  <si>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</si>
  <si>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</si>
  <si>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</si>
  <si>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</si>
  <si>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</si>
  <si>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</si>
  <si>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</si>
  <si>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</si>
  <si>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</si>
  <si>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</si>
  <si>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</si>
  <si>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</si>
  <si>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</si>
  <si>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</si>
  <si>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</si>
  <si>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</si>
  <si>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</si>
  <si>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</si>
  <si>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</si>
  <si>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</si>
  <si>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</si>
  <si>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</si>
  <si>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</si>
  <si>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</si>
  <si>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</si>
  <si>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</si>
  <si>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</si>
  <si>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</si>
  <si>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</si>
  <si>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</si>
  <si>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</si>
  <si>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</si>
  <si>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</si>
  <si>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</si>
  <si>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</si>
  <si>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</si>
  <si>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</si>
  <si>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</si>
  <si>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</si>
  <si>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</si>
  <si>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</si>
  <si>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</si>
  <si>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</si>
  <si>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</si>
  <si>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</si>
  <si>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</si>
  <si>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</si>
  <si>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</si>
  <si>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</si>
  <si>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</si>
  <si>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</si>
  <si>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</si>
  <si>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</si>
  <si>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</si>
  <si>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</si>
  <si>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</si>
  <si>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</si>
  <si>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</si>
  <si>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</si>
  <si>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</si>
  <si>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</si>
  <si>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</si>
  <si>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</si>
  <si>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</si>
  <si>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</si>
  <si>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</si>
  <si>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</si>
  <si>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</si>
  <si>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</si>
  <si>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</si>
  <si>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</si>
  <si>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</si>
  <si>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</si>
  <si>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</si>
  <si>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</si>
  <si>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</si>
  <si>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</si>
  <si>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</si>
  <si>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</si>
  <si>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</si>
  <si>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</si>
  <si>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</si>
  <si>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</si>
  <si>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</si>
  <si>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</si>
  <si>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</si>
  <si>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</si>
  <si>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</si>
  <si>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</si>
  <si>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</si>
  <si>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</si>
  <si>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</si>
  <si>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</si>
  <si>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</si>
  <si>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</si>
  <si>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</si>
  <si>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</si>
  <si>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</si>
  <si>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</si>
  <si>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</si>
  <si>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</si>
  <si>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</si>
  <si>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</si>
  <si>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</si>
  <si>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</si>
  <si>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</si>
  <si>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</si>
  <si>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</si>
  <si>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</si>
  <si>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</si>
  <si>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</si>
  <si>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</si>
  <si>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</si>
  <si>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</si>
  <si>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</si>
  <si>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</si>
  <si>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</si>
  <si>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</si>
  <si>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</si>
  <si>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</si>
  <si>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</si>
  <si>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</si>
  <si>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</si>
  <si>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</si>
  <si>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</si>
  <si>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</si>
  <si>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</si>
  <si>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</si>
  <si>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</si>
  <si>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</si>
  <si>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</si>
  <si>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</si>
  <si>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</si>
  <si>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</si>
  <si>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</si>
  <si>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</si>
  <si>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</si>
  <si>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</si>
  <si>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</si>
  <si>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</si>
  <si>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</si>
  <si>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</si>
  <si>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</si>
  <si>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</si>
  <si>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</si>
  <si>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</si>
  <si>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</si>
  <si>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</si>
  <si>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</si>
  <si>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</si>
  <si>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</si>
  <si>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</si>
  <si>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</si>
  <si>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</si>
  <si>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</si>
  <si>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</si>
  <si>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</si>
  <si>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</si>
  <si>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</si>
  <si>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</si>
  <si>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</si>
  <si>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</si>
  <si>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</si>
  <si>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</si>
  <si>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</si>
  <si>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</si>
  <si>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</si>
  <si>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</si>
  <si>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</si>
  <si>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</si>
  <si>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</si>
  <si>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</si>
  <si>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</si>
  <si>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</si>
  <si>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</si>
  <si>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</si>
  <si>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</si>
  <si>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</si>
  <si>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</si>
  <si>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</si>
  <si>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</si>
  <si>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</si>
  <si>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</si>
  <si>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</si>
  <si>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</si>
  <si>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</si>
  <si>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</si>
  <si>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</si>
  <si>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</si>
  <si>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</si>
  <si>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</si>
  <si>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</si>
  <si>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</si>
  <si>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</si>
  <si>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</si>
  <si>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</si>
  <si>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</si>
  <si>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</si>
  <si>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</si>
  <si>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</si>
  <si>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</si>
  <si>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</si>
  <si>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</si>
  <si>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</si>
  <si>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</si>
  <si>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</si>
  <si>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</si>
  <si>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</si>
  <si>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</si>
  <si>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</si>
  <si>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</si>
  <si>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</si>
  <si>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</si>
  <si>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</si>
  <si>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</si>
  <si>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</si>
  <si>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</si>
  <si>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</si>
  <si>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</si>
  <si>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</si>
  <si>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</si>
  <si>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</si>
  <si>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</si>
  <si>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</si>
  <si>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</si>
  <si>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</si>
  <si>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</si>
  <si>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</si>
  <si>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</si>
  <si>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</si>
  <si>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</si>
  <si>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</si>
  <si>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</si>
  <si>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</si>
  <si>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</si>
  <si>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</si>
  <si>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</si>
  <si>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</si>
  <si>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</si>
  <si>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</si>
  <si>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</si>
  <si>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</si>
  <si>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</si>
  <si>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</si>
  <si>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</si>
  <si>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</si>
  <si>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</si>
  <si>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</si>
  <si>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</si>
  <si>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</si>
  <si>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</si>
  <si>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</si>
  <si>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</si>
  <si>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</si>
  <si>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</si>
  <si>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</si>
  <si>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</si>
  <si>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</si>
  <si>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</si>
  <si>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</si>
  <si>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</si>
  <si>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</si>
  <si>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</si>
  <si>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</si>
  <si>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</si>
  <si>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</si>
  <si>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</si>
  <si>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</si>
  <si>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</si>
  <si>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</si>
  <si>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</si>
  <si>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</si>
  <si>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</si>
  <si>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</si>
  <si>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</si>
  <si>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</si>
  <si>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</si>
  <si>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</si>
  <si>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</si>
  <si>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</si>
  <si>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</si>
  <si>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</si>
  <si>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</si>
  <si>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</si>
  <si>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</si>
  <si>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</si>
  <si>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</si>
  <si>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</si>
  <si>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</si>
  <si>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</si>
  <si>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</si>
  <si>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</si>
  <si>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</si>
  <si>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</si>
  <si>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</si>
  <si>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</si>
  <si>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</si>
  <si>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</si>
  <si>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</si>
  <si>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</si>
  <si>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</si>
  <si>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</si>
  <si>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</si>
  <si>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</si>
  <si>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</si>
  <si>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</si>
  <si>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</si>
  <si>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</si>
  <si>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</si>
  <si>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</si>
  <si>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</si>
  <si>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</si>
  <si>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</si>
  <si>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</si>
  <si>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</si>
  <si>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</si>
  <si>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</si>
  <si>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</si>
  <si>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</si>
  <si>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</si>
  <si>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</si>
  <si>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</si>
  <si>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</si>
  <si>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</si>
  <si>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</si>
  <si>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</si>
  <si>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</si>
  <si>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</si>
  <si>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</si>
  <si>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</si>
  <si>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</si>
  <si>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</si>
  <si>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</si>
  <si>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</si>
  <si>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</si>
  <si>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</si>
  <si>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</si>
  <si>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</si>
  <si>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</si>
  <si>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</si>
  <si>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</si>
  <si>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</si>
  <si>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</si>
  <si>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</si>
  <si>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</si>
  <si>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</si>
  <si>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</si>
  <si>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</si>
  <si>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</si>
  <si>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</si>
  <si>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</si>
  <si>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</si>
  <si>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</si>
  <si>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</si>
  <si>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</si>
  <si>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</si>
  <si>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</si>
  <si>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</si>
  <si>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</si>
  <si>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</si>
  <si>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</si>
  <si>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</si>
  <si>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</si>
  <si>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</si>
  <si>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</si>
  <si>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</si>
  <si>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</si>
  <si>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</si>
  <si>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</si>
  <si>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</si>
  <si>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</si>
  <si>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</si>
  <si>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</si>
  <si>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</si>
  <si>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</si>
  <si>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</si>
  <si>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</si>
  <si>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</si>
  <si>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</si>
  <si>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</si>
  <si>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</si>
  <si>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</si>
  <si>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</si>
  <si>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</si>
  <si>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</si>
  <si>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</si>
  <si>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</si>
  <si>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</si>
  <si>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</si>
  <si>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</si>
  <si>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</si>
  <si>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</si>
  <si>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</si>
  <si>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</si>
  <si>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</si>
  <si>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</si>
  <si>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</si>
  <si>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</si>
  <si>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</si>
  <si>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</si>
  <si>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</si>
  <si>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</si>
  <si>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</si>
  <si>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</si>
  <si>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</si>
  <si>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</si>
  <si>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</si>
  <si>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</si>
  <si>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</si>
  <si>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</si>
  <si>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</si>
  <si>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</si>
  <si>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</si>
  <si>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</si>
  <si>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</si>
  <si>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</si>
  <si>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</si>
  <si>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</si>
  <si>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</si>
  <si>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</si>
  <si>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</si>
  <si>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</si>
  <si>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</si>
  <si>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</si>
  <si>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</si>
  <si>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</si>
  <si>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</si>
  <si>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</si>
  <si>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</si>
  <si>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</si>
  <si>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</si>
  <si>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</si>
  <si>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</si>
  <si>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</si>
  <si>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</si>
  <si>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</si>
  <si>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</si>
  <si>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</si>
  <si>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</si>
  <si>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</si>
  <si>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</si>
  <si>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</si>
  <si>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</si>
  <si>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</si>
  <si>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</si>
  <si>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</si>
  <si>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</si>
  <si>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</si>
  <si>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</si>
  <si>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</si>
  <si>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</si>
  <si>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</si>
  <si>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</si>
  <si>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</si>
  <si>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</si>
  <si>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</si>
  <si>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</si>
  <si>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</si>
  <si>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</si>
  <si>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</si>
  <si>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</si>
  <si>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</si>
  <si>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</si>
  <si>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</si>
  <si>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</si>
  <si>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</si>
  <si>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</si>
  <si>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</si>
  <si>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</si>
  <si>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</si>
  <si>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</si>
  <si>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</si>
  <si>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</si>
  <si>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</si>
  <si>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</si>
  <si>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</si>
  <si>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</si>
  <si>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</si>
  <si>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</si>
  <si>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</si>
  <si>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</si>
  <si>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</si>
  <si>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</si>
  <si>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</si>
  <si>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</si>
  <si>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</si>
  <si>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</si>
  <si>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</si>
  <si>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</si>
  <si>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</si>
  <si>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</si>
  <si>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</si>
  <si>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</si>
  <si>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</si>
  <si>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</si>
  <si>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</si>
  <si>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</si>
  <si>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</si>
  <si>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</si>
  <si>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</si>
  <si>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</si>
  <si>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</si>
  <si>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</si>
  <si>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</si>
  <si>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</si>
  <si>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</si>
  <si>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</si>
  <si>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</si>
  <si>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</si>
  <si>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</si>
  <si>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</si>
  <si>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</si>
  <si>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</si>
  <si>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</si>
  <si>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</si>
  <si>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</si>
  <si>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</si>
  <si>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</si>
  <si>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</si>
  <si>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</si>
  <si>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</si>
  <si>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</si>
  <si>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</si>
  <si>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</si>
  <si>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</si>
  <si>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</si>
  <si>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</si>
  <si>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</si>
  <si>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</si>
  <si>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</si>
  <si>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</si>
  <si>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</si>
  <si>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</si>
  <si>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</si>
  <si>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</si>
  <si>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</si>
  <si>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</si>
  <si>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</si>
  <si>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</si>
  <si>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</si>
  <si>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</si>
  <si>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</si>
  <si>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</si>
  <si>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</si>
  <si>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</si>
  <si>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</si>
  <si>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</si>
  <si>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</si>
  <si>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</si>
  <si>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</si>
  <si>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</si>
  <si>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</si>
  <si>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</si>
  <si>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</si>
  <si>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</si>
  <si>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</si>
  <si>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</si>
  <si>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</si>
  <si>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</si>
  <si>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</si>
  <si>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</si>
  <si>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</si>
  <si>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</si>
  <si>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</si>
  <si>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</si>
  <si>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</si>
  <si>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</si>
  <si>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</si>
  <si>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</si>
  <si>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</si>
  <si>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</si>
  <si>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</si>
  <si>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</si>
  <si>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</si>
  <si>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</si>
  <si>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</si>
  <si>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</si>
  <si>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</si>
  <si>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</si>
  <si>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</si>
  <si>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</si>
  <si>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</si>
  <si>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</si>
  <si>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</si>
  <si>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</si>
  <si>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</si>
  <si>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</si>
  <si>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</si>
  <si>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</si>
  <si>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</si>
  <si>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</si>
  <si>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</si>
  <si>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</si>
  <si>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</si>
  <si>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</si>
  <si>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</si>
  <si>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</si>
  <si>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</si>
  <si>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</si>
  <si>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</si>
  <si>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</si>
  <si>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</si>
  <si>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</si>
  <si>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</si>
  <si>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</si>
  <si>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</si>
  <si>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</si>
  <si>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</si>
  <si>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</si>
  <si>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</si>
  <si>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</si>
  <si>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</si>
  <si>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</si>
  <si>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</si>
  <si>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</si>
  <si>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</si>
  <si>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</si>
  <si>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</si>
  <si>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</si>
  <si>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</si>
  <si>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</si>
  <si>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</si>
  <si>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</si>
  <si>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</si>
  <si>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</si>
  <si>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</si>
  <si>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</si>
  <si>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</si>
  <si>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</si>
  <si>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</si>
  <si>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</si>
  <si>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</si>
  <si>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</si>
  <si>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</si>
  <si>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</si>
  <si>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</si>
  <si>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</si>
  <si>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</si>
  <si>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</si>
  <si>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</si>
  <si>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</si>
  <si>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</si>
  <si>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</si>
  <si>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</si>
  <si>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</si>
  <si>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</si>
  <si>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</si>
  <si>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</si>
  <si>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</si>
  <si>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</si>
  <si>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</si>
  <si>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</si>
  <si>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</si>
  <si>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</si>
  <si>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</si>
  <si>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</si>
  <si>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</si>
  <si>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</si>
  <si>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</si>
  <si>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</si>
  <si>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</si>
  <si>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</si>
  <si>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</si>
  <si>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</si>
  <si>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</si>
  <si>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</si>
  <si>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</si>
  <si>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</si>
  <si>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</si>
  <si>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</si>
  <si>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</si>
  <si>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</si>
  <si>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</si>
  <si>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</si>
  <si>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</si>
  <si>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</si>
  <si>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</si>
  <si>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</si>
  <si>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</si>
  <si>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</si>
  <si>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</si>
  <si>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</si>
  <si>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</si>
  <si>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</si>
  <si>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</si>
  <si>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</si>
  <si>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</si>
  <si>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</si>
  <si>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</si>
  <si>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</si>
  <si>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</si>
  <si>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</si>
  <si>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</si>
  <si>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</si>
  <si>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</si>
  <si>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</si>
  <si>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</si>
  <si>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</si>
  <si>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</si>
  <si>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</si>
  <si>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</si>
  <si>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</si>
  <si>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</si>
  <si>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</si>
  <si>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</si>
  <si>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</si>
  <si>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</si>
  <si>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</si>
  <si>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</si>
  <si>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</si>
  <si>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</si>
  <si>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</si>
  <si>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</si>
  <si>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</si>
  <si>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</si>
  <si>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</si>
  <si>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</si>
  <si>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</si>
  <si>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</si>
  <si>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</si>
  <si>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</si>
  <si>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</si>
  <si>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</si>
  <si>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</si>
  <si>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</si>
  <si>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</si>
  <si>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</si>
  <si>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</si>
  <si>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</si>
  <si>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</si>
  <si>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</si>
  <si>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</si>
  <si>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</si>
  <si>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</si>
  <si>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</si>
  <si>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</si>
  <si>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</si>
  <si>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</si>
  <si>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</si>
  <si>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</si>
  <si>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</si>
  <si>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</si>
  <si>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</si>
  <si>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</si>
  <si>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</si>
  <si>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</si>
  <si>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</si>
  <si>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</si>
  <si>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</si>
  <si>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</si>
  <si>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</si>
  <si>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</si>
  <si>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</si>
  <si>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</si>
  <si>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</si>
  <si>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</si>
  <si>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</si>
  <si>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</si>
  <si>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</si>
  <si>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</si>
  <si>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</si>
  <si>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</si>
  <si>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</si>
  <si>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</si>
  <si>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</si>
  <si>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</si>
  <si>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</si>
  <si>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</si>
  <si>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</si>
  <si>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</si>
  <si>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</si>
  <si>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</si>
  <si>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</si>
  <si>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</si>
  <si>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</si>
  <si>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</si>
  <si>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</si>
  <si>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</si>
  <si>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</si>
  <si>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</si>
  <si>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</si>
  <si>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</si>
  <si>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</si>
  <si>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</si>
  <si>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</si>
  <si>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</si>
  <si>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</si>
  <si>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</si>
  <si>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</si>
  <si>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</si>
  <si>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</si>
  <si>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</si>
  <si>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</si>
  <si>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</si>
  <si>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</si>
  <si>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</si>
  <si>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</si>
  <si>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</si>
  <si>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</si>
  <si>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</si>
  <si>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</si>
  <si>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</si>
  <si>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</si>
  <si>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</si>
  <si>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</si>
  <si>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</si>
  <si>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</si>
  <si>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</si>
  <si>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</si>
  <si>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</si>
  <si>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</si>
  <si>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</si>
  <si>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</si>
  <si>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</si>
  <si>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</si>
  <si>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</si>
  <si>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</si>
  <si>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</si>
  <si>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</si>
  <si>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</si>
  <si>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</si>
  <si>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</si>
  <si>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</si>
  <si>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</si>
  <si>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</si>
  <si>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</si>
  <si>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</si>
  <si>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</si>
  <si>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</si>
  <si>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</si>
  <si>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</si>
  <si>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</si>
  <si>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</si>
  <si>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</si>
  <si>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</si>
  <si>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</si>
  <si>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</si>
  <si>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</si>
  <si>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</si>
  <si>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</si>
  <si>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</si>
  <si>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</si>
  <si>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</si>
  <si>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</si>
  <si>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</si>
  <si>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</si>
  <si>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</si>
  <si>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</si>
  <si>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</si>
  <si>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</si>
  <si>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</si>
  <si>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</si>
  <si>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</si>
  <si>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</si>
  <si>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</si>
  <si>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</si>
  <si>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</si>
  <si>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</si>
  <si>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</si>
  <si>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</si>
  <si>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</si>
  <si>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</si>
  <si>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</si>
  <si>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</si>
  <si>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</si>
  <si>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</si>
  <si>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</si>
  <si>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</si>
  <si>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</si>
  <si>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</si>
  <si>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</si>
  <si>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</si>
  <si>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</si>
  <si>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</si>
  <si>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</si>
  <si>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</si>
  <si>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</si>
  <si>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</si>
  <si>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</si>
  <si>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</si>
  <si>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</si>
  <si>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</si>
  <si>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</si>
  <si>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</si>
  <si>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</si>
  <si>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</si>
  <si>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</si>
  <si>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</si>
  <si>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</si>
  <si>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</si>
  <si>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</si>
  <si>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</si>
  <si>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</si>
  <si>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</si>
  <si>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</si>
  <si>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</si>
  <si>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</si>
  <si>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</si>
  <si>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</si>
  <si>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</si>
  <si>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</si>
  <si>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</si>
  <si>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</si>
  <si>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</si>
  <si>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</si>
  <si>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</si>
  <si>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</si>
  <si>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</si>
  <si>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</si>
  <si>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</si>
  <si>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</si>
  <si>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</si>
  <si>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</si>
  <si>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</si>
  <si>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</si>
  <si>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</si>
  <si>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</si>
  <si>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</si>
  <si>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</si>
  <si>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</si>
  <si>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</si>
  <si>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</si>
  <si>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</si>
  <si>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</si>
  <si>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</si>
  <si>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</si>
  <si>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</si>
  <si>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</si>
  <si>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</si>
  <si>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</si>
  <si>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</si>
  <si>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</si>
  <si>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</si>
  <si>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</si>
  <si>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</si>
  <si>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</si>
  <si>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</si>
  <si>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</si>
  <si>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</si>
  <si>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</si>
  <si>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</si>
  <si>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</si>
  <si>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</si>
  <si>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</si>
  <si>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</si>
  <si>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</si>
  <si>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</si>
  <si>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</si>
  <si>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</si>
  <si>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</si>
  <si>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</si>
  <si>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</si>
  <si>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</si>
  <si>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</si>
  <si>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</si>
  <si>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</si>
  <si>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</si>
  <si>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</si>
  <si>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</si>
  <si>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</si>
  <si>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</si>
  <si>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</si>
  <si>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</si>
  <si>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</si>
  <si>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</si>
  <si>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</si>
  <si>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</si>
  <si>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</si>
  <si>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</si>
  <si>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</si>
  <si>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</si>
  <si>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</si>
  <si>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</si>
  <si>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</si>
  <si>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</si>
  <si>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</si>
  <si>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</si>
  <si>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</si>
  <si>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</si>
  <si>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</si>
  <si>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</si>
  <si>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</si>
  <si>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</si>
  <si>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</si>
  <si>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</si>
  <si>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</si>
  <si>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</si>
  <si>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</si>
  <si>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</si>
  <si>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</si>
  <si>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</si>
  <si>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</si>
  <si>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</si>
  <si>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</si>
  <si>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</si>
  <si>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</si>
  <si>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</si>
  <si>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</si>
  <si>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</si>
  <si>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</si>
  <si>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</si>
  <si>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</si>
  <si>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</si>
  <si>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</si>
  <si>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</si>
  <si>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</si>
  <si>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</si>
  <si>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</si>
  <si>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</si>
  <si>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</si>
  <si>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</si>
  <si>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</si>
  <si>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</si>
  <si>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</si>
  <si>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</si>
  <si>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</si>
  <si>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</si>
  <si>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</si>
  <si>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</si>
  <si>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</si>
  <si>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</si>
  <si>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</si>
  <si>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</si>
  <si>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</si>
  <si>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</si>
  <si>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</si>
  <si>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</si>
  <si>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</si>
  <si>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</si>
  <si>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</si>
  <si>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</si>
  <si>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</si>
  <si>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</si>
  <si>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</si>
  <si>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</si>
  <si>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</si>
  <si>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</si>
  <si>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</si>
  <si>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</si>
  <si>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</si>
  <si>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</si>
  <si>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</si>
  <si>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</si>
  <si>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</si>
  <si>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</si>
  <si>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</si>
  <si>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</si>
  <si>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</si>
  <si>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</si>
  <si>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</si>
  <si>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</si>
  <si>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</si>
  <si>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</si>
  <si>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</si>
  <si>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</si>
  <si>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</si>
  <si>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</si>
  <si>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</si>
  <si>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</si>
  <si>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</si>
  <si>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</si>
  <si>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</si>
  <si>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</si>
  <si>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</si>
  <si>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</si>
  <si>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</si>
  <si>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</si>
  <si>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</si>
  <si>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</si>
  <si>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</si>
  <si>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</si>
  <si>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</si>
  <si>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</si>
  <si>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</si>
  <si>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</si>
  <si>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</si>
  <si>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</si>
  <si>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</si>
  <si>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</si>
  <si>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</si>
  <si>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</si>
  <si>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</si>
  <si>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</si>
  <si>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</si>
  <si>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</si>
  <si>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</si>
  <si>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</si>
  <si>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</si>
  <si>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</si>
  <si>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</si>
  <si>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</si>
  <si>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</si>
  <si>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</si>
  <si>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</si>
  <si>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</si>
  <si>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</si>
  <si>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</si>
  <si>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</si>
  <si>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</si>
  <si>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</si>
  <si>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</si>
  <si>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</si>
  <si>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</si>
  <si>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</si>
  <si>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</si>
  <si>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</si>
  <si>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</si>
  <si>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</si>
  <si>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</si>
  <si>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</si>
  <si>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</si>
  <si>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</si>
  <si>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</si>
  <si>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</si>
  <si>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</si>
  <si>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</si>
  <si>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</si>
  <si>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</si>
  <si>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</si>
  <si>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</si>
  <si>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</si>
  <si>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</si>
  <si>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</si>
  <si>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</si>
  <si>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</si>
  <si>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</si>
  <si>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</si>
  <si>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</si>
  <si>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</si>
  <si>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</si>
  <si>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</si>
  <si>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</si>
  <si>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</si>
  <si>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</si>
  <si>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</si>
  <si>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</si>
  <si>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</si>
  <si>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</si>
  <si>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</si>
  <si>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</si>
  <si>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</si>
  <si>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</si>
  <si>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</si>
  <si>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</si>
  <si>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</si>
  <si>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</si>
  <si>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</si>
  <si>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</si>
  <si>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</si>
  <si>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</si>
  <si>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</si>
  <si>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</si>
  <si>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</si>
  <si>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</si>
  <si>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</si>
  <si>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</si>
  <si>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</si>
  <si>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</si>
  <si>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</si>
  <si>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</si>
  <si>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</si>
  <si>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</si>
  <si>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</si>
  <si>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</si>
  <si>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</si>
  <si>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</si>
  <si>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</si>
  <si>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</si>
  <si>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</si>
  <si>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</si>
  <si>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</si>
  <si>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</si>
  <si>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</si>
  <si>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</si>
  <si>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</si>
  <si>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</si>
  <si>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</si>
  <si>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</si>
  <si>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</si>
  <si>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</si>
  <si>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</si>
  <si>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</si>
  <si>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</si>
  <si>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</si>
  <si>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</si>
  <si>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</si>
  <si>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</si>
  <si>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</si>
  <si>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</si>
  <si>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</si>
  <si>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</si>
  <si>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</si>
  <si>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</si>
  <si>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</si>
  <si>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</si>
  <si>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</si>
  <si>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</si>
  <si>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</si>
  <si>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</si>
  <si>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</si>
  <si>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</si>
  <si>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</si>
  <si>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</si>
  <si>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</si>
  <si>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</si>
  <si>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</si>
  <si>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</si>
  <si>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</si>
  <si>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</si>
  <si>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</si>
  <si>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</si>
  <si>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</si>
  <si>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</si>
  <si>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</si>
  <si>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</si>
  <si>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</si>
  <si>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</si>
  <si>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</si>
  <si>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</si>
  <si>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</si>
  <si>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</si>
  <si>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</si>
  <si>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</si>
  <si>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</si>
  <si>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</si>
  <si>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</si>
  <si>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</si>
  <si>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</si>
  <si>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</si>
  <si>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</si>
  <si>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</si>
  <si>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</si>
  <si>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</si>
  <si>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</si>
  <si>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</si>
  <si>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</si>
  <si>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</si>
  <si>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</si>
  <si>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</si>
  <si>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</si>
  <si>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</si>
  <si>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</si>
  <si>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</si>
  <si>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</si>
  <si>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</si>
  <si>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</si>
  <si>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</si>
  <si>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</si>
  <si>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</si>
  <si>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</si>
  <si>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</si>
  <si>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</si>
  <si>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</si>
  <si>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</si>
  <si>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</si>
  <si>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</si>
  <si>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</si>
  <si>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</si>
  <si>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</si>
  <si>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</si>
  <si>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</si>
  <si>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</si>
  <si>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</si>
  <si>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</si>
  <si>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</si>
  <si>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</si>
  <si>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</si>
  <si>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</si>
  <si>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</si>
  <si>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</si>
  <si>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</si>
  <si>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</si>
  <si>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</si>
  <si>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</si>
  <si>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</si>
  <si>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</si>
  <si>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</si>
  <si>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</si>
  <si>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</si>
  <si>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</si>
  <si>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</si>
  <si>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</si>
  <si>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</si>
  <si>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</si>
  <si>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</si>
  <si>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</si>
  <si>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</si>
  <si>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</si>
  <si>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</si>
  <si>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</si>
  <si>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</si>
  <si>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</si>
  <si>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</si>
  <si>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</si>
  <si>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</si>
  <si>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</si>
  <si>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</si>
  <si>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</si>
  <si>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</si>
  <si>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</si>
  <si>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</si>
  <si>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</si>
  <si>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</si>
  <si>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</si>
  <si>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</si>
  <si>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</si>
  <si>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</si>
  <si>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</si>
  <si>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</si>
  <si>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</si>
  <si>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</si>
  <si>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</si>
  <si>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</si>
  <si>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</si>
  <si>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</si>
  <si>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</si>
  <si>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</si>
  <si>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</si>
  <si>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</si>
  <si>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</si>
  <si>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</si>
  <si>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</si>
  <si>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</si>
  <si>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</si>
  <si>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</si>
  <si>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</si>
  <si>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</si>
  <si>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</si>
  <si>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</si>
  <si>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</si>
  <si>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</si>
  <si>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</si>
  <si>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</si>
  <si>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</si>
  <si>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</si>
  <si>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</si>
  <si>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</si>
  <si>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</si>
  <si>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</si>
  <si>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</si>
  <si>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</si>
  <si>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</si>
  <si>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</si>
  <si>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</si>
  <si>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</si>
  <si>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</si>
  <si>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</si>
  <si>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</si>
  <si>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</si>
  <si>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</si>
  <si>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</si>
  <si>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</si>
  <si>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</si>
  <si>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</si>
  <si>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</si>
  <si>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</si>
  <si>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</si>
  <si>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</si>
  <si>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</si>
  <si>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</si>
  <si>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</si>
  <si>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</si>
  <si>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</si>
  <si>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</si>
  <si>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</si>
  <si>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</si>
  <si>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</si>
  <si>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</si>
  <si>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</si>
  <si>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</si>
  <si>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</si>
  <si>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</si>
  <si>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</si>
  <si>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</si>
  <si>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</si>
  <si>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</si>
  <si>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</si>
  <si>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</si>
  <si>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</si>
  <si>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</si>
  <si>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</si>
  <si>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</si>
  <si>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</si>
  <si>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</si>
  <si>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</si>
  <si>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</si>
  <si>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</si>
  <si>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</si>
  <si>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</si>
  <si>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</si>
  <si>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</si>
  <si>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</si>
  <si>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</si>
  <si>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</si>
  <si>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</si>
  <si>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</si>
  <si>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</si>
  <si>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</si>
  <si>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</si>
  <si>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</si>
  <si>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</si>
  <si>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</si>
  <si>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</si>
  <si>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</si>
  <si>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</si>
  <si>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</si>
  <si>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</si>
  <si>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</si>
  <si>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</si>
  <si>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</si>
  <si>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</si>
  <si>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</si>
  <si>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</si>
  <si>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</si>
  <si>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</si>
  <si>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</si>
  <si>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</si>
  <si>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</si>
  <si>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</si>
  <si>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</si>
  <si>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</si>
  <si>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</si>
  <si>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</si>
  <si>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</si>
  <si>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</si>
  <si>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</si>
  <si>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</si>
  <si>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</si>
  <si>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</si>
  <si>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</si>
  <si>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</si>
  <si>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</si>
  <si>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</si>
  <si>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</si>
  <si>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</si>
  <si>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</si>
  <si>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</si>
  <si>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</si>
  <si>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</si>
  <si>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</si>
  <si>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</si>
  <si>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</si>
  <si>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</si>
  <si>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</si>
  <si>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</si>
  <si>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</si>
  <si>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</si>
  <si>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</si>
  <si>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</si>
  <si>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</si>
  <si>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</si>
  <si>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</si>
  <si>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</si>
  <si>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</si>
  <si>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</si>
  <si>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</si>
  <si>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</si>
  <si>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</si>
  <si>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</si>
  <si>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</si>
  <si>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</si>
  <si>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</si>
  <si>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</si>
  <si>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</si>
  <si>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</si>
  <si>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</si>
  <si>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</si>
  <si>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</si>
  <si>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</si>
  <si>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</si>
  <si>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</si>
  <si>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</si>
  <si>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</si>
  <si>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</si>
  <si>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</si>
  <si>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</si>
  <si>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</si>
  <si>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</si>
  <si>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</si>
  <si>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</si>
  <si>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</si>
  <si>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</si>
  <si>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</si>
  <si>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</si>
  <si>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</si>
  <si>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</si>
  <si>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</si>
  <si>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</si>
  <si>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</si>
  <si>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</si>
  <si>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</si>
  <si>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</si>
  <si>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</si>
  <si>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</si>
  <si>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</si>
  <si>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</si>
  <si>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</si>
  <si>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</si>
  <si>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</si>
  <si>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</si>
  <si>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</si>
  <si>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</si>
  <si>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</si>
  <si>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</si>
  <si>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</si>
  <si>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</si>
  <si>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</si>
  <si>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</si>
  <si>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</si>
  <si>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</si>
  <si>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</si>
  <si>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</si>
  <si>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</si>
  <si>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</si>
  <si>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</si>
  <si>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</si>
  <si>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</si>
  <si>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</si>
  <si>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</si>
  <si>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</si>
  <si>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</si>
  <si>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</si>
  <si>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</si>
  <si>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</si>
  <si>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</si>
  <si>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</si>
  <si>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</si>
  <si>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</si>
  <si>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</si>
  <si>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</si>
  <si>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</si>
  <si>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</si>
  <si>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</si>
  <si>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</si>
  <si>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</si>
  <si>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</si>
  <si>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</si>
  <si>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</si>
  <si>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</si>
  <si>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</si>
  <si>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</si>
  <si>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</si>
  <si>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</si>
  <si>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</si>
  <si>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</si>
  <si>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</si>
  <si>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</si>
  <si>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</si>
  <si>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</si>
  <si>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</si>
  <si>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</si>
  <si>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</si>
  <si>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</si>
  <si>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</si>
  <si>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</si>
  <si>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</si>
  <si>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</si>
  <si>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</si>
  <si>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</si>
  <si>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</si>
  <si>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</si>
  <si>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</si>
  <si>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</si>
  <si>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</si>
  <si>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</si>
  <si>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</si>
  <si>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</si>
  <si>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</si>
  <si>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</si>
  <si>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</si>
  <si>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</si>
  <si>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</si>
  <si>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</si>
  <si>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</si>
  <si>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</si>
  <si>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</si>
  <si>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</si>
  <si>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</si>
  <si>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</si>
  <si>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</si>
  <si>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</si>
  <si>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</si>
  <si>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</si>
  <si>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</si>
  <si>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</si>
  <si>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</si>
  <si>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</si>
  <si>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</si>
  <si>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</si>
  <si>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</si>
  <si>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</si>
  <si>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</si>
  <si>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</si>
  <si>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</si>
  <si>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</si>
  <si>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</si>
  <si>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</si>
  <si>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</si>
  <si>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</si>
  <si>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</si>
  <si>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</si>
  <si>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</si>
  <si>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</si>
  <si>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</si>
  <si>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</si>
  <si>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</si>
  <si>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</si>
  <si>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</si>
  <si>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</si>
  <si>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</si>
  <si>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</si>
  <si>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</si>
  <si>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</si>
  <si>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</si>
  <si>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</si>
  <si>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</si>
  <si>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</si>
  <si>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</si>
  <si>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</si>
  <si>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</si>
  <si>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</si>
  <si>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</si>
  <si>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</si>
  <si>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</si>
  <si>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</si>
  <si>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</si>
  <si>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</si>
  <si>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</si>
  <si>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</si>
  <si>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</si>
  <si>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</si>
  <si>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</si>
  <si>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</si>
  <si>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</si>
  <si>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</si>
  <si>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</si>
  <si>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</si>
  <si>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</si>
  <si>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</si>
  <si>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</si>
  <si>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</si>
  <si>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</si>
  <si>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</si>
  <si>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</si>
  <si>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</si>
  <si>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</si>
  <si>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</si>
  <si>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</si>
  <si>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</si>
  <si>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</si>
  <si>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</si>
  <si>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</si>
  <si>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</si>
  <si>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</si>
  <si>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</si>
  <si>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</si>
  <si>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</si>
  <si>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</si>
  <si>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</si>
  <si>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</si>
  <si>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</si>
  <si>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</si>
  <si>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</si>
  <si>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</si>
  <si>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</si>
  <si>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</si>
  <si>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</si>
  <si>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</si>
  <si>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</si>
  <si>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</si>
  <si>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</si>
  <si>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</si>
  <si>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</si>
  <si>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</si>
  <si>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</si>
  <si>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</si>
  <si>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</si>
  <si>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</si>
  <si>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</si>
  <si>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</si>
  <si>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</si>
  <si>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</si>
  <si>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</si>
  <si>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</si>
  <si>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</si>
  <si>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</si>
  <si>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</si>
  <si>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</si>
  <si>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</si>
  <si>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</si>
  <si>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</si>
  <si>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</si>
  <si>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</si>
  <si>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</si>
  <si>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</si>
  <si>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</si>
  <si>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</si>
  <si>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</si>
  <si>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</si>
  <si>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</si>
  <si>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</si>
  <si>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</si>
  <si>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</si>
  <si>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</si>
  <si>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</si>
  <si>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</si>
  <si>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</si>
  <si>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</si>
  <si>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</si>
  <si>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</si>
  <si>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</si>
  <si>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</si>
  <si>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</si>
  <si>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</si>
  <si>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</si>
  <si>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</si>
  <si>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</si>
  <si>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</si>
  <si>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</si>
  <si>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</si>
  <si>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</si>
  <si>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</si>
  <si>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</si>
  <si>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</si>
  <si>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</si>
  <si>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</si>
  <si>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</si>
  <si>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</si>
  <si>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</si>
  <si>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</si>
  <si>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</si>
  <si>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</si>
  <si>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</si>
  <si>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</si>
  <si>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</si>
  <si>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</si>
  <si>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</si>
  <si>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</si>
  <si>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</si>
  <si>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</si>
  <si>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</si>
  <si>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</si>
  <si>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</si>
  <si>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</si>
  <si>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</si>
  <si>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</si>
  <si>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</si>
  <si>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</si>
  <si>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</si>
  <si>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</si>
  <si>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</si>
  <si>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</si>
  <si>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</si>
  <si>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</si>
  <si>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</si>
  <si>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</si>
  <si>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</si>
  <si>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</si>
  <si>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</si>
  <si>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</si>
  <si>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</si>
  <si>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</si>
  <si>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</si>
  <si>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</si>
  <si>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</si>
  <si>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</si>
  <si>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</si>
  <si>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</si>
  <si>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</si>
  <si>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</si>
  <si>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</si>
  <si>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</si>
  <si>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</si>
  <si>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</si>
  <si>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</si>
  <si>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</si>
  <si>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</si>
  <si>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</si>
  <si>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</si>
  <si>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</si>
  <si>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</si>
  <si>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</si>
  <si>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</si>
  <si>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</si>
  <si>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</si>
  <si>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</si>
  <si>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</si>
  <si>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</si>
  <si>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</si>
  <si>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</si>
  <si>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</si>
  <si>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</si>
  <si>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</si>
  <si>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</si>
  <si>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</si>
  <si>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</si>
  <si>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</si>
  <si>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</si>
  <si>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</si>
  <si>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</si>
  <si>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</si>
  <si>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</si>
  <si>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</si>
  <si>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</si>
  <si>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</si>
  <si>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</si>
  <si>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</si>
  <si>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</si>
  <si>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</si>
  <si>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</si>
  <si>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</si>
  <si>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</si>
  <si>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</si>
  <si>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</si>
  <si>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</si>
  <si>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</si>
  <si>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</si>
  <si>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</si>
  <si>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</si>
  <si>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</si>
  <si>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</si>
  <si>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</si>
  <si>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</si>
  <si>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</si>
  <si>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</si>
  <si>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</si>
  <si>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</si>
  <si>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</si>
  <si>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</si>
  <si>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</si>
  <si>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</si>
  <si>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</si>
  <si>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</si>
  <si>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</si>
  <si>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</si>
  <si>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</si>
  <si>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</si>
  <si>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</si>
  <si>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</si>
  <si>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</si>
  <si>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</si>
  <si>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</si>
  <si>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</si>
  <si>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</si>
  <si>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</si>
  <si>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</si>
  <si>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</si>
  <si>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</si>
  <si>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</si>
  <si>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</si>
  <si>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</si>
  <si>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</si>
  <si>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</si>
  <si>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</si>
  <si>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</si>
  <si>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</si>
  <si>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</si>
  <si>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</si>
  <si>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</si>
  <si>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</si>
  <si>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</si>
  <si>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</si>
  <si>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</si>
  <si>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</si>
  <si>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</si>
  <si>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</si>
  <si>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</si>
  <si>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</si>
  <si>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</si>
  <si>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</si>
  <si>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</si>
  <si>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</si>
  <si>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</si>
  <si>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</si>
  <si>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</si>
  <si>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</si>
  <si>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</si>
  <si>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</si>
  <si>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</si>
  <si>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</si>
  <si>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</si>
  <si>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</si>
  <si>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</si>
  <si>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</si>
  <si>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</si>
  <si>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</si>
  <si>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</si>
  <si>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</si>
  <si>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</si>
  <si>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</si>
  <si>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</si>
  <si>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</si>
  <si>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</si>
  <si>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</si>
  <si>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</si>
  <si>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</si>
  <si>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</si>
  <si>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</si>
  <si>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</si>
  <si>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</si>
  <si>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</si>
  <si>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</si>
  <si>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</si>
  <si>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</si>
  <si>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</si>
  <si>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</si>
  <si>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</si>
  <si>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</si>
  <si>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</si>
  <si>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</si>
  <si>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</si>
  <si>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</si>
  <si>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</si>
  <si>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</si>
  <si>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</si>
  <si>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</si>
  <si>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</si>
  <si>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</si>
  <si>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</si>
  <si>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</si>
  <si>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</si>
  <si>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</si>
  <si>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</si>
  <si>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</si>
  <si>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</si>
  <si>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</si>
  <si>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</si>
  <si>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</si>
  <si>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</si>
  <si>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</si>
  <si>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</si>
  <si>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</si>
  <si>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</si>
  <si>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</si>
  <si>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</si>
  <si>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</si>
  <si>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</si>
  <si>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</si>
  <si>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</si>
  <si>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</si>
  <si>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</si>
  <si>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</si>
  <si>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</si>
  <si>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</si>
  <si>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</si>
  <si>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</si>
  <si>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</si>
  <si>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</si>
  <si>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</si>
  <si>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</si>
  <si>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</si>
  <si>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</si>
  <si>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</si>
  <si>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</si>
  <si>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</si>
  <si>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</si>
  <si>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</si>
  <si>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</si>
  <si>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</si>
  <si>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</si>
  <si>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</si>
  <si>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</si>
  <si>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</si>
  <si>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</si>
  <si>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</si>
  <si>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</si>
  <si>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</si>
  <si>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</si>
  <si>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</si>
  <si>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</si>
  <si>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</si>
  <si>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</si>
  <si>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</si>
  <si>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</si>
  <si>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</si>
  <si>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</si>
  <si>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</si>
  <si>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</si>
  <si>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</si>
  <si>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</si>
  <si>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</si>
  <si>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</si>
  <si>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</si>
  <si>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</si>
  <si>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</si>
  <si>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</si>
  <si>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</si>
  <si>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</si>
  <si>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</si>
  <si>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</si>
  <si>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</si>
  <si>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</si>
  <si>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</si>
  <si>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</si>
  <si>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</si>
  <si>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</si>
  <si>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</si>
  <si>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</si>
  <si>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</si>
  <si>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</si>
  <si>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</si>
  <si>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</si>
  <si>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</si>
  <si>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</si>
  <si>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</si>
  <si>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</si>
  <si>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</si>
  <si>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</si>
  <si>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</si>
  <si>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</si>
  <si>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</si>
  <si>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</si>
  <si>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</si>
  <si>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</si>
  <si>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</si>
  <si>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</si>
  <si>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</si>
  <si>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</si>
  <si>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</si>
  <si>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</si>
  <si>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</si>
  <si>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</si>
  <si>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</si>
  <si>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</si>
  <si>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</si>
  <si>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</si>
  <si>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</si>
  <si>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</si>
  <si>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</si>
  <si>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</si>
  <si>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</si>
  <si>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</si>
  <si>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</si>
  <si>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</si>
  <si>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</si>
  <si>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</si>
  <si>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</si>
  <si>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</si>
  <si>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</si>
  <si>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</si>
  <si>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</si>
  <si>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</si>
  <si>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</si>
  <si>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</si>
  <si>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</si>
  <si>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</si>
  <si>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</si>
  <si>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</si>
  <si>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</si>
  <si>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</si>
  <si>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</si>
  <si>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</si>
  <si>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</si>
  <si>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</si>
  <si>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</si>
  <si>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</si>
  <si>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</si>
  <si>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</si>
  <si>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</si>
  <si>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</si>
  <si>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</si>
  <si>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</si>
  <si>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</si>
  <si>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</si>
  <si>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</si>
  <si>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</si>
  <si>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</si>
  <si>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</si>
  <si>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</si>
  <si>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</si>
  <si>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</si>
  <si>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</si>
  <si>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</si>
  <si>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</si>
  <si>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</si>
  <si>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</si>
  <si>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</si>
  <si>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</si>
  <si>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</si>
  <si>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</si>
  <si>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</si>
  <si>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</si>
  <si>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</si>
  <si>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</si>
  <si>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</si>
  <si>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</si>
  <si>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</si>
  <si>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</si>
  <si>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</si>
  <si>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</si>
  <si>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</si>
  <si>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</si>
  <si>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</si>
  <si>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</si>
  <si>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</si>
  <si>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</si>
  <si>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</si>
  <si>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</si>
  <si>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</si>
  <si>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</si>
  <si>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</si>
  <si>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</si>
  <si>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</si>
  <si>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</si>
  <si>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</si>
  <si>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</si>
  <si>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</si>
  <si>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</si>
  <si>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</si>
  <si>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</si>
  <si>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</si>
  <si>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</si>
  <si>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</si>
  <si>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</si>
  <si>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</si>
  <si>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</si>
  <si>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</si>
  <si>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</si>
  <si>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</si>
  <si>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</si>
  <si>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</si>
  <si>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</si>
  <si>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</si>
  <si>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</si>
  <si>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</si>
  <si>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</si>
  <si>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</si>
  <si>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</si>
  <si>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</si>
  <si>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</si>
  <si>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</si>
  <si>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</si>
  <si>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</si>
  <si>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</si>
  <si>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</si>
  <si>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</si>
  <si>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</si>
  <si>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</si>
  <si>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</si>
  <si>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</si>
  <si>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</si>
  <si>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</si>
  <si>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</si>
  <si>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</si>
  <si>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</si>
  <si>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</si>
  <si>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</si>
  <si>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</si>
  <si>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</si>
  <si>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</si>
  <si>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</si>
  <si>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</si>
  <si>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</si>
  <si>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</si>
  <si>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</si>
  <si>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</si>
  <si>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</si>
  <si>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</si>
  <si>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</si>
  <si>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</si>
  <si>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</si>
  <si>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</si>
  <si>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</si>
  <si>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</si>
  <si>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</si>
  <si>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</si>
  <si>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</si>
  <si>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</si>
  <si>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</si>
  <si>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</si>
  <si>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</si>
  <si>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</si>
  <si>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</si>
  <si>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</si>
  <si>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</si>
  <si>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</si>
  <si>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</si>
  <si>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</si>
  <si>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</si>
  <si>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</si>
  <si>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</si>
  <si>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</si>
  <si>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</si>
  <si>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</si>
  <si>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</si>
  <si>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</si>
  <si>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</si>
  <si>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</si>
  <si>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</si>
  <si>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</si>
  <si>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</si>
  <si>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</si>
  <si>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</si>
  <si>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</si>
  <si>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</si>
  <si>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</si>
  <si>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</si>
  <si>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</si>
  <si>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</si>
  <si>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</si>
  <si>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</si>
  <si>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</si>
  <si>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</si>
  <si>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</si>
  <si>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</si>
  <si>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</si>
  <si>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</si>
  <si>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</si>
  <si>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</si>
  <si>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</si>
  <si>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</si>
  <si>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</si>
  <si>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</si>
  <si>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</si>
  <si>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</si>
  <si>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</si>
  <si>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</si>
  <si>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</si>
  <si>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</si>
  <si>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</si>
  <si>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</si>
  <si>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</si>
  <si>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</si>
  <si>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</si>
  <si>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</si>
  <si>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</si>
  <si>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</si>
  <si>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</si>
  <si>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</si>
  <si>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</si>
  <si>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</si>
  <si>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</si>
  <si>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</si>
  <si>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</si>
  <si>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</si>
  <si>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</si>
  <si>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</si>
  <si>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</si>
  <si>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</si>
  <si>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</si>
  <si>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</si>
  <si>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</si>
  <si>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</si>
  <si>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</si>
  <si>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</si>
  <si>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</si>
  <si>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</si>
  <si>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</si>
  <si>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</si>
  <si>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</si>
  <si>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</si>
  <si>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</si>
  <si>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</si>
  <si>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</si>
  <si>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</si>
  <si>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</si>
  <si>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</si>
  <si>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</si>
  <si>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</si>
  <si>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</si>
  <si>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</si>
  <si>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</si>
  <si>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</si>
  <si>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</si>
  <si>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</si>
  <si>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</si>
  <si>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</si>
  <si>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</si>
  <si>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</si>
  <si>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</si>
  <si>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</si>
  <si>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</si>
  <si>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</si>
  <si>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</si>
  <si>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</si>
  <si>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</si>
  <si>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</si>
  <si>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</si>
  <si>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</si>
  <si>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</si>
  <si>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</si>
  <si>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</si>
  <si>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</si>
  <si>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</si>
  <si>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</si>
  <si>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</si>
  <si>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</si>
  <si>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</si>
  <si>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</si>
  <si>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</si>
  <si>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</si>
  <si>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</si>
  <si>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</si>
  <si>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</si>
  <si>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</si>
  <si>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</si>
  <si>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</si>
  <si>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</si>
  <si>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</si>
  <si>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</si>
  <si>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</si>
  <si>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</si>
  <si>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</si>
  <si>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</si>
  <si>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</si>
  <si>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</si>
  <si>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</si>
  <si>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</si>
  <si>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</si>
  <si>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</si>
  <si>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</si>
  <si>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</si>
  <si>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</si>
  <si>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</si>
  <si>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</si>
  <si>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</si>
  <si>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</si>
  <si>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</si>
  <si>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</si>
  <si>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</si>
  <si>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</si>
  <si>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</si>
  <si>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</si>
  <si>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</si>
  <si>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</si>
  <si>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</si>
  <si>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</si>
  <si>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</si>
  <si>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</si>
  <si>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</si>
  <si>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</si>
  <si>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</si>
  <si>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</si>
  <si>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</si>
  <si>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</si>
  <si>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</si>
  <si>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</si>
  <si>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</si>
  <si>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</si>
  <si>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</si>
  <si>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</si>
  <si>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</si>
  <si>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</si>
  <si>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</si>
  <si>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</si>
  <si>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</si>
  <si>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</si>
  <si>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</si>
  <si>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</si>
  <si>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</si>
  <si>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</si>
  <si>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</si>
  <si>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</si>
  <si>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</si>
  <si>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</si>
  <si>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</si>
  <si>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</si>
  <si>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</si>
  <si>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</si>
  <si>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</si>
  <si>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</si>
  <si>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</si>
  <si>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</si>
  <si>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</si>
  <si>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</si>
  <si>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</si>
  <si>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</si>
  <si>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</si>
  <si>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</si>
  <si>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</si>
  <si>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</si>
  <si>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</si>
  <si>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</si>
  <si>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</si>
  <si>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</si>
  <si>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</si>
  <si>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</si>
  <si>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</si>
  <si>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</si>
  <si>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</si>
  <si>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</si>
  <si>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</si>
  <si>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</si>
  <si>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</si>
  <si>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</si>
  <si>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</si>
  <si>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</si>
  <si>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</si>
  <si>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</si>
  <si>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</si>
  <si>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</si>
  <si>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</si>
  <si>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</si>
  <si>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</si>
  <si>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</si>
  <si>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</si>
  <si>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</si>
  <si>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</si>
  <si>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</si>
  <si>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</si>
  <si>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</si>
  <si>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</si>
  <si>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</si>
  <si>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</si>
  <si>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</si>
  <si>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</si>
  <si>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</si>
  <si>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</si>
  <si>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</si>
  <si>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</si>
  <si>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</si>
  <si>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</si>
  <si>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</si>
  <si>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</si>
  <si>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</si>
  <si>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</si>
  <si>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</si>
  <si>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</si>
  <si>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</si>
  <si>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</si>
  <si>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</si>
  <si>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</si>
  <si>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</si>
  <si>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</si>
  <si>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</si>
  <si>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</si>
  <si>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</si>
  <si>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</si>
  <si>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</si>
  <si>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</si>
  <si>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</si>
  <si>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</si>
  <si>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</si>
  <si>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</si>
  <si>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</si>
  <si>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</si>
  <si>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</si>
  <si>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</si>
  <si>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</si>
  <si>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</si>
  <si>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</si>
  <si>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</si>
  <si>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</si>
  <si>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</si>
  <si>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</si>
  <si>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</si>
  <si>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</si>
  <si>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</si>
  <si>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</si>
  <si>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</si>
  <si>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</si>
  <si>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</si>
  <si>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</si>
  <si>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</si>
  <si>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</si>
  <si>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</si>
  <si>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</si>
  <si>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</si>
  <si>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</si>
  <si>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</si>
  <si>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</si>
  <si>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</si>
  <si>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</si>
  <si>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</si>
  <si>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</si>
  <si>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</si>
  <si>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</si>
  <si>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</si>
  <si>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</si>
  <si>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</si>
  <si>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</si>
  <si>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</si>
  <si>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</si>
  <si>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</si>
  <si>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</si>
  <si>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</si>
  <si>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</si>
  <si>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</si>
  <si>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</si>
  <si>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</si>
  <si>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</si>
  <si>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</si>
  <si>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</si>
  <si>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</si>
  <si>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</si>
  <si>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</si>
  <si>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</si>
  <si>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</si>
  <si>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</si>
  <si>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</si>
  <si>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</si>
  <si>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</si>
  <si>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</si>
  <si>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</si>
  <si>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</si>
  <si>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</si>
  <si>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</si>
  <si>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</si>
  <si>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</si>
  <si>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</si>
  <si>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</si>
  <si>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</si>
  <si>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</si>
  <si>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</si>
  <si>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</si>
  <si>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</si>
  <si>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</si>
  <si>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</si>
  <si>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</si>
  <si>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</si>
  <si>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</si>
  <si>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</si>
  <si>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</si>
  <si>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</si>
  <si>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</si>
  <si>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</si>
  <si>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</si>
  <si>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</si>
  <si>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</si>
  <si>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</si>
  <si>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</si>
  <si>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</si>
  <si>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</si>
  <si>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</si>
  <si>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</si>
  <si>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</si>
  <si>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</si>
  <si>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</si>
  <si>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</si>
  <si>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</si>
  <si>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</si>
  <si>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</si>
  <si>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</si>
  <si>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</si>
  <si>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</si>
  <si>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</si>
  <si>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</si>
  <si>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</si>
  <si>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</si>
  <si>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</si>
  <si>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</si>
  <si>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</si>
  <si>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</si>
  <si>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</si>
  <si>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</si>
  <si>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</si>
  <si>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</si>
  <si>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</si>
  <si>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</si>
  <si>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</si>
  <si>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</si>
  <si>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</si>
  <si>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</si>
  <si>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</si>
  <si>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</si>
  <si>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</si>
  <si>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</si>
  <si>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</si>
  <si>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</si>
  <si>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</si>
  <si>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</si>
  <si>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</si>
  <si>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</si>
  <si>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</si>
  <si>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</si>
  <si>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</si>
  <si>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</si>
  <si>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</si>
  <si>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</si>
  <si>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</si>
  <si>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</si>
  <si>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</si>
  <si>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</si>
  <si>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</si>
  <si>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</si>
  <si>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</si>
  <si>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</si>
  <si>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</si>
  <si>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</si>
  <si>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</si>
  <si>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</si>
  <si>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</si>
  <si>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</si>
  <si>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</si>
  <si>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</si>
  <si>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</si>
  <si>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</si>
  <si>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</si>
  <si>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</si>
  <si>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</si>
  <si>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</si>
  <si>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</si>
  <si>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</si>
  <si>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</si>
  <si>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</si>
  <si>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</si>
  <si>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</si>
  <si>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</si>
  <si>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</si>
  <si>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</si>
  <si>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</si>
  <si>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</si>
  <si>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</si>
  <si>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</si>
  <si>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</si>
  <si>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</si>
  <si>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</si>
  <si>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</si>
  <si>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</si>
  <si>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</si>
  <si>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</si>
  <si>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</si>
  <si>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</si>
  <si>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</si>
  <si>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</si>
  <si>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</si>
  <si>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</si>
  <si>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</si>
  <si>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</si>
  <si>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</si>
  <si>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</si>
  <si>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</si>
  <si>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</si>
  <si>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</si>
  <si>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</si>
  <si>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</si>
  <si>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</si>
  <si>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</si>
  <si>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</si>
  <si>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</si>
  <si>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</si>
  <si>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</si>
  <si>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</si>
  <si>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</si>
  <si>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</si>
  <si>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</si>
  <si>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</si>
  <si>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</si>
  <si>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</si>
  <si>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</si>
  <si>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</si>
  <si>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</si>
  <si>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</si>
  <si>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</si>
  <si>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</si>
  <si>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</si>
  <si>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</si>
  <si>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</si>
  <si>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</si>
  <si>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</si>
  <si>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</si>
  <si>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</si>
  <si>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</si>
  <si>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</si>
  <si>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</si>
  <si>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</si>
  <si>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</si>
  <si>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</si>
  <si>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</si>
  <si>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</si>
  <si>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</si>
  <si>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</si>
  <si>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</si>
  <si>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</si>
  <si>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</si>
  <si>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</si>
  <si>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</si>
  <si>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</si>
  <si>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</si>
  <si>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</si>
  <si>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</si>
  <si>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</si>
  <si>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</si>
  <si>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</si>
  <si>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</si>
  <si>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</si>
  <si>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</si>
  <si>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</si>
  <si>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</si>
  <si>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</si>
  <si>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</si>
  <si>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</si>
  <si>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</si>
  <si>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</si>
  <si>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</si>
  <si>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</si>
  <si>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</si>
  <si>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</si>
  <si>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</si>
  <si>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</si>
  <si>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</si>
  <si>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</si>
  <si>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</si>
  <si>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</si>
  <si>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</si>
  <si>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</si>
  <si>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</si>
  <si>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</si>
  <si>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</si>
  <si>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</si>
  <si>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</si>
  <si>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</si>
  <si>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</si>
  <si>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</si>
  <si>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</si>
  <si>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</si>
  <si>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</si>
  <si>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</si>
  <si>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</si>
  <si>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</si>
  <si>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</si>
  <si>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</si>
  <si>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</si>
  <si>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</si>
  <si>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</si>
  <si>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</si>
  <si>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</si>
  <si>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</si>
  <si>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</si>
  <si>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</si>
  <si>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</si>
  <si>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</si>
  <si>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</si>
  <si>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</si>
  <si>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</si>
  <si>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</si>
  <si>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</si>
  <si>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</si>
  <si>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</si>
  <si>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</si>
  <si>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</si>
  <si>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</si>
  <si>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</si>
  <si>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</si>
  <si>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</si>
  <si>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</si>
  <si>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</si>
  <si>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</si>
  <si>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</si>
  <si>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</si>
  <si>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</si>
  <si>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</si>
  <si>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</si>
  <si>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</si>
  <si>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</si>
  <si>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</si>
  <si>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</si>
  <si>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</si>
  <si>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</si>
  <si>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</si>
  <si>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</si>
  <si>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</si>
  <si>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</si>
  <si>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</si>
  <si>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</si>
  <si>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</si>
  <si>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</si>
  <si>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</si>
  <si>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</si>
  <si>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</si>
  <si>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</si>
  <si>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</si>
  <si>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</si>
  <si>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</si>
  <si>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</si>
  <si>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</si>
  <si>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</si>
  <si>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</si>
  <si>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</si>
  <si>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</si>
  <si>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</si>
  <si>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</si>
  <si>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</si>
  <si>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</si>
  <si>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</si>
  <si>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</si>
  <si>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</si>
  <si>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</si>
  <si>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</si>
  <si>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</si>
  <si>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</si>
  <si>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</si>
  <si>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</si>
  <si>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</si>
  <si>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</si>
  <si>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</si>
  <si>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</si>
  <si>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</si>
  <si>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</si>
  <si>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</si>
  <si>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</si>
  <si>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</si>
  <si>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</si>
  <si>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</si>
  <si>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</si>
  <si>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</si>
  <si>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</si>
  <si>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</si>
  <si>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</si>
  <si>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</si>
  <si>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</si>
  <si>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</si>
  <si>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</si>
  <si>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</si>
  <si>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</si>
  <si>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</si>
  <si>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</si>
  <si>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</si>
  <si>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</si>
  <si>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</si>
  <si>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</si>
  <si>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</si>
  <si>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</si>
  <si>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</si>
  <si>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</si>
  <si>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</si>
  <si>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</si>
  <si>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</si>
  <si>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</si>
  <si>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</si>
  <si>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</si>
  <si>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</si>
  <si>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</si>
  <si>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</si>
  <si>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</si>
  <si>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</si>
  <si>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</si>
  <si>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</si>
  <si>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</si>
  <si>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</si>
  <si>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</si>
  <si>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</si>
  <si>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</si>
  <si>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</si>
  <si>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</si>
  <si>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</si>
  <si>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</si>
  <si>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</si>
  <si>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</si>
  <si>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</si>
  <si>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</si>
  <si>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</si>
  <si>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</si>
  <si>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</si>
  <si>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</si>
  <si>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</si>
  <si>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</si>
  <si>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</si>
  <si>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</si>
  <si>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</si>
  <si>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</si>
  <si>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</si>
  <si>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</si>
  <si>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</si>
  <si>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</si>
  <si>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</si>
  <si>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</si>
  <si>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</si>
  <si>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</si>
  <si>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</si>
  <si>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</si>
  <si>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</si>
  <si>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</si>
  <si>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</si>
  <si>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</si>
  <si>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</si>
  <si>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</si>
  <si>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</si>
  <si>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</si>
  <si>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</si>
  <si>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</si>
  <si>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</si>
  <si>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</si>
  <si>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</si>
  <si>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</si>
  <si>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</si>
  <si>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</si>
  <si>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</si>
  <si>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</si>
  <si>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</si>
  <si>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</si>
  <si>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</si>
  <si>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</si>
  <si>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</si>
  <si>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</si>
  <si>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</si>
  <si>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</si>
  <si>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</si>
  <si>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</si>
  <si>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</si>
  <si>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</si>
  <si>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</si>
  <si>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</si>
  <si>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</si>
  <si>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</si>
  <si>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</si>
  <si>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</si>
  <si>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</si>
  <si>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</si>
  <si>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</si>
  <si>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</si>
  <si>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</si>
  <si>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</si>
  <si>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</si>
  <si>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</si>
  <si>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</si>
  <si>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</si>
  <si>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</si>
  <si>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</si>
  <si>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</si>
  <si>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</si>
  <si>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</si>
  <si>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</si>
  <si>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</si>
  <si>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</si>
  <si>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</si>
  <si>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</si>
  <si>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</si>
  <si>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</si>
  <si>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</si>
  <si>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</si>
  <si>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</si>
  <si>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</si>
  <si>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</si>
  <si>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</si>
  <si>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</si>
  <si>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</si>
  <si>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</si>
  <si>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</si>
  <si>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</si>
  <si>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</si>
  <si>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</si>
  <si>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</si>
  <si>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</si>
  <si>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</si>
  <si>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</si>
  <si>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</si>
  <si>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</si>
  <si>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</si>
  <si>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</si>
  <si>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</si>
  <si>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</si>
  <si>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</si>
  <si>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</si>
  <si>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</si>
  <si>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</si>
  <si>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</si>
  <si>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</si>
  <si>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</si>
  <si>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</si>
  <si>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</si>
  <si>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</si>
  <si>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</si>
  <si>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</si>
  <si>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</si>
  <si>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</si>
  <si>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</si>
  <si>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</si>
  <si>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</si>
  <si>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</si>
  <si>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</si>
  <si>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</si>
  <si>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</si>
  <si>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</si>
  <si>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</si>
  <si>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</si>
  <si>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</si>
  <si>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</si>
  <si>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</si>
  <si>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</si>
  <si>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</si>
  <si>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</si>
  <si>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</si>
  <si>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</si>
  <si>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</si>
  <si>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</si>
  <si>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</si>
  <si>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</si>
  <si>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</si>
  <si>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</si>
  <si>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</si>
  <si>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</si>
  <si>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</si>
  <si>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</si>
  <si>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</si>
  <si>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</si>
  <si>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</si>
  <si>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</si>
  <si>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</si>
  <si>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</si>
  <si>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</si>
  <si>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</si>
  <si>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</si>
  <si>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</si>
  <si>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</si>
  <si>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</si>
  <si>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</si>
  <si>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</si>
  <si>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</si>
  <si>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</si>
  <si>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</si>
  <si>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</si>
  <si>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</si>
  <si>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</si>
  <si>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</si>
  <si>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</si>
  <si>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</si>
  <si>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</si>
  <si>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</si>
  <si>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</si>
  <si>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</si>
  <si>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</si>
  <si>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</si>
  <si>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</si>
  <si>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</si>
  <si>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</si>
  <si>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</si>
  <si>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</si>
  <si>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</si>
  <si>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</si>
  <si>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</si>
  <si>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</si>
  <si>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</si>
  <si>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</si>
  <si>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</si>
  <si>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</si>
  <si>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</si>
  <si>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</si>
  <si>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</si>
  <si>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</si>
  <si>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</si>
  <si>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</si>
  <si>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</si>
  <si>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</si>
  <si>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</si>
  <si>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</si>
  <si>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</si>
  <si>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</si>
  <si>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</si>
  <si>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</si>
  <si>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</si>
  <si>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</si>
  <si>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</si>
  <si>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</si>
  <si>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</si>
  <si>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</si>
  <si>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</si>
  <si>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</si>
  <si>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</si>
  <si>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</si>
  <si>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</si>
  <si>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</si>
  <si>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</si>
  <si>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</si>
  <si>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</si>
  <si>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</si>
  <si>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</si>
  <si>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</si>
  <si>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</si>
  <si>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</si>
  <si>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</si>
  <si>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</si>
  <si>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</si>
  <si>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</si>
  <si>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</si>
  <si>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</si>
  <si>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</si>
  <si>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</si>
  <si>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</si>
  <si>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</si>
  <si>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</si>
  <si>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</si>
  <si>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</si>
  <si>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</si>
  <si>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</si>
  <si>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</si>
  <si>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</si>
  <si>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</si>
  <si>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</si>
  <si>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</si>
  <si>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</si>
  <si>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</si>
  <si>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</si>
  <si>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</si>
  <si>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</si>
  <si>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</si>
  <si>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</si>
  <si>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</si>
  <si>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</si>
  <si>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</si>
  <si>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</si>
  <si>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</si>
  <si>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</si>
  <si>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</si>
  <si>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</si>
  <si>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</si>
  <si>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</si>
  <si>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</si>
  <si>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</si>
  <si>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</si>
  <si>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</si>
  <si>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</si>
  <si>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</si>
  <si>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</si>
  <si>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</si>
  <si>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</si>
  <si>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</si>
  <si>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</si>
  <si>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</si>
  <si>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</si>
  <si>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</si>
  <si>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</si>
  <si>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</si>
  <si>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</si>
  <si>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</si>
  <si>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</si>
  <si>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</si>
  <si>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</si>
  <si>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</si>
  <si>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</si>
  <si>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</si>
  <si>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</si>
  <si>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</si>
  <si>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</si>
  <si>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</si>
  <si>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</si>
  <si>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</si>
  <si>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</si>
  <si>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</si>
  <si>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</si>
  <si>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</si>
  <si>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</si>
  <si>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</si>
  <si>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</si>
  <si>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</si>
  <si>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</si>
  <si>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</si>
  <si>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</si>
  <si>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</si>
  <si>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</si>
  <si>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</si>
  <si>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</si>
  <si>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</si>
  <si>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</si>
  <si>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</si>
  <si>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</si>
  <si>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</si>
  <si>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</si>
  <si>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</si>
  <si>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</si>
  <si>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</si>
  <si>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</si>
  <si>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</si>
  <si>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</si>
  <si>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</si>
  <si>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</si>
  <si>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</si>
  <si>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</si>
  <si>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</si>
  <si>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</si>
  <si>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</si>
  <si>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</si>
  <si>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</si>
  <si>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</si>
  <si>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</si>
  <si>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</si>
  <si>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</si>
  <si>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</si>
  <si>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</si>
  <si>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</si>
  <si>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</si>
  <si>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</si>
  <si>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</si>
  <si>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</si>
  <si>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</si>
  <si>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</si>
  <si>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</si>
  <si>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</si>
  <si>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</si>
  <si>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</si>
  <si>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</si>
  <si>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</si>
  <si>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</si>
  <si>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</si>
  <si>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</si>
  <si>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</si>
  <si>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</si>
  <si>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</si>
  <si>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</si>
  <si>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</si>
  <si>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</si>
  <si>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</si>
  <si>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</si>
  <si>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</si>
  <si>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</si>
  <si>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</si>
  <si>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</si>
  <si>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</si>
  <si>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</si>
  <si>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</si>
  <si>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</si>
  <si>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</si>
  <si>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</si>
  <si>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</si>
  <si>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</si>
  <si>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</si>
  <si>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</si>
  <si>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</si>
  <si>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</si>
  <si>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</si>
  <si>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</si>
  <si>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</si>
  <si>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</si>
  <si>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</si>
  <si>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</si>
  <si>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</si>
  <si>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</si>
  <si>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</si>
  <si>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</si>
  <si>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</si>
  <si>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</si>
  <si>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</si>
  <si>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</si>
  <si>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</si>
  <si>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</si>
  <si>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</si>
  <si>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</si>
  <si>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</si>
  <si>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</si>
  <si>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</si>
  <si>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</si>
  <si>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</si>
  <si>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</si>
  <si>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</si>
  <si>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</si>
  <si>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</si>
  <si>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</si>
  <si>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</si>
  <si>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</si>
  <si>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</si>
  <si>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</si>
  <si>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</si>
  <si>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</si>
  <si>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</si>
  <si>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</si>
  <si>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</si>
  <si>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</si>
  <si>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</si>
  <si>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</si>
  <si>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</si>
  <si>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</si>
  <si>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</si>
  <si>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</si>
  <si>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</si>
  <si>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</si>
  <si>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</si>
  <si>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</si>
  <si>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</si>
  <si>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</si>
  <si>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</si>
  <si>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</si>
  <si>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</si>
  <si>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</si>
  <si>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</si>
  <si>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</si>
  <si>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</si>
  <si>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</si>
  <si>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</si>
  <si>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</si>
  <si>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</si>
  <si>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</si>
  <si>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</si>
  <si>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</si>
  <si>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</si>
  <si>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</si>
  <si>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</si>
  <si>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</si>
  <si>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</si>
  <si>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</si>
  <si>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</si>
  <si>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</si>
  <si>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</si>
  <si>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</si>
  <si>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</si>
  <si>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</si>
  <si>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</si>
  <si>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</si>
  <si>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</si>
  <si>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</si>
  <si>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</si>
  <si>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</si>
  <si>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</si>
  <si>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</si>
  <si>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</si>
  <si>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</si>
  <si>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</si>
  <si>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</si>
  <si>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</si>
  <si>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</si>
  <si>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</si>
  <si>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</si>
  <si>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</si>
  <si>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</si>
  <si>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</si>
  <si>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</si>
  <si>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</si>
  <si>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</si>
  <si>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</si>
  <si>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</si>
  <si>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</si>
  <si>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</si>
  <si>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</si>
  <si>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</si>
  <si>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</si>
  <si>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</si>
  <si>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</si>
  <si>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</si>
  <si>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</si>
  <si>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</si>
  <si>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</si>
  <si>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</si>
  <si>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</si>
  <si>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</si>
  <si>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</si>
  <si>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</si>
  <si>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</si>
  <si>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</si>
  <si>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</si>
  <si>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</si>
  <si>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</si>
  <si>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</si>
  <si>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</si>
  <si>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</si>
  <si>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</si>
  <si>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</si>
  <si>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</si>
  <si>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</si>
  <si>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</si>
  <si>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</si>
  <si>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</si>
  <si>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</si>
  <si>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</si>
  <si>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</si>
  <si>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</si>
  <si>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</si>
  <si>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</si>
  <si>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</si>
  <si>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</si>
  <si>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</si>
  <si>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</si>
  <si>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</si>
  <si>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</si>
  <si>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</si>
  <si>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</si>
  <si>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</si>
  <si>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</si>
  <si>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</si>
  <si>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</si>
  <si>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</si>
  <si>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</si>
  <si>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</si>
  <si>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</si>
  <si>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</si>
  <si>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</si>
  <si>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</si>
  <si>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</si>
  <si>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</si>
  <si>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</si>
  <si>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</si>
  <si>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</si>
  <si>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</si>
  <si>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</si>
  <si>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</si>
  <si>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</si>
  <si>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</si>
  <si>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</si>
  <si>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</si>
  <si>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</si>
  <si>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</si>
  <si>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</si>
  <si>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</si>
  <si>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</si>
  <si>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</si>
  <si>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</si>
  <si>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</si>
  <si>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</si>
  <si>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</si>
  <si>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</si>
  <si>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</si>
  <si>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</si>
  <si>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</si>
  <si>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</si>
  <si>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</si>
  <si>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</si>
  <si>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</si>
  <si>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</si>
  <si>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</si>
  <si>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</si>
  <si>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</si>
  <si>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</si>
  <si>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</si>
  <si>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</si>
  <si>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</si>
  <si>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</si>
  <si>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</si>
  <si>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</si>
  <si>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</si>
  <si>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</si>
  <si>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</si>
  <si>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</si>
  <si>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</si>
  <si>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</si>
  <si>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</si>
  <si>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</si>
  <si>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</si>
  <si>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</si>
  <si>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</si>
  <si>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</si>
  <si>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</si>
  <si>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</si>
  <si>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</si>
  <si>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</si>
  <si>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</si>
  <si>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</si>
  <si>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</si>
  <si>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</si>
  <si>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</si>
  <si>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</si>
  <si>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</si>
  <si>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</si>
  <si>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</si>
  <si>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</si>
  <si>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</si>
  <si>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</si>
  <si>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</si>
  <si>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</si>
  <si>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</si>
  <si>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</si>
  <si>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</si>
  <si>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</si>
  <si>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</si>
  <si>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</si>
  <si>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</si>
  <si>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</si>
  <si>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</si>
  <si>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</si>
  <si>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</si>
  <si>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</si>
  <si>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</si>
  <si>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</si>
  <si>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</si>
  <si>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</si>
  <si>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</si>
  <si>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</si>
  <si>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</si>
  <si>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</si>
  <si>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</si>
  <si>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</si>
  <si>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</si>
  <si>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</si>
  <si>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</si>
  <si>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</si>
  <si>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</si>
  <si>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</si>
  <si>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</si>
  <si>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</si>
  <si>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</si>
  <si>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</si>
  <si>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</si>
  <si>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</si>
  <si>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</si>
  <si>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</si>
  <si>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</si>
  <si>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</si>
  <si>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</si>
  <si>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</si>
  <si>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</si>
  <si>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</si>
  <si>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</si>
  <si>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</si>
  <si>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</si>
  <si>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</si>
  <si>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</si>
  <si>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</si>
  <si>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</si>
  <si>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</si>
  <si>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</si>
  <si>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</si>
  <si>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</si>
  <si>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</si>
  <si>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</si>
  <si>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</si>
  <si>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</si>
  <si>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</si>
  <si>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</si>
  <si>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</si>
  <si>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</si>
  <si>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</si>
  <si>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</si>
  <si>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</si>
  <si>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</si>
  <si>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</si>
  <si>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</si>
  <si>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</si>
  <si>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</si>
  <si>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</si>
  <si>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</si>
  <si>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</si>
  <si>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</si>
  <si>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</si>
  <si>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</si>
  <si>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</si>
  <si>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</si>
  <si>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</si>
  <si>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</si>
  <si>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</si>
  <si>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</si>
  <si>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</si>
  <si>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</si>
  <si>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</si>
  <si>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</si>
  <si>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</si>
  <si>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</si>
  <si>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</si>
  <si>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</si>
  <si>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</si>
  <si>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</si>
  <si>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</si>
  <si>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</si>
  <si>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</si>
  <si>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</si>
  <si>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</si>
  <si>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</si>
  <si>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</si>
  <si>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</si>
  <si>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</si>
  <si>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</si>
  <si>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</si>
  <si>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</si>
  <si>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</si>
  <si>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</si>
  <si>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</si>
  <si>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</si>
  <si>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</si>
  <si>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</si>
  <si>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</si>
  <si>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</si>
  <si>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</si>
  <si>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</si>
  <si>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</si>
  <si>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</si>
  <si>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</si>
  <si>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</si>
  <si>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</si>
  <si>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</si>
  <si>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</si>
  <si>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</si>
  <si>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</si>
  <si>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</si>
  <si>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</si>
  <si>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</si>
  <si>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</si>
  <si>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</si>
  <si>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</si>
  <si>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</si>
  <si>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</si>
  <si>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</si>
  <si>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</si>
  <si>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</si>
  <si>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</si>
  <si>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</si>
  <si>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</si>
  <si>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</si>
  <si>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</si>
  <si>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</si>
  <si>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</si>
  <si>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</si>
  <si>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</si>
  <si>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</si>
  <si>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</si>
  <si>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</si>
  <si>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</si>
  <si>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</si>
  <si>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</si>
  <si>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</si>
  <si>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</si>
  <si>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</si>
  <si>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</si>
  <si>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</si>
  <si>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</si>
  <si>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</si>
  <si>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</si>
  <si>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</si>
  <si>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</si>
  <si>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</si>
  <si>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</si>
  <si>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</si>
  <si>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</si>
  <si>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</si>
  <si>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</si>
  <si>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</si>
  <si>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</si>
  <si>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</si>
  <si>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</si>
  <si>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</si>
  <si>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</si>
  <si>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</si>
  <si>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</si>
  <si>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</si>
  <si>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</si>
  <si>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</si>
  <si>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</si>
  <si>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</si>
  <si>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</si>
  <si>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</si>
  <si>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</si>
  <si>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</si>
  <si>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</si>
  <si>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</si>
  <si>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</si>
  <si>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</si>
  <si>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</si>
  <si>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</si>
  <si>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</si>
  <si>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</si>
  <si>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</si>
  <si>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</si>
  <si>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</si>
  <si>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</si>
  <si>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</si>
  <si>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</si>
  <si>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</si>
  <si>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</si>
  <si>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</si>
  <si>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</si>
  <si>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</si>
  <si>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</si>
  <si>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</si>
  <si>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</si>
  <si>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</si>
  <si>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</si>
  <si>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</si>
  <si>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</si>
  <si>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</si>
  <si>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</si>
  <si>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</si>
  <si>
    <t>合景·天汇广场</t>
    <phoneticPr fontId="213" type="noConversion"/>
  </si>
  <si>
    <t>北辰·墅院1900</t>
    <phoneticPr fontId="213" type="noConversion"/>
  </si>
  <si>
    <t>锦绣园</t>
    <phoneticPr fontId="213" type="noConversion"/>
  </si>
  <si>
    <t>土地面积</t>
    <phoneticPr fontId="213" type="noConversion"/>
  </si>
  <si>
    <t>建筑面积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</si>
</sst>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83">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39" fillId="18" borderId="11" xfId="0" applyFont="1" applyFill="1" applyBorder="1" applyAlignment="1">
      <alignment horizontal="center" vertical="center"/>
    </xf>
    <xf numFmtId="2" fontId="0" fillId="0" borderId="0" xfId="21" applyNumberFormat="1" applyFont="1">
      <alignment vertical="center"/>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72308.930000000008</v>
          </cell>
          <cell r="I14">
            <v>150727</v>
          </cell>
        </row>
      </sheetData>
      <sheetData sheetId="19">
        <row r="19">
          <cell r="G19">
            <v>159143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本次评估采用的主估价方法为成本法和比较法。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251</v>
      </c>
    </row>
    <row r="21" spans="1:2">
      <c r="A21" s="3039" t="s">
        <v>21</v>
      </c>
      <c r="B21" s="3040" t="e">
        <f ca="1">'预评函-2'!D7</f>
        <v>#DIV/0!</v>
      </c>
    </row>
    <row r="22" spans="1:2">
      <c r="A22" s="3039" t="s">
        <v>22</v>
      </c>
      <c r="B22" s="3040" t="str">
        <f ca="1">'预评函-2'!D6</f>
        <v>贰佰伍拾壹万元整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251</v>
      </c>
    </row>
    <row r="31" spans="1:2">
      <c r="A31" s="3039" t="s">
        <v>31</v>
      </c>
      <c r="B31" s="3040">
        <f ca="1">'预评函-2'!D15</f>
        <v>51</v>
      </c>
    </row>
    <row r="32" spans="1:2">
      <c r="A32" s="3039" t="s">
        <v>32</v>
      </c>
      <c r="B32" s="3040" t="str">
        <f ca="1">'预评函-2'!D14</f>
        <v>贰佰伍拾壹万元整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4277</v>
      </c>
    </row>
    <row r="39" spans="1:2">
      <c r="A39" s="3039" t="s">
        <v>39</v>
      </c>
      <c r="B39" s="3040">
        <f ca="1">'预评函-2'!D21</f>
        <v>866</v>
      </c>
    </row>
    <row r="40" spans="1:2">
      <c r="A40" s="3039" t="s">
        <v>40</v>
      </c>
      <c r="B40" s="3040" t="str">
        <f ca="1">'预评函-2'!D20</f>
        <v>肆仟贰佰柒拾柒万元整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49403.210000000006</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134</v>
      </c>
    </row>
    <row r="48" spans="1:2">
      <c r="A48" s="3039" t="s">
        <v>48</v>
      </c>
      <c r="B48" s="3040" t="e">
        <f ca="1">'预评函-3'!E4</f>
        <v>#DIV/0!</v>
      </c>
    </row>
    <row r="49" spans="1:2">
      <c r="A49" s="3039" t="s">
        <v>49</v>
      </c>
      <c r="B49" s="3040" t="str">
        <f ca="1">'预评函-3'!D5</f>
        <v>壹佰叁拾肆万元整</v>
      </c>
    </row>
    <row r="50" spans="1:2">
      <c r="A50" s="3039" t="s">
        <v>50</v>
      </c>
      <c r="B50" s="3040" t="str">
        <f>'预评函-3'!F2</f>
        <v>在建建筑物价值</v>
      </c>
    </row>
    <row r="51" spans="1:2">
      <c r="A51" s="3039" t="s">
        <v>51</v>
      </c>
      <c r="B51" s="3040">
        <f ca="1">'预评函-3'!F4</f>
        <v>117</v>
      </c>
    </row>
    <row r="52" spans="1:2">
      <c r="A52" s="3039" t="s">
        <v>52</v>
      </c>
      <c r="B52" s="3040" t="e">
        <f ca="1">'预评函-3'!G4</f>
        <v>#DIV/0!</v>
      </c>
    </row>
    <row r="53" spans="1:2">
      <c r="A53" s="3039" t="s">
        <v>53</v>
      </c>
      <c r="B53" s="3040" t="str">
        <f ca="1">'预评函-3'!F5</f>
        <v>壹佰壹拾柒万元整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3016</v>
      </c>
      <c r="C19" s="2930"/>
    </row>
    <row r="20" spans="1:3">
      <c r="A20" s="2929" t="s">
        <v>308</v>
      </c>
      <c r="B20" s="2929" t="s">
        <v>3024</v>
      </c>
      <c r="C20" s="2930"/>
    </row>
    <row r="21" spans="1:3">
      <c r="A21" s="2929" t="s">
        <v>260</v>
      </c>
      <c r="B21" s="2929" t="s">
        <v>3018</v>
      </c>
      <c r="C21" s="2930"/>
    </row>
    <row r="22" spans="1:3">
      <c r="A22" s="2929" t="s">
        <v>309</v>
      </c>
      <c r="B22" s="2929" t="s">
        <v>3020</v>
      </c>
      <c r="C22" s="2930"/>
    </row>
    <row r="23" spans="1:3">
      <c r="A23" s="2929" t="s">
        <v>310</v>
      </c>
      <c r="B23" s="2929" t="s">
        <v>3021</v>
      </c>
      <c r="C23" s="2930"/>
    </row>
    <row r="24" spans="1:3">
      <c r="A24" s="2929" t="s">
        <v>311</v>
      </c>
      <c r="B24" s="2929" t="s">
        <v>3027</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6"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6"/>
      <c r="B54" s="2933" t="s">
        <v>322</v>
      </c>
      <c r="C54" s="2924" t="s">
        <v>323</v>
      </c>
    </row>
    <row r="55" spans="1:4">
      <c r="A55" s="3156"/>
      <c r="B55" s="2933" t="s">
        <v>324</v>
      </c>
      <c r="C55" s="2924" t="s">
        <v>325</v>
      </c>
    </row>
    <row r="56" spans="1:4">
      <c r="A56" s="3156"/>
      <c r="B56" s="2933" t="s">
        <v>326</v>
      </c>
      <c r="C56" s="2924" t="s">
        <v>327</v>
      </c>
    </row>
    <row r="57" spans="1:4">
      <c r="A57" s="3156"/>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2477" customWidth="1"/>
    <col min="2" max="2" width="10" style="2477" customWidth="1"/>
    <col min="3" max="3" width="11.5" style="2477" customWidth="1"/>
    <col min="4" max="4" width="10" style="2477" customWidth="1"/>
    <col min="5" max="5" width="12.625" style="2477" customWidth="1"/>
    <col min="6" max="6" width="10" style="2477" customWidth="1"/>
    <col min="7" max="7" width="10.75" style="2477" customWidth="1"/>
    <col min="8" max="8" width="10" style="2477" customWidth="1"/>
    <col min="9" max="9" width="11.125" style="2722" customWidth="1"/>
    <col min="10" max="10" width="10" style="2655" customWidth="1"/>
    <col min="11" max="11" width="10" style="2805" customWidth="1"/>
    <col min="12" max="13" width="10" style="2806" customWidth="1"/>
    <col min="14" max="14" width="10" style="2655" customWidth="1"/>
    <col min="15" max="15" width="10" style="229" customWidth="1"/>
    <col min="16" max="17" width="10" style="2655"/>
    <col min="18" max="18" width="10" style="2655" customWidth="1"/>
    <col min="19" max="30" width="10" style="2655"/>
    <col min="31" max="16384" width="10" style="2477"/>
  </cols>
  <sheetData>
    <row r="1" spans="1:28">
      <c r="A1" s="2807" t="s">
        <v>330</v>
      </c>
      <c r="B1" s="3161"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2"/>
      <c r="D1" s="3162"/>
      <c r="E1" s="3162"/>
      <c r="F1" s="3162"/>
      <c r="G1" s="3162"/>
      <c r="H1" s="3162"/>
      <c r="I1" s="3163"/>
      <c r="J1" s="2438"/>
      <c r="K1" s="2889"/>
      <c r="L1" s="2899"/>
      <c r="M1" s="2899"/>
      <c r="N1" s="2808"/>
      <c r="O1" s="2255"/>
      <c r="P1" s="2808"/>
      <c r="Q1" s="2808"/>
      <c r="R1" s="2808"/>
      <c r="S1" s="2132"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7"/>
      <c r="U1" s="2477"/>
      <c r="V1" s="2477"/>
      <c r="W1" s="2477"/>
      <c r="X1" s="2477"/>
      <c r="Y1" s="2477"/>
      <c r="Z1" s="2477"/>
      <c r="AA1" s="2477"/>
      <c r="AB1" s="2477"/>
    </row>
    <row r="2" spans="1:28">
      <c r="A2" s="2808" t="s">
        <v>331</v>
      </c>
      <c r="B2" s="231"/>
      <c r="D2" s="2809"/>
      <c r="E2" s="2810"/>
      <c r="F2" s="2810"/>
      <c r="G2" s="2577"/>
      <c r="H2" s="2577"/>
      <c r="I2" s="2577"/>
      <c r="J2" s="2438"/>
      <c r="K2" s="2889"/>
      <c r="L2" s="2899"/>
      <c r="M2" s="2899"/>
      <c r="N2" s="2808"/>
      <c r="O2" s="2255"/>
      <c r="P2" s="2808"/>
      <c r="Q2" s="2808"/>
      <c r="R2" s="2808"/>
      <c r="S2" s="2132"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7"/>
      <c r="U2" s="2477"/>
      <c r="V2" s="2477"/>
      <c r="W2" s="2477"/>
      <c r="X2" s="2477"/>
      <c r="Y2" s="2477"/>
      <c r="Z2" s="2477"/>
      <c r="AA2" s="2477"/>
      <c r="AB2" s="2477"/>
    </row>
    <row r="3" spans="1:28">
      <c r="A3" s="1638" t="s">
        <v>332</v>
      </c>
      <c r="B3" s="2811"/>
      <c r="C3" s="2812" t="s">
        <v>333</v>
      </c>
      <c r="D3" s="2811">
        <v>45475</v>
      </c>
      <c r="E3" s="2577"/>
      <c r="F3" s="2577"/>
      <c r="G3" s="2577"/>
      <c r="H3" s="2577"/>
      <c r="I3" s="2577"/>
      <c r="J3" s="2438"/>
      <c r="K3" s="2889"/>
      <c r="L3" s="2899"/>
      <c r="M3" s="2899"/>
      <c r="N3" s="2808"/>
      <c r="O3" s="2255"/>
      <c r="P3" s="2808"/>
      <c r="Q3" s="2808"/>
      <c r="R3" s="2808"/>
      <c r="S3" s="2132"/>
      <c r="T3" s="2477"/>
      <c r="U3" s="2477"/>
      <c r="V3" s="2477"/>
      <c r="W3" s="2477"/>
      <c r="X3" s="2477"/>
      <c r="Y3" s="2477"/>
      <c r="Z3" s="2477"/>
      <c r="AA3" s="2477"/>
      <c r="AB3" s="2477"/>
    </row>
    <row r="4" spans="1:28">
      <c r="A4" s="1660"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8"/>
      <c r="K4" s="2239" t="str">
        <f ca="1">CONCATENATE(B4,"（注册号：",C4,")、",D4,"（注册号：",E4,")")</f>
        <v>梁津（注册号：0)、郑燚（注册号：0)</v>
      </c>
      <c r="L4" s="2899"/>
      <c r="M4" s="2899"/>
      <c r="N4" s="2808"/>
      <c r="O4" s="2255"/>
      <c r="P4" s="2808"/>
      <c r="Q4" s="2808"/>
      <c r="R4" s="2808"/>
      <c r="S4" s="2132"/>
      <c r="T4" s="2477"/>
      <c r="U4" s="2477"/>
      <c r="V4" s="2477"/>
      <c r="W4" s="2477"/>
      <c r="X4" s="2477"/>
      <c r="Y4" s="2477"/>
      <c r="Z4" s="2477"/>
      <c r="AA4" s="2477"/>
      <c r="AB4" s="2477"/>
    </row>
    <row r="5" spans="1:28">
      <c r="A5" s="2815" t="s">
        <v>335</v>
      </c>
      <c r="B5" s="2816"/>
      <c r="C5" s="2817"/>
      <c r="D5" s="2818"/>
      <c r="E5" s="2577"/>
      <c r="F5" s="2577"/>
      <c r="G5" s="2577"/>
      <c r="H5" s="2577"/>
      <c r="I5" s="2577"/>
      <c r="J5" s="2438"/>
      <c r="K5" s="2239" t="str">
        <f>IF(F4="——","",IF(H4="——",F4&amp;"（注册号："&amp;G4&amp;")",CONCATENATE(F4,"（注册号：",G4,")、",H4,"（注册号：",I4,")")))</f>
        <v>（注册号：0)、（注册号：0)</v>
      </c>
      <c r="L5" s="2899"/>
      <c r="M5" s="2899"/>
      <c r="N5" s="2808"/>
      <c r="O5" s="2255"/>
      <c r="P5" s="2808"/>
      <c r="Q5" s="2808"/>
      <c r="R5" s="2808"/>
      <c r="S5" s="2477"/>
      <c r="T5" s="2477"/>
      <c r="U5" s="2477"/>
      <c r="V5" s="2477"/>
      <c r="W5" s="2477"/>
      <c r="X5" s="2477"/>
      <c r="Y5" s="2477"/>
      <c r="Z5" s="2477"/>
      <c r="AA5" s="2477"/>
      <c r="AB5" s="2477"/>
    </row>
    <row r="6" spans="1:28">
      <c r="A6" s="2819" t="s">
        <v>336</v>
      </c>
      <c r="B6" s="2820"/>
      <c r="C6" s="2821"/>
      <c r="D6" s="2822"/>
      <c r="E6" s="2810"/>
      <c r="F6" s="2577"/>
      <c r="G6" s="2577"/>
      <c r="H6" s="2577"/>
      <c r="I6" s="2577"/>
      <c r="J6" s="2438"/>
      <c r="K6" s="2900" t="str">
        <f>IF(COUNTIF(B6,"*上海银行*"),"上海银行","")</f>
        <v/>
      </c>
      <c r="L6" s="2901"/>
      <c r="M6" s="2901"/>
      <c r="N6" s="2438"/>
      <c r="O6" s="2256"/>
      <c r="P6" s="2438"/>
      <c r="Q6" s="2438"/>
      <c r="R6" s="2438"/>
    </row>
    <row r="7" spans="1:28">
      <c r="A7" s="2819" t="s">
        <v>337</v>
      </c>
      <c r="B7" s="2823"/>
      <c r="C7" s="2821"/>
      <c r="D7" s="2822"/>
      <c r="E7" s="2810"/>
      <c r="F7" s="2577"/>
      <c r="G7" s="2577"/>
      <c r="H7" s="2577"/>
      <c r="I7" s="2577"/>
      <c r="J7" s="2438"/>
      <c r="K7" s="2902"/>
      <c r="L7" s="2901"/>
      <c r="M7" s="2901"/>
      <c r="N7" s="2438"/>
      <c r="O7" s="2256"/>
      <c r="P7" s="2438"/>
      <c r="Q7" s="2438"/>
      <c r="R7" s="2438"/>
    </row>
    <row r="8" spans="1:28">
      <c r="A8" s="2824" t="s">
        <v>338</v>
      </c>
      <c r="B8" s="2825" t="s">
        <v>317</v>
      </c>
      <c r="C8" s="2826"/>
      <c r="D8" s="3176" t="s">
        <v>339</v>
      </c>
      <c r="E8" s="2827" t="s">
        <v>322</v>
      </c>
      <c r="F8" s="2828"/>
      <c r="G8" s="2577"/>
      <c r="H8" s="2577"/>
      <c r="I8" s="2577"/>
      <c r="J8" s="2438"/>
      <c r="K8" s="2903"/>
      <c r="L8" s="2901"/>
      <c r="M8" s="2901"/>
      <c r="N8" s="2438"/>
      <c r="O8" s="2256"/>
      <c r="P8" s="2438"/>
      <c r="Q8" s="2438"/>
      <c r="R8" s="2438"/>
    </row>
    <row r="9" spans="1:28">
      <c r="A9" s="2829" t="s">
        <v>340</v>
      </c>
      <c r="B9" s="2830" t="s">
        <v>322</v>
      </c>
      <c r="C9" s="2831"/>
      <c r="D9" s="3177"/>
      <c r="E9" s="2830" t="s">
        <v>328</v>
      </c>
      <c r="F9" s="2832"/>
      <c r="G9" s="2833"/>
      <c r="H9" s="2833"/>
      <c r="I9" s="2833"/>
      <c r="J9" s="2438"/>
      <c r="K9" s="2902"/>
      <c r="L9" s="2901"/>
      <c r="M9" s="2901"/>
      <c r="N9" s="2438"/>
      <c r="O9" s="2256"/>
      <c r="P9" s="2438"/>
      <c r="Q9" s="2438"/>
      <c r="R9" s="2438"/>
    </row>
    <row r="10" spans="1:28">
      <c r="A10" s="2834" t="s">
        <v>341</v>
      </c>
      <c r="B10" s="2835" t="s">
        <v>342</v>
      </c>
      <c r="C10" s="2836"/>
      <c r="D10" s="2818"/>
      <c r="E10" s="2837" t="s">
        <v>343</v>
      </c>
      <c r="F10" s="2838" t="s">
        <v>344</v>
      </c>
      <c r="G10" s="2839"/>
      <c r="H10" s="2840"/>
      <c r="I10" s="2904"/>
      <c r="J10" s="2438"/>
      <c r="K10" s="2902"/>
      <c r="L10" s="2901"/>
      <c r="M10" s="2901"/>
      <c r="N10" s="2438"/>
      <c r="O10" s="2256"/>
      <c r="P10" s="2438"/>
      <c r="Q10" s="2438"/>
      <c r="R10" s="2438"/>
    </row>
    <row r="11" spans="1:28">
      <c r="A11" s="2841" t="s">
        <v>345</v>
      </c>
      <c r="B11" s="2842" t="s">
        <v>346</v>
      </c>
      <c r="C11" s="2843"/>
      <c r="D11" s="2844"/>
      <c r="E11" s="2808"/>
      <c r="F11" s="2808"/>
      <c r="G11" s="2808"/>
      <c r="H11" s="2808"/>
      <c r="I11" s="2808"/>
      <c r="J11" s="2438"/>
      <c r="K11" s="2902"/>
      <c r="L11" s="2901"/>
      <c r="M11" s="2901"/>
      <c r="N11" s="2438"/>
      <c r="O11" s="2256"/>
      <c r="P11" s="2438"/>
      <c r="Q11" s="2438"/>
      <c r="R11" s="2438"/>
    </row>
    <row r="12" spans="1:28">
      <c r="A12" s="2845" t="s">
        <v>347</v>
      </c>
      <c r="B12" s="2842" t="s">
        <v>348</v>
      </c>
      <c r="C12" s="1679" t="s">
        <v>349</v>
      </c>
      <c r="D12" s="2846" t="s">
        <v>350</v>
      </c>
      <c r="E12" s="2846" t="s">
        <v>351</v>
      </c>
      <c r="F12" s="2846" t="s">
        <v>352</v>
      </c>
      <c r="G12" s="2846" t="s">
        <v>353</v>
      </c>
      <c r="H12" s="2846" t="s">
        <v>354</v>
      </c>
      <c r="I12" s="2846" t="s">
        <v>355</v>
      </c>
      <c r="J12" s="2438"/>
      <c r="K12" s="2902"/>
      <c r="L12" s="2901"/>
      <c r="M12" s="2901"/>
      <c r="N12" s="2438"/>
      <c r="O12" s="2256"/>
      <c r="P12" s="2438"/>
      <c r="Q12" s="2438"/>
      <c r="R12" s="2438"/>
    </row>
    <row r="13" spans="1:28" ht="14.25">
      <c r="A13" s="1665"/>
      <c r="B13" s="2847"/>
      <c r="C13" s="2848" t="s">
        <v>356</v>
      </c>
      <c r="D13" s="2849">
        <v>69313</v>
      </c>
      <c r="E13" s="2849">
        <v>58355</v>
      </c>
      <c r="F13" s="2849"/>
      <c r="G13" s="2849">
        <v>62008</v>
      </c>
      <c r="H13" s="2849">
        <v>62008</v>
      </c>
      <c r="I13" s="2905"/>
      <c r="J13" s="2438"/>
      <c r="K13" s="2902"/>
      <c r="L13" s="2901"/>
      <c r="M13" s="2901"/>
      <c r="N13" s="2438"/>
      <c r="O13" s="2256"/>
      <c r="P13" s="2438"/>
      <c r="Q13" s="2438"/>
      <c r="R13" s="2438"/>
    </row>
    <row r="14" spans="1:28">
      <c r="A14" s="1665"/>
      <c r="B14" s="2847"/>
      <c r="C14" s="2848" t="s">
        <v>357</v>
      </c>
      <c r="D14" s="2850">
        <v>70</v>
      </c>
      <c r="E14" s="2850">
        <v>40</v>
      </c>
      <c r="F14" s="2850"/>
      <c r="G14" s="2850">
        <v>50</v>
      </c>
      <c r="H14" s="2850">
        <v>50</v>
      </c>
      <c r="I14" s="2850"/>
      <c r="J14" s="2438"/>
      <c r="K14" s="2906"/>
      <c r="L14" s="2901"/>
      <c r="M14" s="2901"/>
      <c r="N14" s="2438"/>
      <c r="O14" s="2256"/>
      <c r="P14" s="2438"/>
      <c r="Q14" s="2438"/>
      <c r="R14" s="2438"/>
    </row>
    <row r="15" spans="1:28">
      <c r="A15" s="1672"/>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8"/>
      <c r="K15" s="2907"/>
      <c r="L15" s="2256"/>
      <c r="M15" s="2256"/>
      <c r="N15" s="2438"/>
      <c r="O15" s="2256"/>
      <c r="P15" s="2438"/>
      <c r="Q15" s="2438"/>
      <c r="R15" s="2438"/>
    </row>
    <row r="16" spans="1:28">
      <c r="A16" s="2837" t="s">
        <v>359</v>
      </c>
      <c r="B16" s="3164"/>
      <c r="C16" s="3165"/>
      <c r="D16" s="3166"/>
      <c r="E16" s="2854" t="s">
        <v>360</v>
      </c>
      <c r="F16" s="3167"/>
      <c r="G16" s="3168"/>
      <c r="H16" s="3168"/>
      <c r="I16" s="3169"/>
      <c r="J16" s="2438"/>
      <c r="K16" s="2907"/>
      <c r="L16" s="2256"/>
      <c r="M16" s="2256"/>
      <c r="N16" s="2438"/>
      <c r="O16" s="2256"/>
      <c r="P16" s="2438"/>
      <c r="Q16" s="2438"/>
      <c r="R16" s="2438"/>
    </row>
    <row r="17" spans="1:28">
      <c r="A17" s="1649" t="s">
        <v>361</v>
      </c>
      <c r="B17" s="1638" t="s">
        <v>362</v>
      </c>
      <c r="C17" s="288">
        <f>'数据-汇总表'!E3</f>
        <v>49403.210000000006</v>
      </c>
      <c r="D17" s="1691" t="s">
        <v>363</v>
      </c>
      <c r="E17" s="3170" t="s">
        <v>364</v>
      </c>
      <c r="F17" s="3171"/>
      <c r="G17" s="3171"/>
      <c r="H17" s="3171"/>
      <c r="I17" s="3172"/>
      <c r="J17" s="2438"/>
      <c r="K17" s="2908"/>
      <c r="L17" s="2256"/>
      <c r="M17" s="2256"/>
      <c r="N17" s="2438"/>
      <c r="O17" s="2256"/>
      <c r="P17" s="2438"/>
      <c r="Q17" s="2438"/>
      <c r="R17" s="2438"/>
      <c r="S17" s="2438"/>
      <c r="T17" s="2438"/>
      <c r="U17" s="2438"/>
      <c r="V17" s="2438"/>
    </row>
    <row r="18" spans="1:28" ht="24">
      <c r="A18" s="2855" t="s">
        <v>365</v>
      </c>
      <c r="B18" s="1660" t="s">
        <v>366</v>
      </c>
      <c r="C18" s="2856">
        <f>'数据-汇总表'!D3</f>
        <v>0</v>
      </c>
      <c r="D18" s="1684" t="s">
        <v>363</v>
      </c>
      <c r="E18" s="3173" t="s">
        <v>367</v>
      </c>
      <c r="F18" s="3174"/>
      <c r="G18" s="3174"/>
      <c r="H18" s="3174"/>
      <c r="I18" s="3175"/>
      <c r="J18" s="2438"/>
      <c r="K18" s="2908"/>
      <c r="L18" s="2256"/>
      <c r="M18" s="2256"/>
      <c r="N18" s="2438"/>
      <c r="O18" s="2256"/>
      <c r="P18" s="2438"/>
      <c r="Q18" s="2438"/>
      <c r="R18" s="2438"/>
      <c r="S18" s="2438"/>
      <c r="T18" s="2438"/>
      <c r="U18" s="2438"/>
      <c r="V18" s="2438"/>
    </row>
    <row r="19" spans="1:28" ht="36">
      <c r="A19" s="1701" t="s">
        <v>368</v>
      </c>
      <c r="B19" s="1642" t="s">
        <v>369</v>
      </c>
      <c r="C19" s="2857" t="s">
        <v>370</v>
      </c>
      <c r="D19" s="2858" t="s">
        <v>371</v>
      </c>
      <c r="E19" s="2859"/>
      <c r="F19" s="2860" t="str">
        <f>IF(AND(C19="是",E19="否"),"是否提供他项权证或相关说明","")</f>
        <v/>
      </c>
      <c r="G19" s="2861"/>
      <c r="H19" s="2577"/>
      <c r="I19" s="2577"/>
      <c r="J19" s="2438"/>
      <c r="K19" s="2902"/>
      <c r="L19" s="2901"/>
      <c r="M19" s="2901"/>
      <c r="N19" s="2438"/>
      <c r="O19" s="2256"/>
      <c r="P19" s="2438"/>
      <c r="Q19" s="2438"/>
      <c r="R19" s="2438"/>
      <c r="S19" s="2438"/>
      <c r="T19" s="2438"/>
      <c r="U19" s="2438"/>
      <c r="V19" s="2438"/>
    </row>
    <row r="20" spans="1:28">
      <c r="A20" s="2862" t="s">
        <v>372</v>
      </c>
      <c r="B20" s="3180" t="s">
        <v>373</v>
      </c>
      <c r="C20" s="3181"/>
      <c r="D20" s="3182" t="s">
        <v>374</v>
      </c>
      <c r="E20" s="3183"/>
      <c r="F20" s="2863" t="s">
        <v>375</v>
      </c>
      <c r="G20" s="2577"/>
      <c r="H20" s="2577"/>
      <c r="I20" s="2577"/>
      <c r="J20" s="2438"/>
      <c r="K20" s="3178"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5"/>
      <c r="P20" s="2808"/>
      <c r="Q20" s="2808"/>
      <c r="R20" s="2808"/>
      <c r="S20" s="2808"/>
      <c r="T20" s="2808"/>
      <c r="U20" s="2808"/>
      <c r="V20" s="2808"/>
      <c r="W20" s="2477"/>
      <c r="X20" s="2477"/>
      <c r="Y20" s="2477"/>
      <c r="Z20" s="2477"/>
      <c r="AA20" s="2477"/>
      <c r="AB20" s="2477"/>
    </row>
    <row r="21" spans="1:28" ht="24">
      <c r="A21" s="2862"/>
      <c r="B21" s="2864" t="s">
        <v>377</v>
      </c>
      <c r="C21" s="2464" t="s">
        <v>378</v>
      </c>
      <c r="D21" s="2865" t="s">
        <v>379</v>
      </c>
      <c r="E21" s="2866" t="s">
        <v>378</v>
      </c>
      <c r="F21" s="2867"/>
      <c r="G21" s="2577"/>
      <c r="H21" s="2577"/>
      <c r="I21" s="2577"/>
      <c r="J21" s="2438"/>
      <c r="K21" s="3178"/>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5"/>
      <c r="P21" s="2808"/>
      <c r="Q21" s="2808"/>
      <c r="R21" s="2808"/>
      <c r="S21" s="2808"/>
      <c r="T21" s="2808"/>
      <c r="U21" s="2808"/>
      <c r="V21" s="2808"/>
      <c r="W21" s="2477"/>
      <c r="X21" s="2477"/>
      <c r="Y21" s="2477"/>
      <c r="Z21" s="2477"/>
      <c r="AA21" s="2477"/>
      <c r="AB21" s="2477"/>
    </row>
    <row r="22" spans="1:28" ht="24">
      <c r="A22" s="2862"/>
      <c r="B22" s="2868" t="s">
        <v>380</v>
      </c>
      <c r="C22" s="2464" t="s">
        <v>381</v>
      </c>
      <c r="D22" s="2577"/>
      <c r="E22" s="2577"/>
      <c r="F22" s="2577"/>
      <c r="G22" s="2577"/>
      <c r="H22" s="2577"/>
      <c r="I22" s="2577"/>
      <c r="J22" s="2438"/>
      <c r="K22" s="3178"/>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5"/>
      <c r="P22" s="2808"/>
      <c r="Q22" s="2808"/>
      <c r="R22" s="2808"/>
      <c r="S22" s="2808"/>
      <c r="T22" s="2808"/>
      <c r="U22" s="2808"/>
      <c r="V22" s="2808"/>
      <c r="W22" s="2477"/>
      <c r="X22" s="2477"/>
      <c r="Y22" s="2477"/>
      <c r="Z22" s="2477"/>
      <c r="AA22" s="2477"/>
      <c r="AB22" s="2477"/>
    </row>
    <row r="23" spans="1:28">
      <c r="A23" s="2869" t="s">
        <v>382</v>
      </c>
      <c r="B23" s="2461" t="s">
        <v>383</v>
      </c>
      <c r="C23" s="2870"/>
      <c r="D23" s="2871" t="s">
        <v>383</v>
      </c>
      <c r="E23" s="2872"/>
      <c r="F23" s="2577"/>
      <c r="G23" s="2577"/>
      <c r="H23" s="2577"/>
      <c r="I23" s="2577"/>
      <c r="J23" s="2438"/>
      <c r="K23" s="2900"/>
      <c r="L23" s="274"/>
      <c r="M23" s="2901"/>
      <c r="N23" s="2438"/>
      <c r="O23" s="2256"/>
      <c r="P23" s="2438"/>
      <c r="Q23" s="2438"/>
      <c r="R23" s="2438"/>
      <c r="S23" s="2438"/>
      <c r="T23" s="2438"/>
      <c r="U23" s="2438"/>
      <c r="V23" s="2438"/>
    </row>
    <row r="24" spans="1:28">
      <c r="A24" s="2869"/>
      <c r="B24" s="2461" t="s">
        <v>384</v>
      </c>
      <c r="C24" s="2435"/>
      <c r="D24" s="2869" t="s">
        <v>384</v>
      </c>
      <c r="E24" s="2873"/>
      <c r="F24" s="2577"/>
      <c r="G24" s="2577"/>
      <c r="H24" s="2577"/>
      <c r="I24" s="2577"/>
      <c r="J24" s="2438"/>
      <c r="K24" s="2900"/>
      <c r="L24" s="274"/>
      <c r="M24" s="2901"/>
      <c r="N24" s="2438"/>
      <c r="O24" s="2256"/>
      <c r="P24" s="2438"/>
      <c r="Q24" s="2438"/>
      <c r="R24" s="2438"/>
      <c r="S24" s="2438"/>
      <c r="T24" s="2438"/>
      <c r="U24" s="2438"/>
      <c r="V24" s="2438"/>
    </row>
    <row r="25" spans="1:28">
      <c r="A25" s="2869"/>
      <c r="B25" s="2461" t="s">
        <v>385</v>
      </c>
      <c r="C25" s="2435"/>
      <c r="D25" s="2869" t="s">
        <v>385</v>
      </c>
      <c r="E25" s="2873"/>
      <c r="F25" s="2577"/>
      <c r="G25" s="2577"/>
      <c r="H25" s="2577"/>
      <c r="I25" s="2577"/>
      <c r="J25" s="2438"/>
      <c r="K25" s="2902"/>
      <c r="L25" s="2901"/>
      <c r="M25" s="2901"/>
      <c r="N25" s="2438"/>
      <c r="O25" s="2256"/>
      <c r="P25" s="2438"/>
      <c r="Q25" s="2438"/>
      <c r="R25" s="2438"/>
      <c r="S25" s="2438"/>
      <c r="T25" s="2438"/>
      <c r="U25" s="2438"/>
      <c r="V25" s="2438"/>
    </row>
    <row r="26" spans="1:28">
      <c r="A26" s="2874"/>
      <c r="B26" s="2875" t="s">
        <v>386</v>
      </c>
      <c r="C26" s="2876"/>
      <c r="D26" s="2874" t="s">
        <v>386</v>
      </c>
      <c r="E26" s="2877"/>
      <c r="F26" s="2833"/>
      <c r="G26" s="2833"/>
      <c r="H26" s="2833"/>
      <c r="I26" s="2833"/>
      <c r="J26" s="2438"/>
      <c r="K26" s="2902"/>
      <c r="L26" s="2901"/>
      <c r="M26" s="2901"/>
      <c r="N26" s="2438"/>
      <c r="O26" s="2256"/>
      <c r="P26" s="2438"/>
      <c r="Q26" s="2438"/>
      <c r="R26" s="2438"/>
      <c r="S26" s="2438"/>
      <c r="T26" s="2438"/>
      <c r="U26" s="2438"/>
      <c r="V26" s="2438"/>
    </row>
    <row r="27" spans="1:28">
      <c r="A27" s="3157" t="s">
        <v>387</v>
      </c>
      <c r="B27" s="1672" t="s">
        <v>388</v>
      </c>
      <c r="C27" s="2878" t="s">
        <v>389</v>
      </c>
      <c r="D27" s="2879"/>
      <c r="E27" s="2577"/>
      <c r="F27" s="2577"/>
      <c r="G27" s="2577"/>
      <c r="H27" s="2577"/>
      <c r="I27" s="2577"/>
      <c r="J27" s="2438"/>
      <c r="K27" s="2907"/>
      <c r="L27" s="2256"/>
      <c r="M27" s="2256"/>
      <c r="N27" s="2438"/>
      <c r="O27" s="2256"/>
      <c r="P27" s="2438"/>
      <c r="Q27" s="2438"/>
      <c r="R27" s="2438"/>
      <c r="S27" s="2438"/>
      <c r="T27" s="2438"/>
      <c r="U27" s="2438"/>
      <c r="V27" s="2438"/>
    </row>
    <row r="28" spans="1:28">
      <c r="A28" s="3157"/>
      <c r="B28" s="1638" t="s">
        <v>390</v>
      </c>
      <c r="C28" s="2880" t="s">
        <v>391</v>
      </c>
      <c r="D28" s="2881"/>
      <c r="E28" s="2577"/>
      <c r="F28" s="2577"/>
      <c r="G28" s="2577"/>
      <c r="H28" s="2577"/>
      <c r="I28" s="2577"/>
      <c r="J28" s="2438"/>
      <c r="K28" s="2902"/>
      <c r="L28" s="2901"/>
      <c r="M28" s="2901"/>
      <c r="N28" s="2438"/>
      <c r="O28" s="2256"/>
      <c r="P28" s="2438"/>
      <c r="Q28" s="2438"/>
      <c r="R28" s="2438"/>
      <c r="S28" s="2438"/>
      <c r="T28" s="2438"/>
      <c r="U28" s="2438"/>
      <c r="V28" s="2438"/>
    </row>
    <row r="29" spans="1:28">
      <c r="A29" s="3157"/>
      <c r="B29" s="1638" t="s">
        <v>392</v>
      </c>
      <c r="C29" s="2882"/>
      <c r="D29" s="2883"/>
      <c r="E29" s="2577"/>
      <c r="F29" s="2577"/>
      <c r="G29" s="2577"/>
      <c r="H29" s="2577"/>
      <c r="I29" s="2577"/>
      <c r="J29" s="2438"/>
      <c r="K29" s="2902"/>
      <c r="L29" s="2901"/>
      <c r="M29" s="2901"/>
      <c r="N29" s="2438"/>
      <c r="O29" s="2256"/>
      <c r="P29" s="2438"/>
      <c r="Q29" s="2438"/>
      <c r="R29" s="2438"/>
      <c r="S29" s="2438"/>
      <c r="T29" s="2438"/>
      <c r="U29" s="2438"/>
      <c r="V29" s="2438"/>
    </row>
    <row r="30" spans="1:28">
      <c r="A30" s="3158"/>
      <c r="B30" s="1638" t="s">
        <v>393</v>
      </c>
      <c r="C30" s="3184"/>
      <c r="D30" s="3185"/>
      <c r="E30" s="2577"/>
      <c r="F30" s="2577"/>
      <c r="G30" s="2577"/>
      <c r="H30" s="2577"/>
      <c r="I30" s="2577"/>
      <c r="J30" s="2438"/>
      <c r="K30" s="2902"/>
      <c r="L30" s="2901"/>
      <c r="M30" s="2901"/>
      <c r="N30" s="2438"/>
      <c r="O30" s="2256"/>
      <c r="P30" s="2438"/>
      <c r="Q30" s="2438"/>
      <c r="R30" s="2438"/>
      <c r="S30" s="2438"/>
      <c r="T30" s="2438"/>
      <c r="U30" s="2438"/>
      <c r="V30" s="2438"/>
    </row>
    <row r="31" spans="1:28">
      <c r="A31" s="3159" t="s">
        <v>394</v>
      </c>
      <c r="B31" s="2884" t="s">
        <v>395</v>
      </c>
      <c r="C31" s="1787" t="str">
        <f>IF(B31="现房","成新及维护状况正常否",IF(B31="在建","工程状态是否正常",IF(B31="土地","是否闲置","-")))</f>
        <v>工程状态是否正常</v>
      </c>
      <c r="D31" s="1880"/>
      <c r="E31" s="2885"/>
      <c r="F31" s="2577"/>
      <c r="G31" s="2577"/>
      <c r="H31" s="2577"/>
      <c r="I31" s="2577"/>
      <c r="J31" s="2438"/>
      <c r="K31" s="2900"/>
      <c r="L31" s="2901"/>
      <c r="M31" s="2901"/>
      <c r="N31" s="2438"/>
      <c r="O31" s="2256"/>
      <c r="P31" s="2438"/>
      <c r="Q31" s="2438"/>
      <c r="R31" s="2438"/>
      <c r="S31" s="2438"/>
      <c r="T31" s="2438"/>
      <c r="U31" s="2438"/>
      <c r="V31" s="2438"/>
    </row>
    <row r="32" spans="1:28">
      <c r="A32" s="3160"/>
      <c r="B32" s="2884" t="s">
        <v>395</v>
      </c>
      <c r="C32" s="1787" t="str">
        <f>IF(B32="现房","成新及维护状况是否正常",IF(B32="在建","工程状态是否正常",IF(B32="土地","是否闲置","-")))</f>
        <v>工程状态是否正常</v>
      </c>
      <c r="D32" s="1880"/>
      <c r="E32" s="2885"/>
      <c r="F32" s="2577"/>
      <c r="G32" s="2577"/>
      <c r="H32" s="2577"/>
      <c r="I32" s="2577"/>
      <c r="J32" s="2438"/>
      <c r="K32" s="2902"/>
      <c r="L32" s="2901"/>
      <c r="M32" s="2901"/>
      <c r="N32" s="2438"/>
      <c r="O32" s="2256"/>
      <c r="P32" s="2438"/>
      <c r="Q32" s="2438"/>
      <c r="R32" s="2438"/>
      <c r="S32" s="2438"/>
      <c r="T32" s="2438"/>
      <c r="U32" s="2438"/>
      <c r="V32" s="2438"/>
    </row>
    <row r="33" spans="1:30">
      <c r="A33" s="3160"/>
      <c r="B33" s="2886"/>
      <c r="C33" s="2235" t="str">
        <f>IF(B33="现房","成新及维护状况是否正常",IF(B33="在建","工程状态是否正常",IF(B33="土地","是否闲置","-")))</f>
        <v>-</v>
      </c>
      <c r="D33" s="1647"/>
      <c r="E33" s="2887"/>
      <c r="F33" s="2577"/>
      <c r="G33" s="2577"/>
      <c r="H33" s="2577"/>
      <c r="I33" s="2577"/>
      <c r="J33" s="2438"/>
      <c r="K33" s="2902"/>
      <c r="L33" s="2901"/>
      <c r="M33" s="2901"/>
      <c r="N33" s="2438"/>
      <c r="O33" s="2256"/>
      <c r="P33" s="2438"/>
      <c r="Q33" s="2438"/>
      <c r="R33" s="2438"/>
      <c r="S33" s="2438"/>
      <c r="T33" s="2438"/>
      <c r="U33" s="2438"/>
      <c r="V33" s="2438"/>
    </row>
    <row r="34" spans="1:30">
      <c r="A34" s="1638" t="s">
        <v>396</v>
      </c>
      <c r="B34" s="562" t="s">
        <v>397</v>
      </c>
      <c r="C34" s="562" t="s">
        <v>398</v>
      </c>
      <c r="D34" s="562" t="s">
        <v>399</v>
      </c>
      <c r="E34" s="562" t="s">
        <v>400</v>
      </c>
      <c r="F34" s="562" t="s">
        <v>401</v>
      </c>
      <c r="G34" s="562"/>
      <c r="H34" s="562"/>
      <c r="I34" s="2577"/>
      <c r="J34" s="2438"/>
      <c r="K34" s="288">
        <f>COUNTIF(B34:H34,"——")</f>
        <v>0</v>
      </c>
      <c r="L34" s="1679" t="s">
        <v>402</v>
      </c>
      <c r="M34" s="1679" t="s">
        <v>403</v>
      </c>
      <c r="N34" s="1679" t="s">
        <v>404</v>
      </c>
      <c r="O34" s="1679" t="s">
        <v>405</v>
      </c>
      <c r="P34" s="1679" t="s">
        <v>406</v>
      </c>
      <c r="Q34" s="1679" t="s">
        <v>407</v>
      </c>
      <c r="R34" s="1679" t="s">
        <v>408</v>
      </c>
      <c r="S34" s="3179" t="s">
        <v>409</v>
      </c>
      <c r="T34" s="2918" t="str">
        <f>NUMBERSTRING(7-K34,1)&amp;"通"</f>
        <v>七通</v>
      </c>
      <c r="U34" s="2438"/>
      <c r="V34" s="2438"/>
    </row>
    <row r="35" spans="1:30">
      <c r="A35" s="2888"/>
      <c r="B35" s="3179" t="s">
        <v>410</v>
      </c>
      <c r="C35" s="3179"/>
      <c r="D35" s="3179"/>
      <c r="E35" s="3179"/>
      <c r="F35" s="288">
        <f>C10</f>
        <v>0</v>
      </c>
      <c r="G35" s="2577"/>
      <c r="H35" s="2577"/>
      <c r="I35" s="2577"/>
      <c r="J35" s="2438"/>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79"/>
      <c r="T35" s="233" t="str">
        <f>IF(T34="一通",L35,IF(T34="二通",M35,IF(T34="三通",N35,IF(T34="四通",O35,IF(T34="五通",P35,IF(T34="六通",Q35,R35))))))</f>
        <v>通路、通电、通讯、通上水、通下水、、</v>
      </c>
      <c r="U35" s="2438"/>
      <c r="V35" s="2438"/>
    </row>
    <row r="36" spans="1:30">
      <c r="A36" s="2889"/>
      <c r="B36" s="288" t="s">
        <v>351</v>
      </c>
      <c r="C36" s="288" t="s">
        <v>352</v>
      </c>
      <c r="D36" s="288" t="s">
        <v>350</v>
      </c>
      <c r="E36" s="288" t="s">
        <v>355</v>
      </c>
      <c r="F36" s="2890"/>
      <c r="G36" s="2577"/>
      <c r="H36" s="2577"/>
      <c r="I36" s="2577"/>
      <c r="J36" s="2438"/>
      <c r="K36" s="2902"/>
      <c r="L36" s="2901"/>
      <c r="M36" s="2901"/>
      <c r="N36" s="2438"/>
      <c r="O36" s="2256"/>
      <c r="P36" s="2438"/>
      <c r="Q36" s="2438"/>
      <c r="R36" s="2438"/>
      <c r="S36" s="2438"/>
      <c r="T36" s="2438"/>
      <c r="U36" s="2438"/>
      <c r="V36" s="2438"/>
    </row>
    <row r="37" spans="1:30">
      <c r="A37" s="2891" t="s">
        <v>411</v>
      </c>
      <c r="B37" s="2892" t="s">
        <v>286</v>
      </c>
      <c r="C37" s="2892" t="s">
        <v>286</v>
      </c>
      <c r="D37" s="2892" t="s">
        <v>286</v>
      </c>
      <c r="E37" s="2892"/>
      <c r="F37" s="2890"/>
      <c r="G37" s="2577"/>
      <c r="H37" s="2577"/>
      <c r="I37" s="2577"/>
      <c r="J37" s="2438"/>
      <c r="K37" s="2902"/>
      <c r="L37" s="2901"/>
      <c r="M37" s="2901"/>
      <c r="N37" s="2438"/>
      <c r="O37" s="2256"/>
      <c r="P37" s="2438"/>
      <c r="Q37" s="2438"/>
      <c r="R37" s="2438"/>
      <c r="S37" s="2438"/>
      <c r="T37" s="2438"/>
      <c r="U37" s="2438"/>
      <c r="V37" s="2438"/>
    </row>
    <row r="38" spans="1:30">
      <c r="A38" s="2893" t="s">
        <v>412</v>
      </c>
      <c r="B38" s="2894" t="s">
        <v>413</v>
      </c>
      <c r="C38" s="2894" t="s">
        <v>413</v>
      </c>
      <c r="D38" s="2894" t="s">
        <v>413</v>
      </c>
      <c r="E38" s="2894"/>
      <c r="F38" s="2895"/>
      <c r="G38" s="2833"/>
      <c r="H38" s="2833"/>
      <c r="I38" s="2833"/>
      <c r="J38" s="2438"/>
      <c r="K38" s="2902"/>
      <c r="L38" s="2901"/>
      <c r="M38" s="2901"/>
      <c r="N38" s="2438"/>
      <c r="O38" s="2256"/>
      <c r="P38" s="2438"/>
      <c r="Q38" s="2438"/>
      <c r="R38" s="2438"/>
      <c r="S38" s="2438"/>
      <c r="T38" s="2438"/>
      <c r="U38" s="2438"/>
      <c r="V38" s="2438"/>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5"/>
      <c r="J40" s="2438"/>
      <c r="K40" s="2900"/>
      <c r="L40" s="2256"/>
      <c r="M40" s="2256"/>
      <c r="N40" s="2438"/>
      <c r="O40" s="2256"/>
      <c r="P40" s="2438"/>
      <c r="Q40" s="2438"/>
      <c r="R40" s="2438"/>
      <c r="S40" s="2438"/>
      <c r="T40" s="2438"/>
      <c r="U40" s="2438"/>
      <c r="V40" s="2438"/>
    </row>
    <row r="41" spans="1:30">
      <c r="A41" s="2898" t="s">
        <v>415</v>
      </c>
      <c r="B41" s="2144"/>
      <c r="C41" s="1880"/>
      <c r="D41" s="2808"/>
      <c r="E41" s="2808"/>
      <c r="F41" s="2808"/>
      <c r="G41" s="2808"/>
      <c r="H41" s="2808"/>
      <c r="I41" s="2255"/>
      <c r="J41" s="2438"/>
      <c r="K41" s="2902"/>
      <c r="L41" s="2901"/>
      <c r="M41" s="2901"/>
      <c r="N41" s="2438"/>
      <c r="O41" s="2256"/>
      <c r="P41" s="2438"/>
      <c r="Q41" s="2438"/>
      <c r="R41" s="2438"/>
      <c r="S41" s="2438"/>
      <c r="T41" s="2438"/>
      <c r="U41" s="2438"/>
      <c r="V41" s="2438"/>
    </row>
    <row r="42" spans="1:30" ht="25.5">
      <c r="A42" s="1679"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8"/>
      <c r="T42" s="2438"/>
      <c r="U42" s="2438"/>
      <c r="V42" s="2438"/>
    </row>
    <row r="43" spans="1:30" s="2655" customFormat="1">
      <c r="A43" s="2751"/>
      <c r="B43" s="241"/>
      <c r="C43" s="241"/>
      <c r="D43" s="241"/>
      <c r="E43" s="241"/>
      <c r="F43" s="241"/>
      <c r="G43" s="241"/>
      <c r="H43" s="241"/>
      <c r="I43" s="241"/>
      <c r="J43" s="2915"/>
      <c r="K43" s="2916"/>
      <c r="L43" s="2916"/>
      <c r="M43" s="241"/>
      <c r="N43" s="241"/>
      <c r="O43" s="241"/>
      <c r="P43" s="241"/>
      <c r="Q43" s="241"/>
      <c r="R43" s="241"/>
      <c r="S43" s="2438"/>
      <c r="T43" s="2438"/>
      <c r="U43" s="2438"/>
      <c r="V43" s="2438"/>
    </row>
    <row r="44" spans="1:30" s="2655" customFormat="1">
      <c r="A44" s="2751"/>
      <c r="B44" s="2751"/>
      <c r="C44" s="241"/>
      <c r="D44" s="241"/>
      <c r="E44" s="241"/>
      <c r="F44" s="241"/>
      <c r="G44" s="241"/>
      <c r="H44" s="241"/>
      <c r="I44" s="241"/>
      <c r="J44" s="2915"/>
      <c r="K44" s="2916"/>
      <c r="L44" s="2916"/>
      <c r="M44" s="241"/>
      <c r="N44" s="241"/>
      <c r="O44" s="241"/>
      <c r="P44" s="241"/>
      <c r="Q44" s="241"/>
      <c r="R44" s="241"/>
      <c r="S44" s="2438"/>
      <c r="T44" s="2438"/>
      <c r="U44" s="2438"/>
      <c r="V44" s="2438"/>
    </row>
    <row r="45" spans="1:30" s="2655" customFormat="1">
      <c r="A45" s="2751"/>
      <c r="B45" s="2751"/>
      <c r="C45" s="241"/>
      <c r="D45" s="241"/>
      <c r="E45" s="241"/>
      <c r="F45" s="241"/>
      <c r="G45" s="241"/>
      <c r="H45" s="241"/>
      <c r="I45" s="241"/>
      <c r="J45" s="2915"/>
      <c r="K45" s="2916"/>
      <c r="L45" s="2916"/>
      <c r="M45" s="241"/>
      <c r="N45" s="241"/>
      <c r="O45" s="241"/>
      <c r="P45" s="241"/>
      <c r="Q45" s="241"/>
      <c r="R45" s="241"/>
      <c r="S45" s="2438"/>
      <c r="T45" s="2438"/>
      <c r="U45" s="2438"/>
      <c r="V45" s="2438"/>
    </row>
    <row r="46" spans="1:30" s="2655" customFormat="1">
      <c r="A46" s="2751"/>
      <c r="B46" s="2751"/>
      <c r="C46" s="241"/>
      <c r="D46" s="241"/>
      <c r="E46" s="241"/>
      <c r="F46" s="241"/>
      <c r="G46" s="241"/>
      <c r="H46" s="241"/>
      <c r="I46" s="241"/>
      <c r="J46" s="2915"/>
      <c r="K46" s="2916"/>
      <c r="L46" s="2916"/>
      <c r="M46" s="241"/>
      <c r="N46" s="241"/>
      <c r="O46" s="241"/>
      <c r="P46" s="241"/>
      <c r="Q46" s="241"/>
      <c r="R46" s="241"/>
      <c r="S46" s="2438"/>
      <c r="T46" s="2438"/>
      <c r="U46" s="2438"/>
      <c r="V46" s="2438"/>
    </row>
    <row r="47" spans="1:30" s="2655" customFormat="1">
      <c r="A47" s="2751"/>
      <c r="B47" s="2751"/>
      <c r="C47" s="241"/>
      <c r="D47" s="241"/>
      <c r="E47" s="241"/>
      <c r="F47" s="241"/>
      <c r="G47" s="241"/>
      <c r="H47" s="241"/>
      <c r="I47" s="241"/>
      <c r="J47" s="2915"/>
      <c r="K47" s="2916"/>
      <c r="L47" s="2916"/>
      <c r="M47" s="241"/>
      <c r="N47" s="241"/>
      <c r="O47" s="241"/>
      <c r="P47" s="241"/>
      <c r="Q47" s="241"/>
      <c r="R47" s="241"/>
      <c r="S47" s="2438"/>
      <c r="T47" s="2438"/>
      <c r="U47" s="2438"/>
      <c r="V47" s="2438"/>
    </row>
    <row r="48" spans="1:30" s="2655" customFormat="1">
      <c r="A48" s="2751"/>
      <c r="B48" s="2751"/>
      <c r="C48" s="241"/>
      <c r="D48" s="241"/>
      <c r="E48" s="241"/>
      <c r="F48" s="241"/>
      <c r="G48" s="241"/>
      <c r="H48" s="241"/>
      <c r="I48" s="241"/>
      <c r="J48" s="2915"/>
      <c r="K48" s="2916"/>
      <c r="L48" s="2916"/>
      <c r="M48" s="241"/>
      <c r="N48" s="241"/>
      <c r="O48" s="241"/>
      <c r="P48" s="241"/>
      <c r="Q48" s="241"/>
      <c r="R48" s="241"/>
      <c r="S48" s="2438"/>
      <c r="T48" s="2438"/>
      <c r="U48" s="2438"/>
      <c r="V48" s="2438"/>
    </row>
    <row r="49" spans="1:22" s="2655" customFormat="1">
      <c r="A49" s="2751"/>
      <c r="B49" s="2751"/>
      <c r="C49" s="241"/>
      <c r="D49" s="241"/>
      <c r="E49" s="241"/>
      <c r="F49" s="241"/>
      <c r="G49" s="241"/>
      <c r="H49" s="241"/>
      <c r="I49" s="241"/>
      <c r="J49" s="2915"/>
      <c r="K49" s="2916"/>
      <c r="L49" s="2916"/>
      <c r="M49" s="241"/>
      <c r="N49" s="241"/>
      <c r="O49" s="241"/>
      <c r="P49" s="241"/>
      <c r="Q49" s="241"/>
      <c r="R49" s="241"/>
      <c r="S49" s="2438"/>
      <c r="T49" s="2438"/>
      <c r="U49" s="2438"/>
      <c r="V49" s="2438"/>
    </row>
    <row r="50" spans="1:22" s="2655" customFormat="1">
      <c r="A50" s="2751"/>
      <c r="B50" s="2751"/>
      <c r="C50" s="241"/>
      <c r="D50" s="241"/>
      <c r="E50" s="241"/>
      <c r="F50" s="241"/>
      <c r="G50" s="241"/>
      <c r="H50" s="241"/>
      <c r="I50" s="241"/>
      <c r="J50" s="2915"/>
      <c r="K50" s="2916"/>
      <c r="L50" s="2916"/>
      <c r="M50" s="241"/>
      <c r="N50" s="241"/>
      <c r="O50" s="241"/>
      <c r="P50" s="241"/>
      <c r="Q50" s="241"/>
      <c r="R50" s="241"/>
      <c r="S50" s="2438"/>
      <c r="T50" s="2438"/>
      <c r="U50" s="2438"/>
      <c r="V50" s="2438"/>
    </row>
    <row r="51" spans="1:22" s="2655" customFormat="1">
      <c r="A51" s="2751"/>
      <c r="B51" s="2751"/>
      <c r="C51" s="241"/>
      <c r="D51" s="241"/>
      <c r="E51" s="241"/>
      <c r="F51" s="241"/>
      <c r="G51" s="241"/>
      <c r="H51" s="241"/>
      <c r="I51" s="241"/>
      <c r="J51" s="2915"/>
      <c r="K51" s="2916"/>
      <c r="L51" s="2916"/>
      <c r="M51" s="241"/>
      <c r="N51" s="241"/>
      <c r="O51" s="241"/>
      <c r="P51" s="241"/>
      <c r="Q51" s="241"/>
      <c r="R51" s="241"/>
    </row>
    <row r="52" spans="1:22" s="2655" customFormat="1">
      <c r="A52" s="2751"/>
      <c r="B52" s="2751"/>
      <c r="C52" s="2751"/>
      <c r="D52" s="2751"/>
      <c r="E52" s="2751"/>
      <c r="F52" s="241"/>
      <c r="G52" s="2751"/>
      <c r="H52" s="2751"/>
      <c r="I52" s="2751"/>
      <c r="J52" s="2917"/>
      <c r="K52" s="2916"/>
      <c r="L52" s="2916"/>
      <c r="M52" s="2916"/>
      <c r="N52" s="2751"/>
      <c r="O52" s="2751"/>
      <c r="P52" s="2751"/>
      <c r="Q52" s="2751"/>
      <c r="R52" s="2751"/>
    </row>
    <row r="53" spans="1:22" s="2655" customFormat="1">
      <c r="A53" s="2751"/>
      <c r="B53" s="2751"/>
      <c r="C53" s="2751"/>
      <c r="D53" s="2751"/>
      <c r="E53" s="2751"/>
      <c r="F53" s="241"/>
      <c r="G53" s="2751"/>
      <c r="H53" s="2751"/>
      <c r="I53" s="2751"/>
      <c r="J53" s="2917"/>
      <c r="K53" s="2916"/>
      <c r="L53" s="2916"/>
      <c r="M53" s="2916"/>
      <c r="N53" s="2751"/>
      <c r="O53" s="2751"/>
      <c r="P53" s="2751"/>
      <c r="Q53" s="2751"/>
      <c r="R53" s="2751"/>
    </row>
    <row r="54" spans="1:22" s="2655" customFormat="1">
      <c r="A54" s="2751"/>
      <c r="B54" s="2751"/>
      <c r="C54" s="2751"/>
      <c r="D54" s="2751"/>
      <c r="E54" s="2751"/>
      <c r="F54" s="241"/>
      <c r="G54" s="2751"/>
      <c r="H54" s="2751"/>
      <c r="I54" s="2751"/>
      <c r="J54" s="2917"/>
      <c r="K54" s="2916"/>
      <c r="L54" s="2916"/>
      <c r="M54" s="2916"/>
      <c r="N54" s="2751"/>
      <c r="O54" s="2751"/>
      <c r="P54" s="2751"/>
      <c r="Q54" s="2751"/>
      <c r="R54" s="2751"/>
    </row>
    <row r="55" spans="1:22" s="2655" customFormat="1">
      <c r="A55" s="2751"/>
      <c r="B55" s="2751"/>
      <c r="C55" s="2751"/>
      <c r="D55" s="2751"/>
      <c r="E55" s="2751"/>
      <c r="F55" s="241"/>
      <c r="G55" s="2751"/>
      <c r="H55" s="2751"/>
      <c r="I55" s="2751"/>
      <c r="J55" s="2917"/>
      <c r="K55" s="2916"/>
      <c r="L55" s="2916"/>
      <c r="M55" s="2916"/>
      <c r="N55" s="2751"/>
      <c r="O55" s="2751"/>
      <c r="P55" s="2751"/>
      <c r="Q55" s="2751"/>
      <c r="R55" s="2751"/>
    </row>
    <row r="56" spans="1:22" s="2655"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17" sqref="A17"/>
    </sheetView>
  </sheetViews>
  <sheetFormatPr defaultColWidth="8.875" defaultRowHeight="14.25"/>
  <cols>
    <col min="1" max="1" width="10.625" style="2725" customWidth="1"/>
    <col min="2" max="2" width="11" style="2725" customWidth="1"/>
    <col min="3" max="3" width="10.375" style="2725" customWidth="1"/>
    <col min="4" max="4" width="9.125" style="2725" customWidth="1"/>
    <col min="5" max="8" width="10" style="2725" customWidth="1"/>
    <col min="9" max="9" width="10.625" style="2725" customWidth="1"/>
    <col min="10" max="10" width="9.5" style="2725" customWidth="1"/>
    <col min="11" max="11" width="11" style="2725" customWidth="1"/>
    <col min="12" max="14" width="9.5" style="2725" customWidth="1"/>
    <col min="15" max="15" width="9.875" style="2725" customWidth="1"/>
    <col min="16" max="16" width="9.75" style="2725" customWidth="1"/>
    <col min="17" max="17" width="9.375" style="2725" hidden="1" customWidth="1"/>
    <col min="18" max="18" width="9.25" style="2725" hidden="1" customWidth="1"/>
    <col min="19" max="19" width="10.875" style="2725" hidden="1" customWidth="1"/>
    <col min="20" max="21" width="10.75" style="2725" hidden="1" customWidth="1"/>
    <col min="22" max="22" width="10.875" style="2725" hidden="1" customWidth="1"/>
    <col min="23" max="27" width="10.75" style="2725" hidden="1" customWidth="1"/>
    <col min="28" max="28" width="10.875" style="2725" hidden="1" customWidth="1"/>
    <col min="29" max="29" width="11" style="2725" customWidth="1"/>
    <col min="30" max="30" width="10" style="2725" customWidth="1"/>
    <col min="31" max="31" width="9.75" style="2725" customWidth="1"/>
    <col min="32" max="46" width="9.5" style="2725" customWidth="1"/>
    <col min="47" max="47" width="18.125" style="2725" customWidth="1"/>
    <col min="48" max="50" width="9.75" style="2725" customWidth="1"/>
    <col min="51" max="55" width="10.5" style="2725" customWidth="1"/>
    <col min="56" max="56" width="9.5" style="2725" customWidth="1"/>
    <col min="57" max="63" width="9.125" style="2725" customWidth="1"/>
    <col min="64" max="64" width="9.5" style="2725" customWidth="1"/>
    <col min="65" max="65" width="9.125" style="2725" customWidth="1"/>
    <col min="66" max="66" width="9.5" style="2725" customWidth="1"/>
    <col min="67" max="69" width="9.125" style="2725" customWidth="1"/>
    <col min="70" max="70" width="9.5" style="2725" customWidth="1"/>
    <col min="71" max="71" width="9" style="2725" customWidth="1"/>
    <col min="72" max="72" width="9.125" style="2725" customWidth="1"/>
    <col min="73" max="16384" width="8.875" style="2725"/>
  </cols>
  <sheetData>
    <row r="1" spans="1:72" ht="20.25">
      <c r="A1" s="2218" t="s">
        <v>434</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75" t="s">
        <v>435</v>
      </c>
      <c r="AW1" s="2726"/>
      <c r="AX1" s="2726"/>
      <c r="AY1" s="2726"/>
      <c r="AZ1" s="2726"/>
      <c r="BA1" s="2726"/>
      <c r="BB1" s="2726"/>
      <c r="BC1" s="2726"/>
      <c r="BD1" s="2726"/>
      <c r="BE1" s="2726"/>
      <c r="BF1" s="2726"/>
      <c r="BG1" s="2726"/>
      <c r="BH1" s="2726"/>
      <c r="BI1" s="2726"/>
      <c r="BJ1" s="2726"/>
      <c r="BK1" s="2726"/>
      <c r="BL1" s="2726"/>
      <c r="BM1" s="2726"/>
      <c r="BN1" s="2726"/>
      <c r="BO1" s="2726"/>
      <c r="BP1" s="2726"/>
      <c r="BQ1" s="2726"/>
      <c r="BR1" s="2726"/>
      <c r="BS1" s="2726"/>
      <c r="BT1" s="2726"/>
    </row>
    <row r="2" spans="1:72" s="2722" customFormat="1" ht="24">
      <c r="A2" s="288" t="s">
        <v>366</v>
      </c>
      <c r="B2" s="288" t="s">
        <v>362</v>
      </c>
      <c r="C2" s="288" t="s">
        <v>436</v>
      </c>
      <c r="D2" s="2255"/>
      <c r="E2" s="2216"/>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783" t="s">
        <v>437</v>
      </c>
      <c r="AZ2" s="2784" t="s">
        <v>438</v>
      </c>
      <c r="BA2" s="288" t="s">
        <v>439</v>
      </c>
      <c r="BB2" s="2255"/>
      <c r="BC2" s="2255"/>
      <c r="BD2" s="2255"/>
      <c r="BE2" s="2255"/>
      <c r="BF2" s="2255"/>
      <c r="BG2" s="2255"/>
      <c r="BH2" s="2255"/>
      <c r="BI2" s="2255"/>
      <c r="BJ2" s="2255"/>
      <c r="BK2" s="2255"/>
      <c r="BL2" s="2255"/>
      <c r="BM2" s="2255"/>
      <c r="BN2" s="2255"/>
      <c r="BO2" s="2255"/>
      <c r="BP2" s="2255"/>
      <c r="BQ2" s="2255"/>
      <c r="BR2" s="2255"/>
      <c r="BS2" s="2255"/>
      <c r="BT2" s="2255"/>
    </row>
    <row r="3" spans="1:72" s="2722" customFormat="1" ht="12.75">
      <c r="A3" s="2727"/>
      <c r="B3" s="2728">
        <f>IF(C3="否",G5-AT5,G5)</f>
        <v>49403.210000000006</v>
      </c>
      <c r="C3" s="2729" t="s">
        <v>440</v>
      </c>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785"/>
      <c r="AZ3" s="241"/>
      <c r="BA3" s="2772"/>
      <c r="BB3" s="2255"/>
      <c r="BC3" s="2255"/>
      <c r="BD3" s="2255"/>
      <c r="BE3" s="2255"/>
      <c r="BF3" s="2255"/>
      <c r="BG3" s="2255"/>
      <c r="BH3" s="2255"/>
      <c r="BI3" s="2255"/>
      <c r="BJ3" s="2255"/>
      <c r="BK3" s="2255"/>
      <c r="BL3" s="2255"/>
      <c r="BM3" s="2255"/>
      <c r="BN3" s="2255"/>
      <c r="BO3" s="2255"/>
      <c r="BP3" s="2255"/>
      <c r="BQ3" s="2255"/>
      <c r="BR3" s="2255"/>
      <c r="BS3" s="2255"/>
      <c r="BT3" s="2255"/>
    </row>
    <row r="4" spans="1:72" s="2722" customFormat="1" ht="12.75">
      <c r="A4" s="2730"/>
      <c r="B4" s="2731"/>
      <c r="C4" s="2732"/>
      <c r="D4" s="2255"/>
      <c r="E4" s="2255"/>
      <c r="F4" s="2255"/>
      <c r="G4" s="2255"/>
      <c r="H4" s="2255"/>
      <c r="I4" s="2255"/>
      <c r="J4" s="2255"/>
      <c r="K4" s="2255"/>
      <c r="L4" s="2255"/>
      <c r="M4" s="2255"/>
      <c r="N4" s="2255"/>
      <c r="O4" s="2255"/>
      <c r="P4" s="2255"/>
      <c r="Q4" s="2255"/>
      <c r="R4" s="2255"/>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786"/>
      <c r="BB4" s="2255"/>
      <c r="BC4" s="2255"/>
      <c r="BD4" s="2255"/>
      <c r="BE4" s="2255"/>
      <c r="BF4" s="2255"/>
      <c r="BG4" s="2255"/>
      <c r="BH4" s="2255"/>
      <c r="BI4" s="2255"/>
      <c r="BJ4" s="2255"/>
      <c r="BK4" s="2255"/>
      <c r="BL4" s="2255"/>
      <c r="BM4" s="2255"/>
      <c r="BN4" s="2255"/>
      <c r="BO4" s="2255"/>
      <c r="BP4" s="2255"/>
      <c r="BQ4" s="2255"/>
      <c r="BR4" s="2255"/>
      <c r="BS4" s="2255"/>
      <c r="BT4" s="2255"/>
    </row>
    <row r="5" spans="1:72" s="2722" customFormat="1" ht="12.75">
      <c r="A5" s="1787" t="s">
        <v>441</v>
      </c>
      <c r="B5" s="2141"/>
      <c r="C5" s="2141"/>
      <c r="D5" s="2266"/>
      <c r="E5" s="2733" t="s">
        <v>124</v>
      </c>
      <c r="F5" s="2733">
        <f>SUM(F13:F587)</f>
        <v>0</v>
      </c>
      <c r="G5" s="2733">
        <f>SUM(G13:G587)</f>
        <v>49403.210000000006</v>
      </c>
      <c r="H5" s="2733">
        <f t="shared" ref="H5:AT5" si="0">SUM(H13:H656)</f>
        <v>49403.210000000006</v>
      </c>
      <c r="I5" s="2733">
        <f t="shared" si="0"/>
        <v>13554.37</v>
      </c>
      <c r="J5" s="2733">
        <f t="shared" si="0"/>
        <v>0</v>
      </c>
      <c r="K5" s="2733">
        <f t="shared" si="0"/>
        <v>369.19</v>
      </c>
      <c r="L5" s="2733">
        <f t="shared" si="0"/>
        <v>0</v>
      </c>
      <c r="M5" s="2733">
        <f t="shared" si="0"/>
        <v>32774.76</v>
      </c>
      <c r="N5" s="2733">
        <f t="shared" si="0"/>
        <v>0</v>
      </c>
      <c r="O5" s="2733">
        <f t="shared" si="0"/>
        <v>2704.89</v>
      </c>
      <c r="P5" s="2733">
        <f t="shared" si="0"/>
        <v>0</v>
      </c>
      <c r="Q5" s="2733">
        <f t="shared" si="0"/>
        <v>0</v>
      </c>
      <c r="R5" s="2733">
        <f t="shared" si="0"/>
        <v>0</v>
      </c>
      <c r="S5" s="2733">
        <f t="shared" si="0"/>
        <v>0</v>
      </c>
      <c r="T5" s="2733">
        <f t="shared" si="0"/>
        <v>0</v>
      </c>
      <c r="U5" s="2733">
        <f t="shared" si="0"/>
        <v>0</v>
      </c>
      <c r="V5" s="2733">
        <f t="shared" si="0"/>
        <v>0</v>
      </c>
      <c r="W5" s="2733">
        <f t="shared" si="0"/>
        <v>0</v>
      </c>
      <c r="X5" s="2733">
        <f t="shared" si="0"/>
        <v>0</v>
      </c>
      <c r="Y5" s="2733">
        <f t="shared" si="0"/>
        <v>0</v>
      </c>
      <c r="Z5" s="2733">
        <f t="shared" si="0"/>
        <v>0</v>
      </c>
      <c r="AA5" s="2733">
        <f t="shared" si="0"/>
        <v>0</v>
      </c>
      <c r="AB5" s="2733">
        <f t="shared" si="0"/>
        <v>0</v>
      </c>
      <c r="AC5" s="2733">
        <f t="shared" si="0"/>
        <v>0</v>
      </c>
      <c r="AD5" s="2733">
        <f t="shared" si="0"/>
        <v>0</v>
      </c>
      <c r="AE5" s="2733">
        <f t="shared" si="0"/>
        <v>0</v>
      </c>
      <c r="AF5" s="2733">
        <f t="shared" si="0"/>
        <v>0</v>
      </c>
      <c r="AG5" s="2733">
        <f t="shared" si="0"/>
        <v>0</v>
      </c>
      <c r="AH5" s="2733">
        <f t="shared" si="0"/>
        <v>0</v>
      </c>
      <c r="AI5" s="2733">
        <f t="shared" si="0"/>
        <v>0</v>
      </c>
      <c r="AJ5" s="2733">
        <f t="shared" si="0"/>
        <v>0</v>
      </c>
      <c r="AK5" s="2733">
        <f t="shared" si="0"/>
        <v>0</v>
      </c>
      <c r="AL5" s="2733">
        <f t="shared" si="0"/>
        <v>0</v>
      </c>
      <c r="AM5" s="2733">
        <f t="shared" si="0"/>
        <v>0</v>
      </c>
      <c r="AN5" s="2733">
        <f t="shared" si="0"/>
        <v>0</v>
      </c>
      <c r="AO5" s="2733">
        <f t="shared" si="0"/>
        <v>0</v>
      </c>
      <c r="AP5" s="2733">
        <f t="shared" si="0"/>
        <v>0</v>
      </c>
      <c r="AQ5" s="2733">
        <f t="shared" si="0"/>
        <v>0</v>
      </c>
      <c r="AR5" s="2733">
        <f t="shared" si="0"/>
        <v>0</v>
      </c>
      <c r="AS5" s="2733">
        <f t="shared" si="0"/>
        <v>0</v>
      </c>
      <c r="AT5" s="2733">
        <f t="shared" si="0"/>
        <v>0</v>
      </c>
      <c r="AU5" s="2140"/>
      <c r="AV5" s="1787" t="s">
        <v>441</v>
      </c>
      <c r="AW5" s="2141"/>
      <c r="AX5" s="2141"/>
      <c r="AY5" s="237" t="s">
        <v>124</v>
      </c>
      <c r="AZ5" s="2787">
        <f t="shared" ref="AZ5:BT5" si="1">SUM(AZ13:AZ656)</f>
        <v>49403.210000000006</v>
      </c>
      <c r="BA5" s="2787">
        <f t="shared" si="1"/>
        <v>49403.210000000006</v>
      </c>
      <c r="BB5" s="2787">
        <f t="shared" si="1"/>
        <v>13554.37</v>
      </c>
      <c r="BC5" s="2787">
        <f t="shared" si="1"/>
        <v>369.19</v>
      </c>
      <c r="BD5" s="2787">
        <f t="shared" si="1"/>
        <v>32774.76</v>
      </c>
      <c r="BE5" s="2787">
        <f t="shared" si="1"/>
        <v>2704.89</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3" customFormat="1" ht="12.75">
      <c r="A6" s="1787" t="s">
        <v>442</v>
      </c>
      <c r="B6" s="2734"/>
      <c r="C6" s="2734"/>
      <c r="D6" s="2735"/>
      <c r="E6" s="2733">
        <f>H6+AC6+AT6</f>
        <v>0</v>
      </c>
      <c r="F6" s="2733" t="s">
        <v>124</v>
      </c>
      <c r="G6" s="2733" t="s">
        <v>124</v>
      </c>
      <c r="H6" s="2736">
        <f>SUMIF(I$12:AB$12,"总值",I6:AB6)</f>
        <v>0</v>
      </c>
      <c r="I6" s="2733">
        <f t="shared" ref="I6:AB6" si="2">ROUND($A$3*I5/$B$3,2)</f>
        <v>0</v>
      </c>
      <c r="J6" s="2733">
        <f t="shared" si="2"/>
        <v>0</v>
      </c>
      <c r="K6" s="2733">
        <f t="shared" si="2"/>
        <v>0</v>
      </c>
      <c r="L6" s="2733">
        <f t="shared" si="2"/>
        <v>0</v>
      </c>
      <c r="M6" s="2733">
        <f t="shared" si="2"/>
        <v>0</v>
      </c>
      <c r="N6" s="2733">
        <f t="shared" si="2"/>
        <v>0</v>
      </c>
      <c r="O6" s="2733">
        <f t="shared" si="2"/>
        <v>0</v>
      </c>
      <c r="P6" s="2733">
        <f t="shared" si="2"/>
        <v>0</v>
      </c>
      <c r="Q6" s="2733">
        <f t="shared" si="2"/>
        <v>0</v>
      </c>
      <c r="R6" s="2733">
        <f t="shared" si="2"/>
        <v>0</v>
      </c>
      <c r="S6" s="2733">
        <f t="shared" si="2"/>
        <v>0</v>
      </c>
      <c r="T6" s="2733">
        <f t="shared" si="2"/>
        <v>0</v>
      </c>
      <c r="U6" s="2733">
        <f t="shared" si="2"/>
        <v>0</v>
      </c>
      <c r="V6" s="2733">
        <f t="shared" si="2"/>
        <v>0</v>
      </c>
      <c r="W6" s="2733">
        <f t="shared" si="2"/>
        <v>0</v>
      </c>
      <c r="X6" s="2733">
        <f t="shared" si="2"/>
        <v>0</v>
      </c>
      <c r="Y6" s="2733">
        <f t="shared" si="2"/>
        <v>0</v>
      </c>
      <c r="Z6" s="2733">
        <f t="shared" si="2"/>
        <v>0</v>
      </c>
      <c r="AA6" s="2733">
        <f t="shared" si="2"/>
        <v>0</v>
      </c>
      <c r="AB6" s="2733">
        <f t="shared" si="2"/>
        <v>0</v>
      </c>
      <c r="AC6" s="2736">
        <f>SUMIF(AD$12:AS$12,"总值",AD6:AS6)</f>
        <v>0</v>
      </c>
      <c r="AD6" s="2733">
        <f t="shared" ref="AD6:AS6" si="3">ROUND($A$3*AD5/$B$3,2)</f>
        <v>0</v>
      </c>
      <c r="AE6" s="2733">
        <f t="shared" si="3"/>
        <v>0</v>
      </c>
      <c r="AF6" s="2733">
        <f t="shared" si="3"/>
        <v>0</v>
      </c>
      <c r="AG6" s="2733">
        <f t="shared" si="3"/>
        <v>0</v>
      </c>
      <c r="AH6" s="2733">
        <f t="shared" si="3"/>
        <v>0</v>
      </c>
      <c r="AI6" s="2733">
        <f t="shared" si="3"/>
        <v>0</v>
      </c>
      <c r="AJ6" s="2733">
        <f t="shared" si="3"/>
        <v>0</v>
      </c>
      <c r="AK6" s="2733">
        <f t="shared" si="3"/>
        <v>0</v>
      </c>
      <c r="AL6" s="2733">
        <f t="shared" si="3"/>
        <v>0</v>
      </c>
      <c r="AM6" s="2733">
        <f t="shared" si="3"/>
        <v>0</v>
      </c>
      <c r="AN6" s="2733">
        <f t="shared" si="3"/>
        <v>0</v>
      </c>
      <c r="AO6" s="2733">
        <f t="shared" si="3"/>
        <v>0</v>
      </c>
      <c r="AP6" s="2733">
        <f t="shared" si="3"/>
        <v>0</v>
      </c>
      <c r="AQ6" s="2733">
        <f t="shared" si="3"/>
        <v>0</v>
      </c>
      <c r="AR6" s="2733">
        <f t="shared" si="3"/>
        <v>0</v>
      </c>
      <c r="AS6" s="2733">
        <f t="shared" si="3"/>
        <v>0</v>
      </c>
      <c r="AT6" s="2736">
        <f>IF(C3="是",ROUND($A$3*AT5/$B$3,2),0)</f>
        <v>0</v>
      </c>
      <c r="AU6" s="2776"/>
      <c r="AV6" s="1787" t="s">
        <v>442</v>
      </c>
      <c r="AW6" s="2734"/>
      <c r="AX6" s="2734"/>
      <c r="AY6" s="2788">
        <f>IF(AY3&gt;0,AY3,ROUND($A$3*AZ5/$B$3,2))</f>
        <v>0</v>
      </c>
      <c r="AZ6" s="2733" t="s">
        <v>124</v>
      </c>
      <c r="BA6" s="2733">
        <f>ROUND($AY$6*BA5/$AZ$5,2)</f>
        <v>0</v>
      </c>
      <c r="BB6" s="2733">
        <f>ROUND($AY$6*BB5/$AZ$5,2)</f>
        <v>0</v>
      </c>
      <c r="BC6" s="2733">
        <f t="shared" ref="BC6:BH6" si="4">ROUND($AY$6*BC5/$AZ$5,2)</f>
        <v>0</v>
      </c>
      <c r="BD6" s="2733">
        <f t="shared" si="4"/>
        <v>0</v>
      </c>
      <c r="BE6" s="2733">
        <f t="shared" si="4"/>
        <v>0</v>
      </c>
      <c r="BF6" s="2733">
        <f t="shared" si="4"/>
        <v>0</v>
      </c>
      <c r="BG6" s="2733">
        <f t="shared" si="4"/>
        <v>0</v>
      </c>
      <c r="BH6" s="2733">
        <f t="shared" si="4"/>
        <v>0</v>
      </c>
      <c r="BI6" s="2733">
        <f t="shared" ref="BI6:BT6" si="5">ROUND($AY$6*BI5/$AZ$5,2)</f>
        <v>0</v>
      </c>
      <c r="BJ6" s="2733">
        <f t="shared" si="5"/>
        <v>0</v>
      </c>
      <c r="BK6" s="2733">
        <f t="shared" si="5"/>
        <v>0</v>
      </c>
      <c r="BL6" s="2733">
        <f t="shared" si="5"/>
        <v>0</v>
      </c>
      <c r="BM6" s="2733">
        <f t="shared" si="5"/>
        <v>0</v>
      </c>
      <c r="BN6" s="2733">
        <f t="shared" si="5"/>
        <v>0</v>
      </c>
      <c r="BO6" s="2733">
        <f t="shared" si="5"/>
        <v>0</v>
      </c>
      <c r="BP6" s="2733">
        <f t="shared" si="5"/>
        <v>0</v>
      </c>
      <c r="BQ6" s="2733">
        <f t="shared" si="5"/>
        <v>0</v>
      </c>
      <c r="BR6" s="2733">
        <f t="shared" si="5"/>
        <v>0</v>
      </c>
      <c r="BS6" s="2733">
        <f t="shared" si="5"/>
        <v>0</v>
      </c>
      <c r="BT6" s="2796">
        <f t="shared" si="5"/>
        <v>0</v>
      </c>
    </row>
    <row r="7" spans="1:72" s="2722" customFormat="1" ht="24.75">
      <c r="A7" s="2737" t="s">
        <v>443</v>
      </c>
      <c r="B7" s="2737" t="s">
        <v>444</v>
      </c>
      <c r="C7" s="2737" t="s">
        <v>417</v>
      </c>
      <c r="D7" s="2737" t="s">
        <v>445</v>
      </c>
      <c r="E7" s="2737" t="s">
        <v>442</v>
      </c>
      <c r="F7" s="2737" t="s">
        <v>446</v>
      </c>
      <c r="G7" s="2235" t="s">
        <v>447</v>
      </c>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8"/>
      <c r="AQ7" s="2738"/>
      <c r="AR7" s="2738"/>
      <c r="AS7" s="2738"/>
      <c r="AT7" s="2266"/>
      <c r="AU7" s="2738" t="s">
        <v>448</v>
      </c>
      <c r="AV7" s="2777" t="s">
        <v>443</v>
      </c>
      <c r="AW7" s="2255" t="s">
        <v>444</v>
      </c>
      <c r="AX7" s="2777" t="s">
        <v>417</v>
      </c>
      <c r="AY7" s="2141" t="s">
        <v>449</v>
      </c>
      <c r="AZ7" s="2768"/>
      <c r="BA7" s="2738"/>
      <c r="BB7" s="2738"/>
      <c r="BC7" s="2738"/>
      <c r="BD7" s="2738"/>
      <c r="BE7" s="2738"/>
      <c r="BF7" s="2738"/>
      <c r="BG7" s="2738"/>
      <c r="BH7" s="2738"/>
      <c r="BI7" s="2738"/>
      <c r="BJ7" s="2738"/>
      <c r="BK7" s="2738"/>
      <c r="BL7" s="2738"/>
      <c r="BM7" s="2738"/>
      <c r="BN7" s="2738"/>
      <c r="BO7" s="2738"/>
      <c r="BP7" s="2738"/>
      <c r="BQ7" s="2738"/>
      <c r="BR7" s="2738"/>
      <c r="BS7" s="2738"/>
      <c r="BT7" s="2797"/>
    </row>
    <row r="8" spans="1:72" s="2479" customFormat="1" ht="24">
      <c r="A8" s="2739"/>
      <c r="B8" s="2739"/>
      <c r="C8" s="2739"/>
      <c r="D8" s="2739"/>
      <c r="E8" s="2739"/>
      <c r="F8" s="2739"/>
      <c r="G8" s="2740" t="s">
        <v>450</v>
      </c>
      <c r="H8" s="2741" t="s">
        <v>451</v>
      </c>
      <c r="I8" s="2757"/>
      <c r="J8" s="287"/>
      <c r="K8" s="287"/>
      <c r="L8" s="287"/>
      <c r="M8" s="287"/>
      <c r="N8" s="287"/>
      <c r="O8" s="287"/>
      <c r="P8" s="287"/>
      <c r="Q8" s="287"/>
      <c r="R8" s="287"/>
      <c r="S8" s="287"/>
      <c r="T8" s="287"/>
      <c r="U8" s="287"/>
      <c r="V8" s="2764"/>
      <c r="W8" s="287"/>
      <c r="X8" s="287"/>
      <c r="Y8" s="287"/>
      <c r="Z8" s="287"/>
      <c r="AA8" s="2764"/>
      <c r="AB8" s="2766"/>
      <c r="AC8" s="2044" t="s">
        <v>452</v>
      </c>
      <c r="AD8" s="2767"/>
      <c r="AE8" s="2768"/>
      <c r="AF8" s="287"/>
      <c r="AG8" s="287"/>
      <c r="AH8" s="287"/>
      <c r="AI8" s="287"/>
      <c r="AJ8" s="287"/>
      <c r="AK8" s="287"/>
      <c r="AL8" s="287"/>
      <c r="AM8" s="287"/>
      <c r="AN8" s="287"/>
      <c r="AO8" s="287"/>
      <c r="AP8" s="287"/>
      <c r="AQ8" s="287"/>
      <c r="AR8" s="287"/>
      <c r="AS8" s="287"/>
      <c r="AT8" s="1631" t="s">
        <v>453</v>
      </c>
      <c r="AU8" s="2739" t="s">
        <v>454</v>
      </c>
      <c r="AV8" s="1631"/>
      <c r="AW8" s="2216"/>
      <c r="AX8" s="1631"/>
      <c r="AY8" s="2255"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79" customFormat="1" ht="12.75">
      <c r="A9" s="2739"/>
      <c r="B9" s="2739"/>
      <c r="C9" s="2739"/>
      <c r="D9" s="2739"/>
      <c r="E9" s="2739"/>
      <c r="F9" s="2739"/>
      <c r="G9" s="1631"/>
      <c r="H9" s="2742" t="s">
        <v>455</v>
      </c>
      <c r="I9" s="2758" t="s">
        <v>456</v>
      </c>
      <c r="J9" s="2044"/>
      <c r="K9" s="2758" t="s">
        <v>457</v>
      </c>
      <c r="L9" s="2044"/>
      <c r="M9" s="2758" t="s">
        <v>457</v>
      </c>
      <c r="N9" s="2044"/>
      <c r="O9" s="2758" t="s">
        <v>456</v>
      </c>
      <c r="P9" s="2044"/>
      <c r="Q9" s="2758"/>
      <c r="R9" s="2044"/>
      <c r="S9" s="2758"/>
      <c r="T9" s="2044"/>
      <c r="U9" s="2758"/>
      <c r="V9" s="2044"/>
      <c r="W9" s="2758"/>
      <c r="X9" s="2765"/>
      <c r="Y9" s="2758"/>
      <c r="Z9" s="2044"/>
      <c r="AA9" s="2758"/>
      <c r="AB9" s="2044"/>
      <c r="AC9" s="2740"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8"/>
      <c r="AT9" s="2739"/>
      <c r="AU9" s="2739" t="s">
        <v>460</v>
      </c>
      <c r="AV9" s="1631"/>
      <c r="AW9" s="2216"/>
      <c r="AX9" s="1631"/>
      <c r="AY9" s="2743"/>
      <c r="AZ9" s="2743" t="s">
        <v>450</v>
      </c>
      <c r="BA9" s="2789" t="s">
        <v>461</v>
      </c>
      <c r="BB9" s="2790"/>
      <c r="BC9" s="1688"/>
      <c r="BD9" s="1688"/>
      <c r="BE9" s="1688"/>
      <c r="BF9" s="1688"/>
      <c r="BG9" s="1688"/>
      <c r="BH9" s="1688"/>
      <c r="BI9" s="1688"/>
      <c r="BJ9" s="1688"/>
      <c r="BK9" s="2794"/>
      <c r="BL9" s="1787" t="s">
        <v>462</v>
      </c>
      <c r="BM9" s="287"/>
      <c r="BN9" s="2757"/>
      <c r="BO9" s="287"/>
      <c r="BP9" s="287"/>
      <c r="BQ9" s="287"/>
      <c r="BR9" s="287"/>
      <c r="BS9" s="287"/>
      <c r="BT9" s="1677"/>
    </row>
    <row r="10" spans="1:72" s="2479" customFormat="1" ht="12.75">
      <c r="A10" s="2739"/>
      <c r="B10" s="2739"/>
      <c r="C10" s="2739"/>
      <c r="D10" s="2739"/>
      <c r="E10" s="2739"/>
      <c r="F10" s="2739"/>
      <c r="G10" s="1631"/>
      <c r="H10" s="2743"/>
      <c r="I10" s="2758" t="s">
        <v>463</v>
      </c>
      <c r="J10" s="2044"/>
      <c r="K10" s="2759" t="s">
        <v>464</v>
      </c>
      <c r="L10" s="2044"/>
      <c r="M10" s="2759" t="s">
        <v>465</v>
      </c>
      <c r="N10" s="2044"/>
      <c r="O10" s="2758" t="s">
        <v>466</v>
      </c>
      <c r="P10" s="2044"/>
      <c r="Q10" s="2759"/>
      <c r="R10" s="2044"/>
      <c r="S10" s="2759"/>
      <c r="T10" s="2044"/>
      <c r="U10" s="2759"/>
      <c r="V10" s="2044"/>
      <c r="W10" s="2759"/>
      <c r="X10" s="2044"/>
      <c r="Y10" s="2759"/>
      <c r="Z10" s="2044"/>
      <c r="AA10" s="2759"/>
      <c r="AB10" s="2044"/>
      <c r="AC10" s="1631"/>
      <c r="AD10" s="1787" t="s">
        <v>467</v>
      </c>
      <c r="AE10" s="2769"/>
      <c r="AF10" s="1787" t="s">
        <v>467</v>
      </c>
      <c r="AG10" s="2769"/>
      <c r="AH10" s="1787" t="s">
        <v>468</v>
      </c>
      <c r="AI10" s="2769"/>
      <c r="AJ10" s="1787" t="s">
        <v>468</v>
      </c>
      <c r="AK10" s="2769"/>
      <c r="AL10" s="1787" t="s">
        <v>469</v>
      </c>
      <c r="AM10" s="1643"/>
      <c r="AN10" s="1787" t="s">
        <v>469</v>
      </c>
      <c r="AO10" s="1643"/>
      <c r="AP10" s="1787" t="s">
        <v>470</v>
      </c>
      <c r="AQ10" s="1643"/>
      <c r="AR10" s="1787" t="s">
        <v>470</v>
      </c>
      <c r="AS10" s="1643"/>
      <c r="AT10" s="2739"/>
      <c r="AU10" s="2739"/>
      <c r="AV10" s="1631"/>
      <c r="AW10" s="2216"/>
      <c r="AX10" s="1631"/>
      <c r="AY10" s="2743"/>
      <c r="AZ10" s="2743"/>
      <c r="BA10" s="2744" t="s">
        <v>455</v>
      </c>
      <c r="BB10" s="2791"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8" t="str">
        <f>AR9</f>
        <v>地下</v>
      </c>
    </row>
    <row r="11" spans="1:72" s="2479" customFormat="1" ht="12.75">
      <c r="A11" s="2739"/>
      <c r="B11" s="2739"/>
      <c r="C11" s="2739"/>
      <c r="D11" s="2739"/>
      <c r="E11" s="2739"/>
      <c r="F11" s="2739"/>
      <c r="G11" s="1631"/>
      <c r="H11" s="2744"/>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31"/>
      <c r="AD11" s="2770" t="s">
        <v>473</v>
      </c>
      <c r="AE11" s="340"/>
      <c r="AF11" s="2770" t="s">
        <v>473</v>
      </c>
      <c r="AG11" s="340"/>
      <c r="AH11" s="2770" t="s">
        <v>474</v>
      </c>
      <c r="AI11" s="2774"/>
      <c r="AJ11" s="2770" t="s">
        <v>474</v>
      </c>
      <c r="AK11" s="340"/>
      <c r="AL11" s="286"/>
      <c r="AM11" s="340"/>
      <c r="AN11" s="286"/>
      <c r="AO11" s="340"/>
      <c r="AP11" s="286"/>
      <c r="AQ11" s="340"/>
      <c r="AR11" s="286"/>
      <c r="AS11" s="340"/>
      <c r="AT11" s="2216"/>
      <c r="AU11" s="2739"/>
      <c r="AV11" s="1631"/>
      <c r="AW11" s="2216"/>
      <c r="AX11" s="1631"/>
      <c r="AY11" s="2743"/>
      <c r="AZ11" s="2743"/>
      <c r="BA11" s="2743"/>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799" t="str">
        <f>AR10</f>
        <v>未注明</v>
      </c>
    </row>
    <row r="12" spans="1:72" s="2722" customFormat="1" ht="12.75">
      <c r="A12" s="2745"/>
      <c r="B12" s="2745"/>
      <c r="C12" s="2745"/>
      <c r="D12" s="2745"/>
      <c r="E12" s="2745"/>
      <c r="F12" s="2745"/>
      <c r="G12" s="600"/>
      <c r="H12" s="2746"/>
      <c r="I12" s="2266"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0" t="s">
        <v>476</v>
      </c>
      <c r="W12" s="288" t="s">
        <v>475</v>
      </c>
      <c r="X12" s="288" t="s">
        <v>476</v>
      </c>
      <c r="Y12" s="288" t="s">
        <v>475</v>
      </c>
      <c r="Z12" s="288" t="s">
        <v>476</v>
      </c>
      <c r="AA12" s="288" t="s">
        <v>475</v>
      </c>
      <c r="AB12" s="288" t="s">
        <v>476</v>
      </c>
      <c r="AC12" s="2771"/>
      <c r="AD12" s="2266"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5" t="s">
        <v>476</v>
      </c>
      <c r="AT12" s="2779"/>
      <c r="AU12" s="2745"/>
      <c r="AV12" s="2780"/>
      <c r="AW12" s="2255"/>
      <c r="AX12" s="2780"/>
      <c r="AY12" s="2792"/>
      <c r="AZ12" s="2743"/>
      <c r="BA12" s="2744"/>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799">
        <f>AR11</f>
        <v>0</v>
      </c>
    </row>
    <row r="13" spans="1:72" s="2722" customFormat="1" ht="12.75">
      <c r="A13" s="241"/>
      <c r="B13" s="241"/>
      <c r="C13" s="2747" t="s">
        <v>477</v>
      </c>
      <c r="D13" s="2748" t="s">
        <v>370</v>
      </c>
      <c r="E13" s="2733">
        <f>IF($C$3="是",ROUND($A$3*G13/$B$3,2),ROUND($A$3*(G13-AT13)/$B$3,2))</f>
        <v>0</v>
      </c>
      <c r="F13" s="2749"/>
      <c r="G13" s="2750">
        <f>H13+AC13+AT13</f>
        <v>3386.6099999999997</v>
      </c>
      <c r="H13" s="2736">
        <f>SUMIF(I$12:AB$12,"总值",I13:AB13)</f>
        <v>3386.6099999999997</v>
      </c>
      <c r="I13" s="2762">
        <f>工程进度!G18</f>
        <v>0</v>
      </c>
      <c r="J13" s="2762"/>
      <c r="K13" s="2762"/>
      <c r="L13" s="2762"/>
      <c r="M13" s="2762">
        <f>工程进度!I5</f>
        <v>1203.22</v>
      </c>
      <c r="N13" s="2762"/>
      <c r="O13" s="2762">
        <f>工程进度!G5</f>
        <v>2183.39</v>
      </c>
      <c r="P13" s="2762"/>
      <c r="Q13" s="2762"/>
      <c r="R13" s="2762"/>
      <c r="S13" s="2762"/>
      <c r="T13" s="2762"/>
      <c r="U13" s="2762"/>
      <c r="V13" s="2762"/>
      <c r="W13" s="2762"/>
      <c r="X13" s="2762"/>
      <c r="Y13" s="2762"/>
      <c r="Z13" s="2762"/>
      <c r="AA13" s="2762"/>
      <c r="AB13" s="2762"/>
      <c r="AC13" s="2733">
        <f>SUMIF(AD$12:AS$12,"总值",AD13:AS13)</f>
        <v>0</v>
      </c>
      <c r="AD13" s="2772"/>
      <c r="AE13" s="2772"/>
      <c r="AF13" s="2772"/>
      <c r="AG13" s="2772"/>
      <c r="AH13" s="2772"/>
      <c r="AI13" s="2772"/>
      <c r="AJ13" s="2772"/>
      <c r="AK13" s="2772"/>
      <c r="AL13" s="2772"/>
      <c r="AM13" s="2772"/>
      <c r="AN13" s="2772"/>
      <c r="AO13" s="2772"/>
      <c r="AP13" s="2772"/>
      <c r="AQ13" s="2772"/>
      <c r="AR13" s="2772"/>
      <c r="AS13" s="2772"/>
      <c r="AT13" s="2749"/>
      <c r="AU13" s="2781"/>
      <c r="AV13" s="288">
        <f t="shared" ref="AV13:AX17" si="6">A13</f>
        <v>0</v>
      </c>
      <c r="AW13" s="288">
        <f t="shared" si="6"/>
        <v>0</v>
      </c>
      <c r="AX13" s="288" t="str">
        <f t="shared" si="6"/>
        <v>A地块</v>
      </c>
      <c r="AY13" s="2266">
        <f>ROUND($AY$6*AZ13/$AZ$5,2)</f>
        <v>0</v>
      </c>
      <c r="AZ13" s="2733">
        <f>BA13+BL13</f>
        <v>3386.6099999999997</v>
      </c>
      <c r="BA13" s="2733">
        <f>SUM(BB13:BK13)</f>
        <v>3386.6099999999997</v>
      </c>
      <c r="BB13" s="2733">
        <f>IF($D13="是",I13-J13,0)</f>
        <v>0</v>
      </c>
      <c r="BC13" s="2733">
        <f>IF($D13="是",K13-L13,0)</f>
        <v>0</v>
      </c>
      <c r="BD13" s="2733">
        <f>IF($D13="是",M13-N13,0)</f>
        <v>1203.22</v>
      </c>
      <c r="BE13" s="2733">
        <f>IF($D13="是",O13-P13,0)</f>
        <v>2183.39</v>
      </c>
      <c r="BF13" s="2733">
        <f>IF($D13="是",Q13-R13,0)</f>
        <v>0</v>
      </c>
      <c r="BG13" s="2733">
        <f>IF($D13="是",S13-T13,0)</f>
        <v>0</v>
      </c>
      <c r="BH13" s="2733">
        <f>IF($D13="是",U13-V13,0)</f>
        <v>0</v>
      </c>
      <c r="BI13" s="2733">
        <f>IF($D13="是",W13-X13,0)</f>
        <v>0</v>
      </c>
      <c r="BJ13" s="2733">
        <f>IF($D13="是",Y13-Z13,0)</f>
        <v>0</v>
      </c>
      <c r="BK13" s="2733">
        <f>IF($D13="是",AA13-AB13,0)</f>
        <v>0</v>
      </c>
      <c r="BL13" s="2733">
        <f>SUM(BM13:BT13)</f>
        <v>0</v>
      </c>
      <c r="BM13" s="2733">
        <f>IF($D13="是",AD13-AE13,0)</f>
        <v>0</v>
      </c>
      <c r="BN13" s="2733">
        <f>IF($D13="是",AF13-AG13,0)</f>
        <v>0</v>
      </c>
      <c r="BO13" s="2733">
        <f>IF($D13="是",AH13-AI13,0)</f>
        <v>0</v>
      </c>
      <c r="BP13" s="2733">
        <f>IF($D13="是",AJ13-AK13,0)</f>
        <v>0</v>
      </c>
      <c r="BQ13" s="2733">
        <f>IF($D13="是",AL13-AM13,0)</f>
        <v>0</v>
      </c>
      <c r="BR13" s="2733">
        <f>IF($D13="是",AN13-AO13,0)</f>
        <v>0</v>
      </c>
      <c r="BS13" s="2733">
        <f>IF($D13="是",AP13-AQ13,0)</f>
        <v>0</v>
      </c>
      <c r="BT13" s="2796">
        <f>IF($D13="是",AR13-AS13,0)</f>
        <v>0</v>
      </c>
    </row>
    <row r="14" spans="1:72" s="2722" customFormat="1" ht="12.75">
      <c r="A14" s="3108">
        <v>444563.4</v>
      </c>
      <c r="B14" s="241"/>
      <c r="C14" s="2751" t="s">
        <v>478</v>
      </c>
      <c r="D14" s="2748" t="s">
        <v>370</v>
      </c>
      <c r="E14" s="2733">
        <f>IF($C$3="是",ROUND($A$3*G14/$B$3,2),ROUND($A$3*(G14-AT14)/$B$3,2))</f>
        <v>0</v>
      </c>
      <c r="F14" s="2749"/>
      <c r="G14" s="2750">
        <f>H14+AC14+AT14</f>
        <v>46016.600000000006</v>
      </c>
      <c r="H14" s="2736">
        <f>SUMIF(I$12:AB$12,"总值",I14:AB14)</f>
        <v>46016.600000000006</v>
      </c>
      <c r="I14" s="2762">
        <f>工程进度!G19</f>
        <v>13554.37</v>
      </c>
      <c r="J14" s="2762"/>
      <c r="K14" s="2762">
        <f>工程进度!H6</f>
        <v>369.19</v>
      </c>
      <c r="L14" s="2762"/>
      <c r="M14" s="2762">
        <f>工程进度!I6</f>
        <v>31571.54</v>
      </c>
      <c r="N14" s="2762"/>
      <c r="O14" s="2762">
        <f>工程进度!G6</f>
        <v>521.5</v>
      </c>
      <c r="P14" s="2762"/>
      <c r="Q14" s="2762"/>
      <c r="R14" s="2762"/>
      <c r="S14" s="2762"/>
      <c r="T14" s="2762"/>
      <c r="U14" s="2762"/>
      <c r="V14" s="2762"/>
      <c r="W14" s="2762"/>
      <c r="X14" s="2762"/>
      <c r="Y14" s="2762"/>
      <c r="Z14" s="2762"/>
      <c r="AA14" s="2762"/>
      <c r="AB14" s="2762"/>
      <c r="AC14" s="2733">
        <f>SUMIF(AD$12:AS$12,"总值",AD14:AS14)</f>
        <v>0</v>
      </c>
      <c r="AD14" s="2772"/>
      <c r="AE14" s="2772"/>
      <c r="AF14" s="2772"/>
      <c r="AG14" s="2772"/>
      <c r="AH14" s="2772"/>
      <c r="AI14" s="2772"/>
      <c r="AJ14" s="2772"/>
      <c r="AK14" s="2772"/>
      <c r="AL14" s="2772"/>
      <c r="AM14" s="2772"/>
      <c r="AN14" s="2772"/>
      <c r="AO14" s="2772"/>
      <c r="AP14" s="2772"/>
      <c r="AQ14" s="2772"/>
      <c r="AR14" s="2772"/>
      <c r="AS14" s="2772"/>
      <c r="AT14" s="2749"/>
      <c r="AU14" s="2781"/>
      <c r="AV14" s="288">
        <f t="shared" si="6"/>
        <v>444563.4</v>
      </c>
      <c r="AW14" s="288">
        <f t="shared" si="6"/>
        <v>0</v>
      </c>
      <c r="AX14" s="288" t="str">
        <f t="shared" si="6"/>
        <v>B地块</v>
      </c>
      <c r="AY14" s="2266">
        <f>ROUND($AY$6*AZ14/$AZ$5,2)</f>
        <v>0</v>
      </c>
      <c r="AZ14" s="2733">
        <f>BA14+BL14</f>
        <v>46016.600000000006</v>
      </c>
      <c r="BA14" s="2733">
        <f>SUM(BB14:BK14)</f>
        <v>46016.600000000006</v>
      </c>
      <c r="BB14" s="2733">
        <f>IF($D14="是",I14-J14,0)</f>
        <v>13554.37</v>
      </c>
      <c r="BC14" s="2733">
        <f>IF($D14="是",K14-L14,0)</f>
        <v>369.19</v>
      </c>
      <c r="BD14" s="2733">
        <f>IF($D14="是",M14-N14,0)</f>
        <v>31571.54</v>
      </c>
      <c r="BE14" s="2733">
        <f>IF($D14="是",O14-P14,0)</f>
        <v>521.5</v>
      </c>
      <c r="BF14" s="2733">
        <f>IF($D14="是",Q14-R14,0)</f>
        <v>0</v>
      </c>
      <c r="BG14" s="2733">
        <f>IF($D14="是",S14-T14,0)</f>
        <v>0</v>
      </c>
      <c r="BH14" s="2733">
        <f>IF($D14="是",U14-V14,0)</f>
        <v>0</v>
      </c>
      <c r="BI14" s="2733">
        <f>IF($D14="是",W14-X14,0)</f>
        <v>0</v>
      </c>
      <c r="BJ14" s="2733">
        <f>IF($D14="是",Y14-Z14,0)</f>
        <v>0</v>
      </c>
      <c r="BK14" s="2733">
        <f>IF($D14="是",AA14-AB14,0)</f>
        <v>0</v>
      </c>
      <c r="BL14" s="2733">
        <f>SUM(BM14:BT14)</f>
        <v>0</v>
      </c>
      <c r="BM14" s="2733">
        <f>IF($D14="是",AD14-AE14,0)</f>
        <v>0</v>
      </c>
      <c r="BN14" s="2733">
        <f>IF($D14="是",AF14-AG14,0)</f>
        <v>0</v>
      </c>
      <c r="BO14" s="2733">
        <f>IF($D14="是",AH14-AI14,0)</f>
        <v>0</v>
      </c>
      <c r="BP14" s="2733">
        <f>IF($D14="是",AJ14-AK14,0)</f>
        <v>0</v>
      </c>
      <c r="BQ14" s="2733">
        <f>IF($D14="是",AL14-AM14,0)</f>
        <v>0</v>
      </c>
      <c r="BR14" s="2733">
        <f>IF($D14="是",AN14-AO14,0)</f>
        <v>0</v>
      </c>
      <c r="BS14" s="2733">
        <f>IF($D14="是",AP14-AQ14,0)</f>
        <v>0</v>
      </c>
      <c r="BT14" s="2796">
        <f>IF($D14="是",AR14-AS14,0)</f>
        <v>0</v>
      </c>
    </row>
    <row r="15" spans="1:72" s="2722" customFormat="1" ht="12.75">
      <c r="A15" s="241"/>
      <c r="B15" s="241"/>
      <c r="C15" s="2751" t="s">
        <v>479</v>
      </c>
      <c r="D15" s="2748" t="s">
        <v>3014</v>
      </c>
      <c r="E15" s="2733">
        <f>IF($C$3="是",ROUND($A$3*G15/$B$3,2),ROUND($A$3*(G15-AT15)/$B$3,2))</f>
        <v>0</v>
      </c>
      <c r="F15" s="2749"/>
      <c r="G15" s="2750">
        <f>H15+AC15+AT15</f>
        <v>0</v>
      </c>
      <c r="H15" s="2736">
        <f>SUMIF(I$12:AB$12,"总值",I15:AB15)</f>
        <v>0</v>
      </c>
      <c r="I15" s="2762"/>
      <c r="J15" s="2762"/>
      <c r="K15" s="2762"/>
      <c r="L15" s="2762"/>
      <c r="M15" s="2762"/>
      <c r="N15" s="2762"/>
      <c r="O15" s="2762"/>
      <c r="P15" s="2762"/>
      <c r="Q15" s="2762"/>
      <c r="R15" s="2762"/>
      <c r="S15" s="2762"/>
      <c r="T15" s="2762"/>
      <c r="U15" s="2762"/>
      <c r="V15" s="2762"/>
      <c r="W15" s="2762"/>
      <c r="X15" s="2762"/>
      <c r="Y15" s="2762"/>
      <c r="Z15" s="2762"/>
      <c r="AA15" s="2762"/>
      <c r="AB15" s="2762"/>
      <c r="AC15" s="2733">
        <f>SUMIF(AD$12:AS$12,"总值",AD15:AS15)</f>
        <v>0</v>
      </c>
      <c r="AD15" s="2772"/>
      <c r="AE15" s="2772"/>
      <c r="AF15" s="2772"/>
      <c r="AG15" s="2772"/>
      <c r="AH15" s="2772"/>
      <c r="AI15" s="2772"/>
      <c r="AJ15" s="2772"/>
      <c r="AK15" s="2772"/>
      <c r="AL15" s="2772"/>
      <c r="AM15" s="2772"/>
      <c r="AN15" s="2772"/>
      <c r="AO15" s="2772"/>
      <c r="AP15" s="2772"/>
      <c r="AQ15" s="2772"/>
      <c r="AR15" s="2772"/>
      <c r="AS15" s="2772"/>
      <c r="AT15" s="2749"/>
      <c r="AU15" s="2781"/>
      <c r="AV15" s="288">
        <f t="shared" si="6"/>
        <v>0</v>
      </c>
      <c r="AW15" s="288">
        <f t="shared" si="6"/>
        <v>0</v>
      </c>
      <c r="AX15" s="288" t="str">
        <f t="shared" si="6"/>
        <v>C地块</v>
      </c>
      <c r="AY15" s="2266">
        <f>ROUND($AY$6*AZ15/$AZ$5,2)</f>
        <v>0</v>
      </c>
      <c r="AZ15" s="2733">
        <f>BA15+BL15</f>
        <v>0</v>
      </c>
      <c r="BA15" s="2733">
        <f>SUM(BB15:BK15)</f>
        <v>0</v>
      </c>
      <c r="BB15" s="2733">
        <f>IF($D15="是",I15-J15,0)</f>
        <v>0</v>
      </c>
      <c r="BC15" s="2733">
        <f>IF($D15="是",K15-L15,0)</f>
        <v>0</v>
      </c>
      <c r="BD15" s="2733">
        <f>IF($D15="是",M15-N15,0)</f>
        <v>0</v>
      </c>
      <c r="BE15" s="2733">
        <f>IF($D15="是",O15-P15,0)</f>
        <v>0</v>
      </c>
      <c r="BF15" s="2733">
        <f>IF($D15="是",Q15-R15,0)</f>
        <v>0</v>
      </c>
      <c r="BG15" s="2733">
        <f>IF($D15="是",S15-T15,0)</f>
        <v>0</v>
      </c>
      <c r="BH15" s="2733">
        <f>IF($D15="是",U15-V15,0)</f>
        <v>0</v>
      </c>
      <c r="BI15" s="2733">
        <f>IF($D15="是",W15-X15,0)</f>
        <v>0</v>
      </c>
      <c r="BJ15" s="2733">
        <f>IF($D15="是",Y15-Z15,0)</f>
        <v>0</v>
      </c>
      <c r="BK15" s="2733">
        <f>IF($D15="是",AA15-AB15,0)</f>
        <v>0</v>
      </c>
      <c r="BL15" s="2733">
        <f>SUM(BM15:BT15)</f>
        <v>0</v>
      </c>
      <c r="BM15" s="2733">
        <f>IF($D15="是",AD15-AE15,0)</f>
        <v>0</v>
      </c>
      <c r="BN15" s="2733">
        <f>IF($D15="是",AF15-AG15,0)</f>
        <v>0</v>
      </c>
      <c r="BO15" s="2733">
        <f>IF($D15="是",AH15-AI15,0)</f>
        <v>0</v>
      </c>
      <c r="BP15" s="2733">
        <f>IF($D15="是",AJ15-AK15,0)</f>
        <v>0</v>
      </c>
      <c r="BQ15" s="2733">
        <f>IF($D15="是",AL15-AM15,0)</f>
        <v>0</v>
      </c>
      <c r="BR15" s="2733">
        <f>IF($D15="是",AN15-AO15,0)</f>
        <v>0</v>
      </c>
      <c r="BS15" s="2733">
        <f>IF($D15="是",AP15-AQ15,0)</f>
        <v>0</v>
      </c>
      <c r="BT15" s="2796">
        <f>IF($D15="是",AR15-AS15,0)</f>
        <v>0</v>
      </c>
    </row>
    <row r="16" spans="1:72" s="2722" customFormat="1" ht="12.75">
      <c r="A16" s="241"/>
      <c r="B16" s="241"/>
      <c r="C16" s="2751"/>
      <c r="D16" s="2748"/>
      <c r="E16" s="2733">
        <f>IF($C$3="是",ROUND($A$3*G16/$B$3,2),ROUND($A$3*(G16-AT16)/$B$3,2))</f>
        <v>0</v>
      </c>
      <c r="F16" s="2749"/>
      <c r="G16" s="2750">
        <f>H16+AC16+AT16</f>
        <v>0</v>
      </c>
      <c r="H16" s="2736">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3">
        <f>SUMIF(AD$12:AS$12,"总值",AD16:AS16)</f>
        <v>0</v>
      </c>
      <c r="AD16" s="2772"/>
      <c r="AE16" s="2772"/>
      <c r="AF16" s="2772"/>
      <c r="AG16" s="2772"/>
      <c r="AH16" s="2772"/>
      <c r="AI16" s="2772"/>
      <c r="AJ16" s="2772"/>
      <c r="AK16" s="2772"/>
      <c r="AL16" s="2772"/>
      <c r="AM16" s="2772"/>
      <c r="AN16" s="2772"/>
      <c r="AO16" s="2772"/>
      <c r="AP16" s="2772"/>
      <c r="AQ16" s="2772"/>
      <c r="AR16" s="2772"/>
      <c r="AS16" s="2772"/>
      <c r="AT16" s="2749"/>
      <c r="AU16" s="2781"/>
      <c r="AV16" s="288">
        <f t="shared" si="6"/>
        <v>0</v>
      </c>
      <c r="AW16" s="288">
        <f t="shared" si="6"/>
        <v>0</v>
      </c>
      <c r="AX16" s="288">
        <f t="shared" si="6"/>
        <v>0</v>
      </c>
      <c r="AY16" s="2266">
        <f>ROUND($AY$6*AZ16/$AZ$5,2)</f>
        <v>0</v>
      </c>
      <c r="AZ16" s="2733">
        <f>BA16+BL16</f>
        <v>0</v>
      </c>
      <c r="BA16" s="2733">
        <f>SUM(BB16:BK16)</f>
        <v>0</v>
      </c>
      <c r="BB16" s="2733">
        <f>IF($D16="是",I16-J16,0)</f>
        <v>0</v>
      </c>
      <c r="BC16" s="2733">
        <f>IF($D16="是",K16-L16,0)</f>
        <v>0</v>
      </c>
      <c r="BD16" s="2733">
        <f>IF($D16="是",M16-N16,0)</f>
        <v>0</v>
      </c>
      <c r="BE16" s="2733">
        <f>IF($D16="是",O16-P16,0)</f>
        <v>0</v>
      </c>
      <c r="BF16" s="2733">
        <f>IF($D16="是",Q16-R16,0)</f>
        <v>0</v>
      </c>
      <c r="BG16" s="2733">
        <f>IF($D16="是",S16-T16,0)</f>
        <v>0</v>
      </c>
      <c r="BH16" s="2733">
        <f>IF($D16="是",U16-V16,0)</f>
        <v>0</v>
      </c>
      <c r="BI16" s="2733">
        <f>IF($D16="是",W16-X16,0)</f>
        <v>0</v>
      </c>
      <c r="BJ16" s="2733">
        <f>IF($D16="是",Y16-Z16,0)</f>
        <v>0</v>
      </c>
      <c r="BK16" s="2733">
        <f>IF($D16="是",AA16-AB16,0)</f>
        <v>0</v>
      </c>
      <c r="BL16" s="2733">
        <f>SUM(BM16:BT16)</f>
        <v>0</v>
      </c>
      <c r="BM16" s="2733">
        <f>IF($D16="是",AD16-AE16,0)</f>
        <v>0</v>
      </c>
      <c r="BN16" s="2733">
        <f>IF($D16="是",AF16-AG16,0)</f>
        <v>0</v>
      </c>
      <c r="BO16" s="2733">
        <f>IF($D16="是",AH16-AI16,0)</f>
        <v>0</v>
      </c>
      <c r="BP16" s="2733">
        <f>IF($D16="是",AJ16-AK16,0)</f>
        <v>0</v>
      </c>
      <c r="BQ16" s="2733">
        <f>IF($D16="是",AL16-AM16,0)</f>
        <v>0</v>
      </c>
      <c r="BR16" s="2733">
        <f>IF($D16="是",AN16-AO16,0)</f>
        <v>0</v>
      </c>
      <c r="BS16" s="2733">
        <f>IF($D16="是",AP16-AQ16,0)</f>
        <v>0</v>
      </c>
      <c r="BT16" s="2796">
        <f>IF($D16="是",AR16-AS16,0)</f>
        <v>0</v>
      </c>
    </row>
    <row r="17" spans="1:72" s="2722" customFormat="1" ht="12.75">
      <c r="A17" s="241"/>
      <c r="B17" s="241"/>
      <c r="C17" s="2751"/>
      <c r="D17" s="2748"/>
      <c r="E17" s="2733">
        <f>IF($C$3="是",ROUND($A$3*G17/$B$3,2),ROUND($A$3*(G17-AT17)/$B$3,2))</f>
        <v>0</v>
      </c>
      <c r="F17" s="2749"/>
      <c r="G17" s="2750">
        <f>H17+AC17+AT17</f>
        <v>0</v>
      </c>
      <c r="H17" s="2736">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3">
        <f>SUMIF(AD$12:AS$12,"总值",AD17:AS17)</f>
        <v>0</v>
      </c>
      <c r="AD17" s="2772"/>
      <c r="AE17" s="2772"/>
      <c r="AF17" s="2772"/>
      <c r="AG17" s="2772"/>
      <c r="AH17" s="2772"/>
      <c r="AI17" s="2772"/>
      <c r="AJ17" s="2772"/>
      <c r="AK17" s="2772"/>
      <c r="AL17" s="2772"/>
      <c r="AM17" s="2772"/>
      <c r="AN17" s="2772"/>
      <c r="AO17" s="2772"/>
      <c r="AP17" s="2772"/>
      <c r="AQ17" s="2772"/>
      <c r="AR17" s="2772"/>
      <c r="AS17" s="2772"/>
      <c r="AT17" s="2749"/>
      <c r="AU17" s="2781"/>
      <c r="AV17" s="288">
        <f t="shared" si="6"/>
        <v>0</v>
      </c>
      <c r="AW17" s="288">
        <f t="shared" si="6"/>
        <v>0</v>
      </c>
      <c r="AX17" s="288">
        <f t="shared" si="6"/>
        <v>0</v>
      </c>
      <c r="AY17" s="2266">
        <f>ROUND($AY$6*AZ17/$AZ$5,2)</f>
        <v>0</v>
      </c>
      <c r="AZ17" s="2733">
        <f>BA17+BL17</f>
        <v>0</v>
      </c>
      <c r="BA17" s="2733">
        <f>SUM(BB17:BK17)</f>
        <v>0</v>
      </c>
      <c r="BB17" s="2733">
        <f>IF($D17="是",I17-J17,0)</f>
        <v>0</v>
      </c>
      <c r="BC17" s="2733">
        <f>IF($D17="是",K17-L17,0)</f>
        <v>0</v>
      </c>
      <c r="BD17" s="2733">
        <f>IF($D17="是",M17-N17,0)</f>
        <v>0</v>
      </c>
      <c r="BE17" s="2733">
        <f>IF($D17="是",O17-P17,0)</f>
        <v>0</v>
      </c>
      <c r="BF17" s="2733">
        <f>IF($D17="是",Q17-R17,0)</f>
        <v>0</v>
      </c>
      <c r="BG17" s="2733">
        <f>IF($D17="是",S17-T17,0)</f>
        <v>0</v>
      </c>
      <c r="BH17" s="2733">
        <f>IF($D17="是",U17-V17,0)</f>
        <v>0</v>
      </c>
      <c r="BI17" s="2733">
        <f>IF($D17="是",W17-X17,0)</f>
        <v>0</v>
      </c>
      <c r="BJ17" s="2733">
        <f>IF($D17="是",Y17-Z17,0)</f>
        <v>0</v>
      </c>
      <c r="BK17" s="2733">
        <f>IF($D17="是",AA17-AB17,0)</f>
        <v>0</v>
      </c>
      <c r="BL17" s="2733">
        <f>SUM(BM17:BT17)</f>
        <v>0</v>
      </c>
      <c r="BM17" s="2733">
        <f>IF($D17="是",AD17-AE17,0)</f>
        <v>0</v>
      </c>
      <c r="BN17" s="2733">
        <f>IF($D17="是",AF17-AG17,0)</f>
        <v>0</v>
      </c>
      <c r="BO17" s="2733">
        <f>IF($D17="是",AH17-AI17,0)</f>
        <v>0</v>
      </c>
      <c r="BP17" s="2733">
        <f>IF($D17="是",AJ17-AK17,0)</f>
        <v>0</v>
      </c>
      <c r="BQ17" s="2733">
        <f>IF($D17="是",AL17-AM17,0)</f>
        <v>0</v>
      </c>
      <c r="BR17" s="2733">
        <f>IF($D17="是",AN17-AO17,0)</f>
        <v>0</v>
      </c>
      <c r="BS17" s="2733">
        <f>IF($D17="是",AP17-AQ17,0)</f>
        <v>0</v>
      </c>
      <c r="BT17" s="2796">
        <f>IF($D17="是",AR17-AS17,0)</f>
        <v>0</v>
      </c>
    </row>
    <row r="18" spans="1:72">
      <c r="A18" s="1091"/>
      <c r="B18" s="1099"/>
      <c r="C18" s="1099"/>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6">
        <f t="shared" ref="AV18:AV112" si="11">A18</f>
        <v>0</v>
      </c>
      <c r="AW18" s="796">
        <f t="shared" ref="AW18:AW112" si="12">B18</f>
        <v>0</v>
      </c>
      <c r="AX18" s="796">
        <f t="shared" ref="AX18:AX112" si="13">C18</f>
        <v>0</v>
      </c>
      <c r="AY18" s="1026">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1"/>
      <c r="B19" s="1099"/>
      <c r="C19" s="1099"/>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6">
        <f t="shared" si="11"/>
        <v>0</v>
      </c>
      <c r="AW19" s="796">
        <f t="shared" si="12"/>
        <v>0</v>
      </c>
      <c r="AX19" s="796">
        <f t="shared" si="13"/>
        <v>0</v>
      </c>
      <c r="AY19" s="1026">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1"/>
      <c r="B20" s="1099"/>
      <c r="C20" s="1099"/>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6">
        <f t="shared" si="11"/>
        <v>0</v>
      </c>
      <c r="AW20" s="796">
        <f t="shared" si="12"/>
        <v>0</v>
      </c>
      <c r="AX20" s="796">
        <f t="shared" si="13"/>
        <v>0</v>
      </c>
      <c r="AY20" s="1026">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1"/>
      <c r="B21" s="1099"/>
      <c r="C21" s="1099"/>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6">
        <f t="shared" si="11"/>
        <v>0</v>
      </c>
      <c r="AW21" s="796">
        <f t="shared" si="12"/>
        <v>0</v>
      </c>
      <c r="AX21" s="796">
        <f t="shared" si="13"/>
        <v>0</v>
      </c>
      <c r="AY21" s="1026">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1"/>
      <c r="B22" s="1099"/>
      <c r="C22" s="1099"/>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6">
        <f t="shared" si="11"/>
        <v>0</v>
      </c>
      <c r="AW22" s="796">
        <f t="shared" si="12"/>
        <v>0</v>
      </c>
      <c r="AX22" s="796">
        <f t="shared" si="13"/>
        <v>0</v>
      </c>
      <c r="AY22" s="1026">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1"/>
      <c r="B23" s="1099"/>
      <c r="C23" s="1099"/>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6">
        <f t="shared" si="11"/>
        <v>0</v>
      </c>
      <c r="AW23" s="796">
        <f t="shared" si="12"/>
        <v>0</v>
      </c>
      <c r="AX23" s="796">
        <f t="shared" si="13"/>
        <v>0</v>
      </c>
      <c r="AY23" s="1026">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1"/>
      <c r="B24" s="1099"/>
      <c r="C24" s="1099"/>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6">
        <f t="shared" si="11"/>
        <v>0</v>
      </c>
      <c r="AW24" s="796">
        <f t="shared" si="12"/>
        <v>0</v>
      </c>
      <c r="AX24" s="796">
        <f t="shared" si="13"/>
        <v>0</v>
      </c>
      <c r="AY24" s="1026">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1"/>
      <c r="B25" s="1099"/>
      <c r="C25" s="1099"/>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6">
        <f t="shared" si="11"/>
        <v>0</v>
      </c>
      <c r="AW25" s="796">
        <f t="shared" si="12"/>
        <v>0</v>
      </c>
      <c r="AX25" s="796">
        <f t="shared" si="13"/>
        <v>0</v>
      </c>
      <c r="AY25" s="1026">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1"/>
      <c r="B26" s="1099"/>
      <c r="C26" s="1099"/>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6">
        <f t="shared" si="11"/>
        <v>0</v>
      </c>
      <c r="AW26" s="796">
        <f t="shared" si="12"/>
        <v>0</v>
      </c>
      <c r="AX26" s="796">
        <f t="shared" si="13"/>
        <v>0</v>
      </c>
      <c r="AY26" s="1026">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1"/>
      <c r="B27" s="1099"/>
      <c r="C27" s="1099"/>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6">
        <f t="shared" si="11"/>
        <v>0</v>
      </c>
      <c r="AW27" s="796">
        <f t="shared" si="12"/>
        <v>0</v>
      </c>
      <c r="AX27" s="796">
        <f t="shared" si="13"/>
        <v>0</v>
      </c>
      <c r="AY27" s="1026">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1"/>
      <c r="B28" s="1099"/>
      <c r="C28" s="1099"/>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6">
        <f t="shared" si="11"/>
        <v>0</v>
      </c>
      <c r="AW28" s="796">
        <f t="shared" si="12"/>
        <v>0</v>
      </c>
      <c r="AX28" s="796">
        <f t="shared" si="13"/>
        <v>0</v>
      </c>
      <c r="AY28" s="1026">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1"/>
      <c r="B29" s="1099"/>
      <c r="C29" s="1099"/>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6">
        <f t="shared" si="11"/>
        <v>0</v>
      </c>
      <c r="AW29" s="796">
        <f t="shared" si="12"/>
        <v>0</v>
      </c>
      <c r="AX29" s="796">
        <f t="shared" si="13"/>
        <v>0</v>
      </c>
      <c r="AY29" s="1026">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1"/>
      <c r="B30" s="1099"/>
      <c r="C30" s="1099"/>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6">
        <f t="shared" si="11"/>
        <v>0</v>
      </c>
      <c r="AW30" s="796">
        <f t="shared" si="12"/>
        <v>0</v>
      </c>
      <c r="AX30" s="796">
        <f t="shared" si="13"/>
        <v>0</v>
      </c>
      <c r="AY30" s="1026">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1"/>
      <c r="B31" s="1099"/>
      <c r="C31" s="1099"/>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6">
        <f t="shared" si="11"/>
        <v>0</v>
      </c>
      <c r="AW31" s="796">
        <f t="shared" si="12"/>
        <v>0</v>
      </c>
      <c r="AX31" s="796">
        <f t="shared" si="13"/>
        <v>0</v>
      </c>
      <c r="AY31" s="1026">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1"/>
      <c r="B32" s="1099"/>
      <c r="C32" s="1099"/>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6">
        <f t="shared" si="11"/>
        <v>0</v>
      </c>
      <c r="AW32" s="796">
        <f t="shared" si="12"/>
        <v>0</v>
      </c>
      <c r="AX32" s="796">
        <f t="shared" si="13"/>
        <v>0</v>
      </c>
      <c r="AY32" s="1026">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1"/>
      <c r="B33" s="1099"/>
      <c r="C33" s="1099"/>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6">
        <f t="shared" si="11"/>
        <v>0</v>
      </c>
      <c r="AW33" s="796">
        <f t="shared" si="12"/>
        <v>0</v>
      </c>
      <c r="AX33" s="796">
        <f t="shared" si="13"/>
        <v>0</v>
      </c>
      <c r="AY33" s="1026">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1"/>
      <c r="B34" s="1099"/>
      <c r="C34" s="1099"/>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6">
        <f t="shared" si="11"/>
        <v>0</v>
      </c>
      <c r="AW34" s="796">
        <f t="shared" si="12"/>
        <v>0</v>
      </c>
      <c r="AX34" s="796">
        <f t="shared" si="13"/>
        <v>0</v>
      </c>
      <c r="AY34" s="1026">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1"/>
      <c r="B35" s="1099"/>
      <c r="C35" s="1099"/>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6">
        <f t="shared" si="11"/>
        <v>0</v>
      </c>
      <c r="AW35" s="796">
        <f t="shared" si="12"/>
        <v>0</v>
      </c>
      <c r="AX35" s="796">
        <f t="shared" si="13"/>
        <v>0</v>
      </c>
      <c r="AY35" s="1026">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1"/>
      <c r="B36" s="1099"/>
      <c r="C36" s="1099"/>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6">
        <f t="shared" si="11"/>
        <v>0</v>
      </c>
      <c r="AW36" s="796">
        <f t="shared" si="12"/>
        <v>0</v>
      </c>
      <c r="AX36" s="796">
        <f t="shared" si="13"/>
        <v>0</v>
      </c>
      <c r="AY36" s="1026">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1"/>
      <c r="B37" s="1099"/>
      <c r="C37" s="1099"/>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6">
        <f t="shared" si="11"/>
        <v>0</v>
      </c>
      <c r="AW37" s="796">
        <f t="shared" si="12"/>
        <v>0</v>
      </c>
      <c r="AX37" s="796">
        <f t="shared" si="13"/>
        <v>0</v>
      </c>
      <c r="AY37" s="1026">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1"/>
      <c r="B38" s="1099"/>
      <c r="C38" s="1099"/>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6">
        <f t="shared" si="11"/>
        <v>0</v>
      </c>
      <c r="AW38" s="796">
        <f t="shared" si="12"/>
        <v>0</v>
      </c>
      <c r="AX38" s="796">
        <f t="shared" si="13"/>
        <v>0</v>
      </c>
      <c r="AY38" s="1026">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1"/>
      <c r="B39" s="1099"/>
      <c r="C39" s="1099"/>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6">
        <f t="shared" si="11"/>
        <v>0</v>
      </c>
      <c r="AW39" s="796">
        <f t="shared" si="12"/>
        <v>0</v>
      </c>
      <c r="AX39" s="796">
        <f t="shared" si="13"/>
        <v>0</v>
      </c>
      <c r="AY39" s="1026">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1"/>
      <c r="B40" s="1099"/>
      <c r="C40" s="1099"/>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6">
        <f t="shared" si="11"/>
        <v>0</v>
      </c>
      <c r="AW40" s="796">
        <f t="shared" si="12"/>
        <v>0</v>
      </c>
      <c r="AX40" s="796">
        <f t="shared" si="13"/>
        <v>0</v>
      </c>
      <c r="AY40" s="1026">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1"/>
      <c r="B41" s="1099"/>
      <c r="C41" s="1099"/>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6">
        <f t="shared" si="11"/>
        <v>0</v>
      </c>
      <c r="AW41" s="796">
        <f t="shared" si="12"/>
        <v>0</v>
      </c>
      <c r="AX41" s="796">
        <f t="shared" si="13"/>
        <v>0</v>
      </c>
      <c r="AY41" s="1026">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1"/>
      <c r="B42" s="1099"/>
      <c r="C42" s="1099"/>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6">
        <f t="shared" si="11"/>
        <v>0</v>
      </c>
      <c r="AW42" s="796">
        <f t="shared" si="12"/>
        <v>0</v>
      </c>
      <c r="AX42" s="796">
        <f t="shared" si="13"/>
        <v>0</v>
      </c>
      <c r="AY42" s="1026">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1"/>
      <c r="B43" s="1099"/>
      <c r="C43" s="1099"/>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6">
        <f t="shared" si="11"/>
        <v>0</v>
      </c>
      <c r="AW43" s="796">
        <f t="shared" si="12"/>
        <v>0</v>
      </c>
      <c r="AX43" s="796">
        <f t="shared" si="13"/>
        <v>0</v>
      </c>
      <c r="AY43" s="1026">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1"/>
      <c r="B44" s="1099"/>
      <c r="C44" s="1099"/>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6">
        <f t="shared" si="11"/>
        <v>0</v>
      </c>
      <c r="AW44" s="796">
        <f t="shared" si="12"/>
        <v>0</v>
      </c>
      <c r="AX44" s="796">
        <f t="shared" si="13"/>
        <v>0</v>
      </c>
      <c r="AY44" s="1026">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1"/>
      <c r="B45" s="1099"/>
      <c r="C45" s="1099"/>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6">
        <f t="shared" si="11"/>
        <v>0</v>
      </c>
      <c r="AW45" s="796">
        <f t="shared" si="12"/>
        <v>0</v>
      </c>
      <c r="AX45" s="796">
        <f t="shared" si="13"/>
        <v>0</v>
      </c>
      <c r="AY45" s="1026">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1"/>
      <c r="B46" s="1099"/>
      <c r="C46" s="1099"/>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6">
        <f t="shared" si="11"/>
        <v>0</v>
      </c>
      <c r="AW46" s="796">
        <f t="shared" si="12"/>
        <v>0</v>
      </c>
      <c r="AX46" s="796">
        <f t="shared" si="13"/>
        <v>0</v>
      </c>
      <c r="AY46" s="1026">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1"/>
      <c r="B47" s="1099"/>
      <c r="C47" s="1099"/>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6">
        <f t="shared" si="11"/>
        <v>0</v>
      </c>
      <c r="AW47" s="796">
        <f t="shared" si="12"/>
        <v>0</v>
      </c>
      <c r="AX47" s="796">
        <f t="shared" si="13"/>
        <v>0</v>
      </c>
      <c r="AY47" s="1026">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1"/>
      <c r="B48" s="1099"/>
      <c r="C48" s="1099"/>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6">
        <f t="shared" si="11"/>
        <v>0</v>
      </c>
      <c r="AW48" s="796">
        <f t="shared" si="12"/>
        <v>0</v>
      </c>
      <c r="AX48" s="796">
        <f t="shared" si="13"/>
        <v>0</v>
      </c>
      <c r="AY48" s="1026">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1"/>
      <c r="B49" s="1099"/>
      <c r="C49" s="1099"/>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6">
        <f t="shared" si="11"/>
        <v>0</v>
      </c>
      <c r="AW49" s="796">
        <f t="shared" si="12"/>
        <v>0</v>
      </c>
      <c r="AX49" s="796">
        <f t="shared" si="13"/>
        <v>0</v>
      </c>
      <c r="AY49" s="1026">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1"/>
      <c r="B50" s="1099"/>
      <c r="C50" s="1099"/>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6">
        <f t="shared" si="11"/>
        <v>0</v>
      </c>
      <c r="AW50" s="796">
        <f t="shared" si="12"/>
        <v>0</v>
      </c>
      <c r="AX50" s="796">
        <f t="shared" si="13"/>
        <v>0</v>
      </c>
      <c r="AY50" s="1026">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1"/>
      <c r="B51" s="1099"/>
      <c r="C51" s="1099"/>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6">
        <f t="shared" si="11"/>
        <v>0</v>
      </c>
      <c r="AW51" s="796">
        <f t="shared" si="12"/>
        <v>0</v>
      </c>
      <c r="AX51" s="796">
        <f t="shared" si="13"/>
        <v>0</v>
      </c>
      <c r="AY51" s="1026">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1"/>
      <c r="B52" s="1099"/>
      <c r="C52" s="1099"/>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6">
        <f t="shared" si="11"/>
        <v>0</v>
      </c>
      <c r="AW52" s="796">
        <f t="shared" si="12"/>
        <v>0</v>
      </c>
      <c r="AX52" s="796">
        <f t="shared" si="13"/>
        <v>0</v>
      </c>
      <c r="AY52" s="1026">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1"/>
      <c r="B53" s="1099"/>
      <c r="C53" s="1099"/>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6">
        <f t="shared" si="11"/>
        <v>0</v>
      </c>
      <c r="AW53" s="796">
        <f t="shared" si="12"/>
        <v>0</v>
      </c>
      <c r="AX53" s="796">
        <f t="shared" si="13"/>
        <v>0</v>
      </c>
      <c r="AY53" s="1026">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1"/>
      <c r="B54" s="1099"/>
      <c r="C54" s="1099"/>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6">
        <f t="shared" si="11"/>
        <v>0</v>
      </c>
      <c r="AW54" s="796">
        <f t="shared" si="12"/>
        <v>0</v>
      </c>
      <c r="AX54" s="796">
        <f t="shared" si="13"/>
        <v>0</v>
      </c>
      <c r="AY54" s="1026">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1"/>
      <c r="B55" s="1099"/>
      <c r="C55" s="1099"/>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6">
        <f t="shared" si="11"/>
        <v>0</v>
      </c>
      <c r="AW55" s="796">
        <f t="shared" si="12"/>
        <v>0</v>
      </c>
      <c r="AX55" s="796">
        <f t="shared" si="13"/>
        <v>0</v>
      </c>
      <c r="AY55" s="1026">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1"/>
      <c r="B56" s="1099"/>
      <c r="C56" s="1099"/>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6">
        <f t="shared" si="11"/>
        <v>0</v>
      </c>
      <c r="AW56" s="796">
        <f t="shared" si="12"/>
        <v>0</v>
      </c>
      <c r="AX56" s="796">
        <f t="shared" si="13"/>
        <v>0</v>
      </c>
      <c r="AY56" s="1026">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1"/>
      <c r="B57" s="1099"/>
      <c r="C57" s="1099"/>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6">
        <f t="shared" si="11"/>
        <v>0</v>
      </c>
      <c r="AW57" s="796">
        <f t="shared" si="12"/>
        <v>0</v>
      </c>
      <c r="AX57" s="796">
        <f t="shared" si="13"/>
        <v>0</v>
      </c>
      <c r="AY57" s="1026">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1"/>
      <c r="B58" s="1099"/>
      <c r="C58" s="1099"/>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6">
        <f t="shared" si="11"/>
        <v>0</v>
      </c>
      <c r="AW58" s="796">
        <f t="shared" si="12"/>
        <v>0</v>
      </c>
      <c r="AX58" s="796">
        <f t="shared" si="13"/>
        <v>0</v>
      </c>
      <c r="AY58" s="1026">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1"/>
      <c r="B59" s="1099"/>
      <c r="C59" s="1099"/>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6">
        <f t="shared" si="11"/>
        <v>0</v>
      </c>
      <c r="AW59" s="796">
        <f t="shared" si="12"/>
        <v>0</v>
      </c>
      <c r="AX59" s="796">
        <f t="shared" si="13"/>
        <v>0</v>
      </c>
      <c r="AY59" s="1026">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1"/>
      <c r="B60" s="1099"/>
      <c r="C60" s="1099"/>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6">
        <f t="shared" si="11"/>
        <v>0</v>
      </c>
      <c r="AW60" s="796">
        <f t="shared" si="12"/>
        <v>0</v>
      </c>
      <c r="AX60" s="796">
        <f t="shared" si="13"/>
        <v>0</v>
      </c>
      <c r="AY60" s="1026">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1"/>
      <c r="B61" s="1099"/>
      <c r="C61" s="1099"/>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6">
        <f t="shared" si="11"/>
        <v>0</v>
      </c>
      <c r="AW61" s="796">
        <f t="shared" si="12"/>
        <v>0</v>
      </c>
      <c r="AX61" s="796">
        <f t="shared" si="13"/>
        <v>0</v>
      </c>
      <c r="AY61" s="1026">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1"/>
      <c r="B62" s="1099"/>
      <c r="C62" s="1099"/>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6">
        <f t="shared" si="11"/>
        <v>0</v>
      </c>
      <c r="AW62" s="796">
        <f t="shared" si="12"/>
        <v>0</v>
      </c>
      <c r="AX62" s="796">
        <f t="shared" si="13"/>
        <v>0</v>
      </c>
      <c r="AY62" s="1026">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1"/>
      <c r="B63" s="1099"/>
      <c r="C63" s="1099"/>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6">
        <f t="shared" si="11"/>
        <v>0</v>
      </c>
      <c r="AW63" s="796">
        <f t="shared" si="12"/>
        <v>0</v>
      </c>
      <c r="AX63" s="796">
        <f t="shared" si="13"/>
        <v>0</v>
      </c>
      <c r="AY63" s="1026">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1"/>
      <c r="B64" s="1099"/>
      <c r="C64" s="1099"/>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6">
        <f t="shared" si="11"/>
        <v>0</v>
      </c>
      <c r="AW64" s="796">
        <f t="shared" si="12"/>
        <v>0</v>
      </c>
      <c r="AX64" s="796">
        <f t="shared" si="13"/>
        <v>0</v>
      </c>
      <c r="AY64" s="1026">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1"/>
      <c r="B65" s="1099"/>
      <c r="C65" s="1099"/>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6">
        <f t="shared" si="11"/>
        <v>0</v>
      </c>
      <c r="AW65" s="796">
        <f t="shared" si="12"/>
        <v>0</v>
      </c>
      <c r="AX65" s="796">
        <f t="shared" si="13"/>
        <v>0</v>
      </c>
      <c r="AY65" s="1026">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1"/>
      <c r="B66" s="1099"/>
      <c r="C66" s="1099"/>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6">
        <f t="shared" si="11"/>
        <v>0</v>
      </c>
      <c r="AW66" s="796">
        <f t="shared" si="12"/>
        <v>0</v>
      </c>
      <c r="AX66" s="796">
        <f t="shared" si="13"/>
        <v>0</v>
      </c>
      <c r="AY66" s="1026">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1"/>
      <c r="B67" s="1099"/>
      <c r="C67" s="1099"/>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6">
        <f t="shared" si="11"/>
        <v>0</v>
      </c>
      <c r="AW67" s="796">
        <f t="shared" si="12"/>
        <v>0</v>
      </c>
      <c r="AX67" s="796">
        <f t="shared" si="13"/>
        <v>0</v>
      </c>
      <c r="AY67" s="1026">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1"/>
      <c r="B68" s="1099"/>
      <c r="C68" s="1099"/>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6">
        <f t="shared" si="11"/>
        <v>0</v>
      </c>
      <c r="AW68" s="796">
        <f t="shared" si="12"/>
        <v>0</v>
      </c>
      <c r="AX68" s="796">
        <f t="shared" si="13"/>
        <v>0</v>
      </c>
      <c r="AY68" s="1026">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1"/>
      <c r="B69" s="1099"/>
      <c r="C69" s="1099"/>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6">
        <f t="shared" si="11"/>
        <v>0</v>
      </c>
      <c r="AW69" s="796">
        <f t="shared" si="12"/>
        <v>0</v>
      </c>
      <c r="AX69" s="796">
        <f t="shared" si="13"/>
        <v>0</v>
      </c>
      <c r="AY69" s="1026">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1"/>
      <c r="B70" s="1099"/>
      <c r="C70" s="1099"/>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6">
        <f t="shared" si="11"/>
        <v>0</v>
      </c>
      <c r="AW70" s="796">
        <f t="shared" si="12"/>
        <v>0</v>
      </c>
      <c r="AX70" s="796">
        <f t="shared" si="13"/>
        <v>0</v>
      </c>
      <c r="AY70" s="1026">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1"/>
      <c r="B71" s="1099"/>
      <c r="C71" s="1099"/>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6">
        <f t="shared" si="11"/>
        <v>0</v>
      </c>
      <c r="AW71" s="796">
        <f t="shared" si="12"/>
        <v>0</v>
      </c>
      <c r="AX71" s="796">
        <f t="shared" si="13"/>
        <v>0</v>
      </c>
      <c r="AY71" s="1026">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1"/>
      <c r="B72" s="1099"/>
      <c r="C72" s="1099"/>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6">
        <f t="shared" si="11"/>
        <v>0</v>
      </c>
      <c r="AW72" s="796">
        <f t="shared" si="12"/>
        <v>0</v>
      </c>
      <c r="AX72" s="796">
        <f t="shared" si="13"/>
        <v>0</v>
      </c>
      <c r="AY72" s="1026">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1"/>
      <c r="B73" s="1099"/>
      <c r="C73" s="1099"/>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6">
        <f t="shared" si="11"/>
        <v>0</v>
      </c>
      <c r="AW73" s="796">
        <f t="shared" si="12"/>
        <v>0</v>
      </c>
      <c r="AX73" s="796">
        <f t="shared" si="13"/>
        <v>0</v>
      </c>
      <c r="AY73" s="1026">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1"/>
      <c r="B74" s="1099"/>
      <c r="C74" s="1099"/>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6">
        <f t="shared" si="11"/>
        <v>0</v>
      </c>
      <c r="AW74" s="796">
        <f t="shared" si="12"/>
        <v>0</v>
      </c>
      <c r="AX74" s="796">
        <f t="shared" si="13"/>
        <v>0</v>
      </c>
      <c r="AY74" s="1026">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1"/>
      <c r="B75" s="1099"/>
      <c r="C75" s="1099"/>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6">
        <f t="shared" si="11"/>
        <v>0</v>
      </c>
      <c r="AW75" s="796">
        <f t="shared" si="12"/>
        <v>0</v>
      </c>
      <c r="AX75" s="796">
        <f t="shared" si="13"/>
        <v>0</v>
      </c>
      <c r="AY75" s="1026">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1"/>
      <c r="B76" s="1099"/>
      <c r="C76" s="1099"/>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6">
        <f t="shared" si="11"/>
        <v>0</v>
      </c>
      <c r="AW76" s="796">
        <f t="shared" si="12"/>
        <v>0</v>
      </c>
      <c r="AX76" s="796">
        <f t="shared" si="13"/>
        <v>0</v>
      </c>
      <c r="AY76" s="1026">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1"/>
      <c r="B77" s="1099"/>
      <c r="C77" s="1099"/>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6">
        <f t="shared" si="11"/>
        <v>0</v>
      </c>
      <c r="AW77" s="796">
        <f t="shared" si="12"/>
        <v>0</v>
      </c>
      <c r="AX77" s="796">
        <f t="shared" si="13"/>
        <v>0</v>
      </c>
      <c r="AY77" s="1026">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1"/>
      <c r="B78" s="1099"/>
      <c r="C78" s="1099"/>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6">
        <f t="shared" si="11"/>
        <v>0</v>
      </c>
      <c r="AW78" s="796">
        <f t="shared" si="12"/>
        <v>0</v>
      </c>
      <c r="AX78" s="796">
        <f t="shared" si="13"/>
        <v>0</v>
      </c>
      <c r="AY78" s="1026">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1"/>
      <c r="B79" s="1099"/>
      <c r="C79" s="1099"/>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6">
        <f t="shared" si="11"/>
        <v>0</v>
      </c>
      <c r="AW79" s="796">
        <f t="shared" si="12"/>
        <v>0</v>
      </c>
      <c r="AX79" s="796">
        <f t="shared" si="13"/>
        <v>0</v>
      </c>
      <c r="AY79" s="1026">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1"/>
      <c r="B80" s="1099"/>
      <c r="C80" s="1099"/>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6">
        <f t="shared" si="11"/>
        <v>0</v>
      </c>
      <c r="AW80" s="796">
        <f t="shared" si="12"/>
        <v>0</v>
      </c>
      <c r="AX80" s="796">
        <f t="shared" si="13"/>
        <v>0</v>
      </c>
      <c r="AY80" s="1026">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1"/>
      <c r="B81" s="1099"/>
      <c r="C81" s="1099"/>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6">
        <f t="shared" si="11"/>
        <v>0</v>
      </c>
      <c r="AW81" s="796">
        <f t="shared" si="12"/>
        <v>0</v>
      </c>
      <c r="AX81" s="796">
        <f t="shared" si="13"/>
        <v>0</v>
      </c>
      <c r="AY81" s="1026">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1"/>
      <c r="B82" s="1099"/>
      <c r="C82" s="1099"/>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6">
        <f t="shared" si="11"/>
        <v>0</v>
      </c>
      <c r="AW82" s="796">
        <f t="shared" si="12"/>
        <v>0</v>
      </c>
      <c r="AX82" s="796">
        <f t="shared" si="13"/>
        <v>0</v>
      </c>
      <c r="AY82" s="1026">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1"/>
      <c r="B83" s="1099"/>
      <c r="C83" s="1099"/>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6">
        <f t="shared" si="11"/>
        <v>0</v>
      </c>
      <c r="AW83" s="796">
        <f t="shared" si="12"/>
        <v>0</v>
      </c>
      <c r="AX83" s="796">
        <f t="shared" si="13"/>
        <v>0</v>
      </c>
      <c r="AY83" s="1026">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1"/>
      <c r="B84" s="1099"/>
      <c r="C84" s="1099"/>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6">
        <f t="shared" si="11"/>
        <v>0</v>
      </c>
      <c r="AW84" s="796">
        <f t="shared" si="12"/>
        <v>0</v>
      </c>
      <c r="AX84" s="796">
        <f t="shared" si="13"/>
        <v>0</v>
      </c>
      <c r="AY84" s="1026">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1"/>
      <c r="B85" s="1099"/>
      <c r="C85" s="1099"/>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6">
        <f t="shared" si="11"/>
        <v>0</v>
      </c>
      <c r="AW85" s="796">
        <f t="shared" si="12"/>
        <v>0</v>
      </c>
      <c r="AX85" s="796">
        <f t="shared" si="13"/>
        <v>0</v>
      </c>
      <c r="AY85" s="1026">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1"/>
      <c r="B86" s="1099"/>
      <c r="C86" s="1099"/>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6">
        <f t="shared" si="11"/>
        <v>0</v>
      </c>
      <c r="AW86" s="796">
        <f t="shared" si="12"/>
        <v>0</v>
      </c>
      <c r="AX86" s="796">
        <f t="shared" si="13"/>
        <v>0</v>
      </c>
      <c r="AY86" s="1026">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1"/>
      <c r="B87" s="1099"/>
      <c r="C87" s="1099"/>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6">
        <f t="shared" si="11"/>
        <v>0</v>
      </c>
      <c r="AW87" s="796">
        <f t="shared" si="12"/>
        <v>0</v>
      </c>
      <c r="AX87" s="796">
        <f t="shared" si="13"/>
        <v>0</v>
      </c>
      <c r="AY87" s="1026">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1"/>
      <c r="B88" s="1099"/>
      <c r="C88" s="1099"/>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6">
        <f t="shared" si="11"/>
        <v>0</v>
      </c>
      <c r="AW88" s="796">
        <f t="shared" si="12"/>
        <v>0</v>
      </c>
      <c r="AX88" s="796">
        <f t="shared" si="13"/>
        <v>0</v>
      </c>
      <c r="AY88" s="1026">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1"/>
      <c r="B89" s="1099"/>
      <c r="C89" s="1099"/>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6">
        <f t="shared" si="11"/>
        <v>0</v>
      </c>
      <c r="AW89" s="796">
        <f t="shared" si="12"/>
        <v>0</v>
      </c>
      <c r="AX89" s="796">
        <f t="shared" si="13"/>
        <v>0</v>
      </c>
      <c r="AY89" s="1026">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1"/>
      <c r="B90" s="1099"/>
      <c r="C90" s="1099"/>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6">
        <f t="shared" si="11"/>
        <v>0</v>
      </c>
      <c r="AW90" s="796">
        <f t="shared" si="12"/>
        <v>0</v>
      </c>
      <c r="AX90" s="796">
        <f t="shared" si="13"/>
        <v>0</v>
      </c>
      <c r="AY90" s="1026">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1"/>
      <c r="B91" s="1099"/>
      <c r="C91" s="1099"/>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6">
        <f t="shared" si="11"/>
        <v>0</v>
      </c>
      <c r="AW91" s="796">
        <f t="shared" si="12"/>
        <v>0</v>
      </c>
      <c r="AX91" s="796">
        <f t="shared" si="13"/>
        <v>0</v>
      </c>
      <c r="AY91" s="1026">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1"/>
      <c r="B92" s="1099"/>
      <c r="C92" s="1099"/>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6">
        <f t="shared" si="11"/>
        <v>0</v>
      </c>
      <c r="AW92" s="796">
        <f t="shared" si="12"/>
        <v>0</v>
      </c>
      <c r="AX92" s="796">
        <f t="shared" si="13"/>
        <v>0</v>
      </c>
      <c r="AY92" s="1026">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1"/>
      <c r="B93" s="1099"/>
      <c r="C93" s="1099"/>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6">
        <f t="shared" si="11"/>
        <v>0</v>
      </c>
      <c r="AW93" s="796">
        <f t="shared" si="12"/>
        <v>0</v>
      </c>
      <c r="AX93" s="796">
        <f t="shared" si="13"/>
        <v>0</v>
      </c>
      <c r="AY93" s="1026">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1"/>
      <c r="B94" s="1099"/>
      <c r="C94" s="1099"/>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6">
        <f t="shared" si="11"/>
        <v>0</v>
      </c>
      <c r="AW94" s="796">
        <f t="shared" si="12"/>
        <v>0</v>
      </c>
      <c r="AX94" s="796">
        <f t="shared" si="13"/>
        <v>0</v>
      </c>
      <c r="AY94" s="1026">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1"/>
      <c r="B95" s="1099"/>
      <c r="C95" s="1099"/>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6">
        <f t="shared" si="11"/>
        <v>0</v>
      </c>
      <c r="AW95" s="796">
        <f t="shared" si="12"/>
        <v>0</v>
      </c>
      <c r="AX95" s="796">
        <f t="shared" si="13"/>
        <v>0</v>
      </c>
      <c r="AY95" s="1026">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1"/>
      <c r="B96" s="1099"/>
      <c r="C96" s="1099"/>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6">
        <f t="shared" si="11"/>
        <v>0</v>
      </c>
      <c r="AW96" s="796">
        <f t="shared" si="12"/>
        <v>0</v>
      </c>
      <c r="AX96" s="796">
        <f t="shared" si="13"/>
        <v>0</v>
      </c>
      <c r="AY96" s="1026">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1"/>
      <c r="B97" s="1099"/>
      <c r="C97" s="1099"/>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6">
        <f t="shared" si="11"/>
        <v>0</v>
      </c>
      <c r="AW97" s="796">
        <f t="shared" si="12"/>
        <v>0</v>
      </c>
      <c r="AX97" s="796">
        <f t="shared" si="13"/>
        <v>0</v>
      </c>
      <c r="AY97" s="1026">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1"/>
      <c r="B98" s="1099"/>
      <c r="C98" s="1099"/>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6">
        <f t="shared" si="11"/>
        <v>0</v>
      </c>
      <c r="AW98" s="796">
        <f t="shared" si="12"/>
        <v>0</v>
      </c>
      <c r="AX98" s="796">
        <f t="shared" si="13"/>
        <v>0</v>
      </c>
      <c r="AY98" s="1026">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1"/>
      <c r="B99" s="1099"/>
      <c r="C99" s="1099"/>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6">
        <f t="shared" si="11"/>
        <v>0</v>
      </c>
      <c r="AW99" s="796">
        <f t="shared" si="12"/>
        <v>0</v>
      </c>
      <c r="AX99" s="796">
        <f t="shared" si="13"/>
        <v>0</v>
      </c>
      <c r="AY99" s="1026">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1"/>
      <c r="B100" s="1099"/>
      <c r="C100" s="1099"/>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6">
        <f t="shared" si="11"/>
        <v>0</v>
      </c>
      <c r="AW100" s="796">
        <f t="shared" si="12"/>
        <v>0</v>
      </c>
      <c r="AX100" s="796">
        <f t="shared" si="13"/>
        <v>0</v>
      </c>
      <c r="AY100" s="1026">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1"/>
      <c r="B101" s="1099"/>
      <c r="C101" s="1099"/>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6">
        <f t="shared" si="11"/>
        <v>0</v>
      </c>
      <c r="AW101" s="796">
        <f t="shared" si="12"/>
        <v>0</v>
      </c>
      <c r="AX101" s="796">
        <f t="shared" si="13"/>
        <v>0</v>
      </c>
      <c r="AY101" s="1026">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1"/>
      <c r="B102" s="1099"/>
      <c r="C102" s="1099"/>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6">
        <f t="shared" si="11"/>
        <v>0</v>
      </c>
      <c r="AW102" s="796">
        <f t="shared" si="12"/>
        <v>0</v>
      </c>
      <c r="AX102" s="796">
        <f t="shared" si="13"/>
        <v>0</v>
      </c>
      <c r="AY102" s="1026">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1"/>
      <c r="B103" s="1099"/>
      <c r="C103" s="1099"/>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6">
        <f t="shared" si="11"/>
        <v>0</v>
      </c>
      <c r="AW103" s="796">
        <f t="shared" si="12"/>
        <v>0</v>
      </c>
      <c r="AX103" s="796">
        <f t="shared" si="13"/>
        <v>0</v>
      </c>
      <c r="AY103" s="1026">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1"/>
      <c r="B104" s="1099"/>
      <c r="C104" s="1099"/>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6">
        <f t="shared" si="11"/>
        <v>0</v>
      </c>
      <c r="AW104" s="796">
        <f t="shared" si="12"/>
        <v>0</v>
      </c>
      <c r="AX104" s="796">
        <f t="shared" si="13"/>
        <v>0</v>
      </c>
      <c r="AY104" s="1026">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1"/>
      <c r="B105" s="1099"/>
      <c r="C105" s="1099"/>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6">
        <f t="shared" si="11"/>
        <v>0</v>
      </c>
      <c r="AW105" s="796">
        <f t="shared" si="12"/>
        <v>0</v>
      </c>
      <c r="AX105" s="796">
        <f t="shared" si="13"/>
        <v>0</v>
      </c>
      <c r="AY105" s="1026">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1"/>
      <c r="B106" s="1099"/>
      <c r="C106" s="1099"/>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6">
        <f t="shared" si="11"/>
        <v>0</v>
      </c>
      <c r="AW106" s="796">
        <f t="shared" si="12"/>
        <v>0</v>
      </c>
      <c r="AX106" s="796">
        <f t="shared" si="13"/>
        <v>0</v>
      </c>
      <c r="AY106" s="1026">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1"/>
      <c r="B107" s="1099"/>
      <c r="C107" s="1099"/>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6">
        <f t="shared" si="11"/>
        <v>0</v>
      </c>
      <c r="AW107" s="796">
        <f t="shared" si="12"/>
        <v>0</v>
      </c>
      <c r="AX107" s="796">
        <f t="shared" si="13"/>
        <v>0</v>
      </c>
      <c r="AY107" s="1026">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1"/>
      <c r="B108" s="1099"/>
      <c r="C108" s="1099"/>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6">
        <f t="shared" si="11"/>
        <v>0</v>
      </c>
      <c r="AW108" s="796">
        <f t="shared" si="12"/>
        <v>0</v>
      </c>
      <c r="AX108" s="796">
        <f t="shared" si="13"/>
        <v>0</v>
      </c>
      <c r="AY108" s="1026">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1"/>
      <c r="B109" s="1099"/>
      <c r="C109" s="1099"/>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6">
        <f t="shared" si="11"/>
        <v>0</v>
      </c>
      <c r="AW109" s="796">
        <f t="shared" si="12"/>
        <v>0</v>
      </c>
      <c r="AX109" s="796">
        <f t="shared" si="13"/>
        <v>0</v>
      </c>
      <c r="AY109" s="1026">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1"/>
      <c r="B110" s="1091"/>
      <c r="C110" s="1091"/>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4"/>
      <c r="AV110" s="796">
        <f t="shared" si="11"/>
        <v>0</v>
      </c>
      <c r="AW110" s="796">
        <f t="shared" si="12"/>
        <v>0</v>
      </c>
      <c r="AX110" s="796">
        <f t="shared" si="13"/>
        <v>0</v>
      </c>
      <c r="AY110" s="1026">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1"/>
      <c r="B111" s="1091"/>
      <c r="C111" s="1091"/>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4"/>
      <c r="AV111" s="796">
        <f t="shared" si="11"/>
        <v>0</v>
      </c>
      <c r="AW111" s="796">
        <f t="shared" si="12"/>
        <v>0</v>
      </c>
      <c r="AX111" s="796">
        <f t="shared" si="13"/>
        <v>0</v>
      </c>
      <c r="AY111" s="1026">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1"/>
      <c r="B112" s="1091"/>
      <c r="C112" s="1091"/>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4"/>
      <c r="AV112" s="796">
        <f t="shared" si="11"/>
        <v>0</v>
      </c>
      <c r="AW112" s="796">
        <f t="shared" si="12"/>
        <v>0</v>
      </c>
      <c r="AX112" s="796">
        <f t="shared" si="13"/>
        <v>0</v>
      </c>
      <c r="AY112" s="1026">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1"/>
      <c r="B113" s="1099"/>
      <c r="C113" s="1099"/>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6">
        <f t="shared" ref="AV113:AV144" si="62">A113</f>
        <v>0</v>
      </c>
      <c r="AW113" s="796">
        <f t="shared" ref="AW113:AW144" si="63">B113</f>
        <v>0</v>
      </c>
      <c r="AX113" s="796">
        <f t="shared" ref="AX113:AX144" si="64">C113</f>
        <v>0</v>
      </c>
      <c r="AY113" s="1026">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1"/>
      <c r="B114" s="1099"/>
      <c r="C114" s="1099"/>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6">
        <f t="shared" si="62"/>
        <v>0</v>
      </c>
      <c r="AW114" s="796">
        <f t="shared" si="63"/>
        <v>0</v>
      </c>
      <c r="AX114" s="796">
        <f t="shared" si="64"/>
        <v>0</v>
      </c>
      <c r="AY114" s="1026">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1"/>
      <c r="B115" s="1099"/>
      <c r="C115" s="1099"/>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6">
        <f t="shared" si="62"/>
        <v>0</v>
      </c>
      <c r="AW115" s="796">
        <f t="shared" si="63"/>
        <v>0</v>
      </c>
      <c r="AX115" s="796">
        <f t="shared" si="64"/>
        <v>0</v>
      </c>
      <c r="AY115" s="1026">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1"/>
      <c r="B116" s="1099"/>
      <c r="C116" s="1099"/>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6">
        <f t="shared" si="62"/>
        <v>0</v>
      </c>
      <c r="AW116" s="796">
        <f t="shared" si="63"/>
        <v>0</v>
      </c>
      <c r="AX116" s="796">
        <f t="shared" si="64"/>
        <v>0</v>
      </c>
      <c r="AY116" s="1026">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1"/>
      <c r="B117" s="1099"/>
      <c r="C117" s="1099"/>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6">
        <f t="shared" si="62"/>
        <v>0</v>
      </c>
      <c r="AW117" s="796">
        <f t="shared" si="63"/>
        <v>0</v>
      </c>
      <c r="AX117" s="796">
        <f t="shared" si="64"/>
        <v>0</v>
      </c>
      <c r="AY117" s="1026">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1"/>
      <c r="B118" s="1099"/>
      <c r="C118" s="1099"/>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6">
        <f t="shared" si="62"/>
        <v>0</v>
      </c>
      <c r="AW118" s="796">
        <f t="shared" si="63"/>
        <v>0</v>
      </c>
      <c r="AX118" s="796">
        <f t="shared" si="64"/>
        <v>0</v>
      </c>
      <c r="AY118" s="1026">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1"/>
      <c r="B119" s="1099"/>
      <c r="C119" s="1099"/>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6">
        <f t="shared" si="62"/>
        <v>0</v>
      </c>
      <c r="AW119" s="796">
        <f t="shared" si="63"/>
        <v>0</v>
      </c>
      <c r="AX119" s="796">
        <f t="shared" si="64"/>
        <v>0</v>
      </c>
      <c r="AY119" s="1026">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1"/>
      <c r="B120" s="1099"/>
      <c r="C120" s="1099"/>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6">
        <f t="shared" si="62"/>
        <v>0</v>
      </c>
      <c r="AW120" s="796">
        <f t="shared" si="63"/>
        <v>0</v>
      </c>
      <c r="AX120" s="796">
        <f t="shared" si="64"/>
        <v>0</v>
      </c>
      <c r="AY120" s="1026">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1"/>
      <c r="B121" s="1099"/>
      <c r="C121" s="1099"/>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6">
        <f t="shared" si="62"/>
        <v>0</v>
      </c>
      <c r="AW121" s="796">
        <f t="shared" si="63"/>
        <v>0</v>
      </c>
      <c r="AX121" s="796">
        <f t="shared" si="64"/>
        <v>0</v>
      </c>
      <c r="AY121" s="1026">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1"/>
      <c r="B122" s="1099"/>
      <c r="C122" s="1099"/>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6">
        <f t="shared" si="62"/>
        <v>0</v>
      </c>
      <c r="AW122" s="796">
        <f t="shared" si="63"/>
        <v>0</v>
      </c>
      <c r="AX122" s="796">
        <f t="shared" si="64"/>
        <v>0</v>
      </c>
      <c r="AY122" s="1026">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1"/>
      <c r="B123" s="1099"/>
      <c r="C123" s="1099"/>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6">
        <f t="shared" si="62"/>
        <v>0</v>
      </c>
      <c r="AW123" s="796">
        <f t="shared" si="63"/>
        <v>0</v>
      </c>
      <c r="AX123" s="796">
        <f t="shared" si="64"/>
        <v>0</v>
      </c>
      <c r="AY123" s="1026">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1"/>
      <c r="B124" s="1099"/>
      <c r="C124" s="1099"/>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6">
        <f t="shared" si="62"/>
        <v>0</v>
      </c>
      <c r="AW124" s="796">
        <f t="shared" si="63"/>
        <v>0</v>
      </c>
      <c r="AX124" s="796">
        <f t="shared" si="64"/>
        <v>0</v>
      </c>
      <c r="AY124" s="1026">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1"/>
      <c r="B125" s="1099"/>
      <c r="C125" s="1099"/>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6">
        <f t="shared" si="62"/>
        <v>0</v>
      </c>
      <c r="AW125" s="796">
        <f t="shared" si="63"/>
        <v>0</v>
      </c>
      <c r="AX125" s="796">
        <f t="shared" si="64"/>
        <v>0</v>
      </c>
      <c r="AY125" s="1026">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1"/>
      <c r="B126" s="1099"/>
      <c r="C126" s="1099"/>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6">
        <f t="shared" si="62"/>
        <v>0</v>
      </c>
      <c r="AW126" s="796">
        <f t="shared" si="63"/>
        <v>0</v>
      </c>
      <c r="AX126" s="796">
        <f t="shared" si="64"/>
        <v>0</v>
      </c>
      <c r="AY126" s="1026">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1"/>
      <c r="B127" s="1099"/>
      <c r="C127" s="1099"/>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6">
        <f t="shared" si="62"/>
        <v>0</v>
      </c>
      <c r="AW127" s="796">
        <f t="shared" si="63"/>
        <v>0</v>
      </c>
      <c r="AX127" s="796">
        <f t="shared" si="64"/>
        <v>0</v>
      </c>
      <c r="AY127" s="1026">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1"/>
      <c r="B128" s="1099"/>
      <c r="C128" s="1099"/>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6">
        <f t="shared" si="62"/>
        <v>0</v>
      </c>
      <c r="AW128" s="796">
        <f t="shared" si="63"/>
        <v>0</v>
      </c>
      <c r="AX128" s="796">
        <f t="shared" si="64"/>
        <v>0</v>
      </c>
      <c r="AY128" s="1026">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1"/>
      <c r="B129" s="1099"/>
      <c r="C129" s="1099"/>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6">
        <f t="shared" si="62"/>
        <v>0</v>
      </c>
      <c r="AW129" s="796">
        <f t="shared" si="63"/>
        <v>0</v>
      </c>
      <c r="AX129" s="796">
        <f t="shared" si="64"/>
        <v>0</v>
      </c>
      <c r="AY129" s="1026">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1"/>
      <c r="B130" s="1099"/>
      <c r="C130" s="1099"/>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6">
        <f t="shared" si="62"/>
        <v>0</v>
      </c>
      <c r="AW130" s="796">
        <f t="shared" si="63"/>
        <v>0</v>
      </c>
      <c r="AX130" s="796">
        <f t="shared" si="64"/>
        <v>0</v>
      </c>
      <c r="AY130" s="1026">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1"/>
      <c r="B131" s="1099"/>
      <c r="C131" s="1099"/>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6">
        <f t="shared" si="62"/>
        <v>0</v>
      </c>
      <c r="AW131" s="796">
        <f t="shared" si="63"/>
        <v>0</v>
      </c>
      <c r="AX131" s="796">
        <f t="shared" si="64"/>
        <v>0</v>
      </c>
      <c r="AY131" s="1026">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1"/>
      <c r="B132" s="1099"/>
      <c r="C132" s="1099"/>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6">
        <f t="shared" si="62"/>
        <v>0</v>
      </c>
      <c r="AW132" s="796">
        <f t="shared" si="63"/>
        <v>0</v>
      </c>
      <c r="AX132" s="796">
        <f t="shared" si="64"/>
        <v>0</v>
      </c>
      <c r="AY132" s="1026">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1"/>
      <c r="B133" s="1099"/>
      <c r="C133" s="1099"/>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6">
        <f t="shared" si="62"/>
        <v>0</v>
      </c>
      <c r="AW133" s="796">
        <f t="shared" si="63"/>
        <v>0</v>
      </c>
      <c r="AX133" s="796">
        <f t="shared" si="64"/>
        <v>0</v>
      </c>
      <c r="AY133" s="1026">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1"/>
      <c r="B134" s="1099"/>
      <c r="C134" s="1099"/>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6">
        <f t="shared" si="62"/>
        <v>0</v>
      </c>
      <c r="AW134" s="796">
        <f t="shared" si="63"/>
        <v>0</v>
      </c>
      <c r="AX134" s="796">
        <f t="shared" si="64"/>
        <v>0</v>
      </c>
      <c r="AY134" s="1026">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1"/>
      <c r="B135" s="1099"/>
      <c r="C135" s="1099"/>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6">
        <f t="shared" si="62"/>
        <v>0</v>
      </c>
      <c r="AW135" s="796">
        <f t="shared" si="63"/>
        <v>0</v>
      </c>
      <c r="AX135" s="796">
        <f t="shared" si="64"/>
        <v>0</v>
      </c>
      <c r="AY135" s="1026">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1"/>
      <c r="B136" s="1099"/>
      <c r="C136" s="1099"/>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6">
        <f t="shared" si="62"/>
        <v>0</v>
      </c>
      <c r="AW136" s="796">
        <f t="shared" si="63"/>
        <v>0</v>
      </c>
      <c r="AX136" s="796">
        <f t="shared" si="64"/>
        <v>0</v>
      </c>
      <c r="AY136" s="1026">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1"/>
      <c r="B137" s="1099"/>
      <c r="C137" s="1099"/>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6">
        <f t="shared" si="62"/>
        <v>0</v>
      </c>
      <c r="AW137" s="796">
        <f t="shared" si="63"/>
        <v>0</v>
      </c>
      <c r="AX137" s="796">
        <f t="shared" si="64"/>
        <v>0</v>
      </c>
      <c r="AY137" s="1026">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1"/>
      <c r="B138" s="1099"/>
      <c r="C138" s="1099"/>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6">
        <f t="shared" si="62"/>
        <v>0</v>
      </c>
      <c r="AW138" s="796">
        <f t="shared" si="63"/>
        <v>0</v>
      </c>
      <c r="AX138" s="796">
        <f t="shared" si="64"/>
        <v>0</v>
      </c>
      <c r="AY138" s="1026">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1"/>
      <c r="B139" s="1099"/>
      <c r="C139" s="1099"/>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6">
        <f t="shared" si="62"/>
        <v>0</v>
      </c>
      <c r="AW139" s="796">
        <f t="shared" si="63"/>
        <v>0</v>
      </c>
      <c r="AX139" s="796">
        <f t="shared" si="64"/>
        <v>0</v>
      </c>
      <c r="AY139" s="1026">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1"/>
      <c r="B140" s="1099"/>
      <c r="C140" s="1099"/>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6">
        <f t="shared" si="62"/>
        <v>0</v>
      </c>
      <c r="AW140" s="796">
        <f t="shared" si="63"/>
        <v>0</v>
      </c>
      <c r="AX140" s="796">
        <f t="shared" si="64"/>
        <v>0</v>
      </c>
      <c r="AY140" s="1026">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1"/>
      <c r="B141" s="1099"/>
      <c r="C141" s="1099"/>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6">
        <f t="shared" si="62"/>
        <v>0</v>
      </c>
      <c r="AW141" s="796">
        <f t="shared" si="63"/>
        <v>0</v>
      </c>
      <c r="AX141" s="796">
        <f t="shared" si="64"/>
        <v>0</v>
      </c>
      <c r="AY141" s="1026">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1"/>
      <c r="B142" s="1099"/>
      <c r="C142" s="1099"/>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6">
        <f t="shared" si="62"/>
        <v>0</v>
      </c>
      <c r="AW142" s="796">
        <f t="shared" si="63"/>
        <v>0</v>
      </c>
      <c r="AX142" s="796">
        <f t="shared" si="64"/>
        <v>0</v>
      </c>
      <c r="AY142" s="1026">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1"/>
      <c r="B143" s="1099"/>
      <c r="C143" s="1099"/>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6">
        <f t="shared" si="62"/>
        <v>0</v>
      </c>
      <c r="AW143" s="796">
        <f t="shared" si="63"/>
        <v>0</v>
      </c>
      <c r="AX143" s="796">
        <f t="shared" si="64"/>
        <v>0</v>
      </c>
      <c r="AY143" s="1026">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1"/>
      <c r="B144" s="1099"/>
      <c r="C144" s="1099"/>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6">
        <f t="shared" si="62"/>
        <v>0</v>
      </c>
      <c r="AW144" s="796">
        <f t="shared" si="63"/>
        <v>0</v>
      </c>
      <c r="AX144" s="796">
        <f t="shared" si="64"/>
        <v>0</v>
      </c>
      <c r="AY144" s="1026">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1"/>
      <c r="B145" s="1099"/>
      <c r="C145" s="1099"/>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6">
        <f t="shared" ref="AV145:AV176" si="91">A145</f>
        <v>0</v>
      </c>
      <c r="AW145" s="796">
        <f t="shared" ref="AW145:AW176" si="92">B145</f>
        <v>0</v>
      </c>
      <c r="AX145" s="796">
        <f t="shared" ref="AX145:AX176" si="93">C145</f>
        <v>0</v>
      </c>
      <c r="AY145" s="1026">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1"/>
      <c r="B146" s="1099"/>
      <c r="C146" s="1099"/>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6">
        <f t="shared" si="91"/>
        <v>0</v>
      </c>
      <c r="AW146" s="796">
        <f t="shared" si="92"/>
        <v>0</v>
      </c>
      <c r="AX146" s="796">
        <f t="shared" si="93"/>
        <v>0</v>
      </c>
      <c r="AY146" s="1026">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1"/>
      <c r="B147" s="1099"/>
      <c r="C147" s="1099"/>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6">
        <f t="shared" si="91"/>
        <v>0</v>
      </c>
      <c r="AW147" s="796">
        <f t="shared" si="92"/>
        <v>0</v>
      </c>
      <c r="AX147" s="796">
        <f t="shared" si="93"/>
        <v>0</v>
      </c>
      <c r="AY147" s="1026">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1"/>
      <c r="B148" s="1099"/>
      <c r="C148" s="1099"/>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6">
        <f t="shared" si="91"/>
        <v>0</v>
      </c>
      <c r="AW148" s="796">
        <f t="shared" si="92"/>
        <v>0</v>
      </c>
      <c r="AX148" s="796">
        <f t="shared" si="93"/>
        <v>0</v>
      </c>
      <c r="AY148" s="1026">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1"/>
      <c r="B149" s="1099"/>
      <c r="C149" s="1099"/>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6">
        <f t="shared" si="91"/>
        <v>0</v>
      </c>
      <c r="AW149" s="796">
        <f t="shared" si="92"/>
        <v>0</v>
      </c>
      <c r="AX149" s="796">
        <f t="shared" si="93"/>
        <v>0</v>
      </c>
      <c r="AY149" s="1026">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1"/>
      <c r="B150" s="1099"/>
      <c r="C150" s="1099"/>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6">
        <f t="shared" si="91"/>
        <v>0</v>
      </c>
      <c r="AW150" s="796">
        <f t="shared" si="92"/>
        <v>0</v>
      </c>
      <c r="AX150" s="796">
        <f t="shared" si="93"/>
        <v>0</v>
      </c>
      <c r="AY150" s="1026">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1"/>
      <c r="B151" s="1099"/>
      <c r="C151" s="1099"/>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6">
        <f t="shared" si="91"/>
        <v>0</v>
      </c>
      <c r="AW151" s="796">
        <f t="shared" si="92"/>
        <v>0</v>
      </c>
      <c r="AX151" s="796">
        <f t="shared" si="93"/>
        <v>0</v>
      </c>
      <c r="AY151" s="1026">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1"/>
      <c r="B152" s="1099"/>
      <c r="C152" s="1099"/>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6">
        <f t="shared" si="91"/>
        <v>0</v>
      </c>
      <c r="AW152" s="796">
        <f t="shared" si="92"/>
        <v>0</v>
      </c>
      <c r="AX152" s="796">
        <f t="shared" si="93"/>
        <v>0</v>
      </c>
      <c r="AY152" s="1026">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1"/>
      <c r="B153" s="1099"/>
      <c r="C153" s="1099"/>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6">
        <f t="shared" si="91"/>
        <v>0</v>
      </c>
      <c r="AW153" s="796">
        <f t="shared" si="92"/>
        <v>0</v>
      </c>
      <c r="AX153" s="796">
        <f t="shared" si="93"/>
        <v>0</v>
      </c>
      <c r="AY153" s="1026">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1"/>
      <c r="B154" s="1099"/>
      <c r="C154" s="1099"/>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6">
        <f t="shared" si="91"/>
        <v>0</v>
      </c>
      <c r="AW154" s="796">
        <f t="shared" si="92"/>
        <v>0</v>
      </c>
      <c r="AX154" s="796">
        <f t="shared" si="93"/>
        <v>0</v>
      </c>
      <c r="AY154" s="1026">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1"/>
      <c r="B155" s="1099"/>
      <c r="C155" s="1099"/>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6">
        <f t="shared" si="91"/>
        <v>0</v>
      </c>
      <c r="AW155" s="796">
        <f t="shared" si="92"/>
        <v>0</v>
      </c>
      <c r="AX155" s="796">
        <f t="shared" si="93"/>
        <v>0</v>
      </c>
      <c r="AY155" s="1026">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1"/>
      <c r="B156" s="1099"/>
      <c r="C156" s="1099"/>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6">
        <f t="shared" si="91"/>
        <v>0</v>
      </c>
      <c r="AW156" s="796">
        <f t="shared" si="92"/>
        <v>0</v>
      </c>
      <c r="AX156" s="796">
        <f t="shared" si="93"/>
        <v>0</v>
      </c>
      <c r="AY156" s="1026">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1"/>
      <c r="B157" s="1099"/>
      <c r="C157" s="1099"/>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6">
        <f t="shared" si="91"/>
        <v>0</v>
      </c>
      <c r="AW157" s="796">
        <f t="shared" si="92"/>
        <v>0</v>
      </c>
      <c r="AX157" s="796">
        <f t="shared" si="93"/>
        <v>0</v>
      </c>
      <c r="AY157" s="1026">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1"/>
      <c r="B158" s="1099"/>
      <c r="C158" s="1099"/>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6">
        <f t="shared" si="91"/>
        <v>0</v>
      </c>
      <c r="AW158" s="796">
        <f t="shared" si="92"/>
        <v>0</v>
      </c>
      <c r="AX158" s="796">
        <f t="shared" si="93"/>
        <v>0</v>
      </c>
      <c r="AY158" s="1026">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1"/>
      <c r="B159" s="1099"/>
      <c r="C159" s="1099"/>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6">
        <f t="shared" si="91"/>
        <v>0</v>
      </c>
      <c r="AW159" s="796">
        <f t="shared" si="92"/>
        <v>0</v>
      </c>
      <c r="AX159" s="796">
        <f t="shared" si="93"/>
        <v>0</v>
      </c>
      <c r="AY159" s="1026">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1"/>
      <c r="B160" s="1099"/>
      <c r="C160" s="1099"/>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6">
        <f t="shared" si="91"/>
        <v>0</v>
      </c>
      <c r="AW160" s="796">
        <f t="shared" si="92"/>
        <v>0</v>
      </c>
      <c r="AX160" s="796">
        <f t="shared" si="93"/>
        <v>0</v>
      </c>
      <c r="AY160" s="1026">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1"/>
      <c r="B161" s="1099"/>
      <c r="C161" s="1099"/>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6">
        <f t="shared" si="91"/>
        <v>0</v>
      </c>
      <c r="AW161" s="796">
        <f t="shared" si="92"/>
        <v>0</v>
      </c>
      <c r="AX161" s="796">
        <f t="shared" si="93"/>
        <v>0</v>
      </c>
      <c r="AY161" s="1026">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1"/>
      <c r="B162" s="1099"/>
      <c r="C162" s="1099"/>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6">
        <f t="shared" si="91"/>
        <v>0</v>
      </c>
      <c r="AW162" s="796">
        <f t="shared" si="92"/>
        <v>0</v>
      </c>
      <c r="AX162" s="796">
        <f t="shared" si="93"/>
        <v>0</v>
      </c>
      <c r="AY162" s="1026">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1"/>
      <c r="B163" s="1099"/>
      <c r="C163" s="1099"/>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6">
        <f t="shared" si="91"/>
        <v>0</v>
      </c>
      <c r="AW163" s="796">
        <f t="shared" si="92"/>
        <v>0</v>
      </c>
      <c r="AX163" s="796">
        <f t="shared" si="93"/>
        <v>0</v>
      </c>
      <c r="AY163" s="1026">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1"/>
      <c r="B164" s="1099"/>
      <c r="C164" s="1099"/>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6">
        <f t="shared" si="91"/>
        <v>0</v>
      </c>
      <c r="AW164" s="796">
        <f t="shared" si="92"/>
        <v>0</v>
      </c>
      <c r="AX164" s="796">
        <f t="shared" si="93"/>
        <v>0</v>
      </c>
      <c r="AY164" s="1026">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1"/>
      <c r="B165" s="1099"/>
      <c r="C165" s="1099"/>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6">
        <f t="shared" si="91"/>
        <v>0</v>
      </c>
      <c r="AW165" s="796">
        <f t="shared" si="92"/>
        <v>0</v>
      </c>
      <c r="AX165" s="796">
        <f t="shared" si="93"/>
        <v>0</v>
      </c>
      <c r="AY165" s="1026">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1"/>
      <c r="B166" s="1099"/>
      <c r="C166" s="1099"/>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6">
        <f t="shared" si="91"/>
        <v>0</v>
      </c>
      <c r="AW166" s="796">
        <f t="shared" si="92"/>
        <v>0</v>
      </c>
      <c r="AX166" s="796">
        <f t="shared" si="93"/>
        <v>0</v>
      </c>
      <c r="AY166" s="1026">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1"/>
      <c r="B167" s="1099"/>
      <c r="C167" s="1099"/>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6">
        <f t="shared" si="91"/>
        <v>0</v>
      </c>
      <c r="AW167" s="796">
        <f t="shared" si="92"/>
        <v>0</v>
      </c>
      <c r="AX167" s="796">
        <f t="shared" si="93"/>
        <v>0</v>
      </c>
      <c r="AY167" s="1026">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1"/>
      <c r="B168" s="1099"/>
      <c r="C168" s="1099"/>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6">
        <f t="shared" si="91"/>
        <v>0</v>
      </c>
      <c r="AW168" s="796">
        <f t="shared" si="92"/>
        <v>0</v>
      </c>
      <c r="AX168" s="796">
        <f t="shared" si="93"/>
        <v>0</v>
      </c>
      <c r="AY168" s="1026">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1"/>
      <c r="B169" s="1099"/>
      <c r="C169" s="1099"/>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6">
        <f t="shared" si="91"/>
        <v>0</v>
      </c>
      <c r="AW169" s="796">
        <f t="shared" si="92"/>
        <v>0</v>
      </c>
      <c r="AX169" s="796">
        <f t="shared" si="93"/>
        <v>0</v>
      </c>
      <c r="AY169" s="1026">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1"/>
      <c r="B170" s="1099"/>
      <c r="C170" s="1099"/>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6">
        <f t="shared" si="91"/>
        <v>0</v>
      </c>
      <c r="AW170" s="796">
        <f t="shared" si="92"/>
        <v>0</v>
      </c>
      <c r="AX170" s="796">
        <f t="shared" si="93"/>
        <v>0</v>
      </c>
      <c r="AY170" s="1026">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1"/>
      <c r="B171" s="1099"/>
      <c r="C171" s="1099"/>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6">
        <f t="shared" si="91"/>
        <v>0</v>
      </c>
      <c r="AW171" s="796">
        <f t="shared" si="92"/>
        <v>0</v>
      </c>
      <c r="AX171" s="796">
        <f t="shared" si="93"/>
        <v>0</v>
      </c>
      <c r="AY171" s="1026">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1"/>
      <c r="B172" s="1099"/>
      <c r="C172" s="1099"/>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6">
        <f t="shared" si="91"/>
        <v>0</v>
      </c>
      <c r="AW172" s="796">
        <f t="shared" si="92"/>
        <v>0</v>
      </c>
      <c r="AX172" s="796">
        <f t="shared" si="93"/>
        <v>0</v>
      </c>
      <c r="AY172" s="1026">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1"/>
      <c r="B173" s="1099"/>
      <c r="C173" s="1099"/>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6">
        <f t="shared" si="91"/>
        <v>0</v>
      </c>
      <c r="AW173" s="796">
        <f t="shared" si="92"/>
        <v>0</v>
      </c>
      <c r="AX173" s="796">
        <f t="shared" si="93"/>
        <v>0</v>
      </c>
      <c r="AY173" s="1026">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1"/>
      <c r="B174" s="1099"/>
      <c r="C174" s="1099"/>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6">
        <f t="shared" si="91"/>
        <v>0</v>
      </c>
      <c r="AW174" s="796">
        <f t="shared" si="92"/>
        <v>0</v>
      </c>
      <c r="AX174" s="796">
        <f t="shared" si="93"/>
        <v>0</v>
      </c>
      <c r="AY174" s="1026">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1"/>
      <c r="B175" s="1099"/>
      <c r="C175" s="1099"/>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6">
        <f t="shared" si="91"/>
        <v>0</v>
      </c>
      <c r="AW175" s="796">
        <f t="shared" si="92"/>
        <v>0</v>
      </c>
      <c r="AX175" s="796">
        <f t="shared" si="93"/>
        <v>0</v>
      </c>
      <c r="AY175" s="1026">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1"/>
      <c r="B176" s="1099"/>
      <c r="C176" s="1099"/>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6">
        <f t="shared" si="91"/>
        <v>0</v>
      </c>
      <c r="AW176" s="796">
        <f t="shared" si="92"/>
        <v>0</v>
      </c>
      <c r="AX176" s="796">
        <f t="shared" si="93"/>
        <v>0</v>
      </c>
      <c r="AY176" s="1026">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1"/>
      <c r="B177" s="1099"/>
      <c r="C177" s="1099"/>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6">
        <f t="shared" ref="AV177:AV207" si="120">A177</f>
        <v>0</v>
      </c>
      <c r="AW177" s="796">
        <f t="shared" ref="AW177:AW207" si="121">B177</f>
        <v>0</v>
      </c>
      <c r="AX177" s="796">
        <f t="shared" ref="AX177:AX207" si="122">C177</f>
        <v>0</v>
      </c>
      <c r="AY177" s="1026">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1"/>
      <c r="B178" s="1099"/>
      <c r="C178" s="1099"/>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6">
        <f t="shared" si="120"/>
        <v>0</v>
      </c>
      <c r="AW178" s="796">
        <f t="shared" si="121"/>
        <v>0</v>
      </c>
      <c r="AX178" s="796">
        <f t="shared" si="122"/>
        <v>0</v>
      </c>
      <c r="AY178" s="1026">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1"/>
      <c r="B179" s="1099"/>
      <c r="C179" s="1099"/>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6">
        <f t="shared" si="120"/>
        <v>0</v>
      </c>
      <c r="AW179" s="796">
        <f t="shared" si="121"/>
        <v>0</v>
      </c>
      <c r="AX179" s="796">
        <f t="shared" si="122"/>
        <v>0</v>
      </c>
      <c r="AY179" s="1026">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1"/>
      <c r="B180" s="1099"/>
      <c r="C180" s="1099"/>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6">
        <f t="shared" si="120"/>
        <v>0</v>
      </c>
      <c r="AW180" s="796">
        <f t="shared" si="121"/>
        <v>0</v>
      </c>
      <c r="AX180" s="796">
        <f t="shared" si="122"/>
        <v>0</v>
      </c>
      <c r="AY180" s="1026">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1"/>
      <c r="B181" s="1099"/>
      <c r="C181" s="1099"/>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6">
        <f t="shared" si="120"/>
        <v>0</v>
      </c>
      <c r="AW181" s="796">
        <f t="shared" si="121"/>
        <v>0</v>
      </c>
      <c r="AX181" s="796">
        <f t="shared" si="122"/>
        <v>0</v>
      </c>
      <c r="AY181" s="1026">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1"/>
      <c r="B182" s="1099"/>
      <c r="C182" s="1099"/>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6">
        <f t="shared" si="120"/>
        <v>0</v>
      </c>
      <c r="AW182" s="796">
        <f t="shared" si="121"/>
        <v>0</v>
      </c>
      <c r="AX182" s="796">
        <f t="shared" si="122"/>
        <v>0</v>
      </c>
      <c r="AY182" s="1026">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1"/>
      <c r="B183" s="1099"/>
      <c r="C183" s="1099"/>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6">
        <f t="shared" si="120"/>
        <v>0</v>
      </c>
      <c r="AW183" s="796">
        <f t="shared" si="121"/>
        <v>0</v>
      </c>
      <c r="AX183" s="796">
        <f t="shared" si="122"/>
        <v>0</v>
      </c>
      <c r="AY183" s="1026">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1"/>
      <c r="B184" s="1099"/>
      <c r="C184" s="1099"/>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6">
        <f t="shared" si="120"/>
        <v>0</v>
      </c>
      <c r="AW184" s="796">
        <f t="shared" si="121"/>
        <v>0</v>
      </c>
      <c r="AX184" s="796">
        <f t="shared" si="122"/>
        <v>0</v>
      </c>
      <c r="AY184" s="1026">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1"/>
      <c r="B185" s="1099"/>
      <c r="C185" s="1099"/>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6">
        <f t="shared" si="120"/>
        <v>0</v>
      </c>
      <c r="AW185" s="796">
        <f t="shared" si="121"/>
        <v>0</v>
      </c>
      <c r="AX185" s="796">
        <f t="shared" si="122"/>
        <v>0</v>
      </c>
      <c r="AY185" s="1026">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1"/>
      <c r="B186" s="1099"/>
      <c r="C186" s="1099"/>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6">
        <f t="shared" si="120"/>
        <v>0</v>
      </c>
      <c r="AW186" s="796">
        <f t="shared" si="121"/>
        <v>0</v>
      </c>
      <c r="AX186" s="796">
        <f t="shared" si="122"/>
        <v>0</v>
      </c>
      <c r="AY186" s="1026">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1"/>
      <c r="B187" s="1099"/>
      <c r="C187" s="1099"/>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6">
        <f t="shared" si="120"/>
        <v>0</v>
      </c>
      <c r="AW187" s="796">
        <f t="shared" si="121"/>
        <v>0</v>
      </c>
      <c r="AX187" s="796">
        <f t="shared" si="122"/>
        <v>0</v>
      </c>
      <c r="AY187" s="1026">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1"/>
      <c r="B188" s="1099"/>
      <c r="C188" s="1099"/>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6">
        <f t="shared" si="120"/>
        <v>0</v>
      </c>
      <c r="AW188" s="796">
        <f t="shared" si="121"/>
        <v>0</v>
      </c>
      <c r="AX188" s="796">
        <f t="shared" si="122"/>
        <v>0</v>
      </c>
      <c r="AY188" s="1026">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1"/>
      <c r="B189" s="1099"/>
      <c r="C189" s="1099"/>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6">
        <f t="shared" si="120"/>
        <v>0</v>
      </c>
      <c r="AW189" s="796">
        <f t="shared" si="121"/>
        <v>0</v>
      </c>
      <c r="AX189" s="796">
        <f t="shared" si="122"/>
        <v>0</v>
      </c>
      <c r="AY189" s="1026">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1"/>
      <c r="B190" s="1099"/>
      <c r="C190" s="1099"/>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6">
        <f t="shared" si="120"/>
        <v>0</v>
      </c>
      <c r="AW190" s="796">
        <f t="shared" si="121"/>
        <v>0</v>
      </c>
      <c r="AX190" s="796">
        <f t="shared" si="122"/>
        <v>0</v>
      </c>
      <c r="AY190" s="1026">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1"/>
      <c r="B191" s="1099"/>
      <c r="C191" s="1099"/>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6">
        <f t="shared" si="120"/>
        <v>0</v>
      </c>
      <c r="AW191" s="796">
        <f t="shared" si="121"/>
        <v>0</v>
      </c>
      <c r="AX191" s="796">
        <f t="shared" si="122"/>
        <v>0</v>
      </c>
      <c r="AY191" s="1026">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1"/>
      <c r="B192" s="1099"/>
      <c r="C192" s="1099"/>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6">
        <f t="shared" si="120"/>
        <v>0</v>
      </c>
      <c r="AW192" s="796">
        <f t="shared" si="121"/>
        <v>0</v>
      </c>
      <c r="AX192" s="796">
        <f t="shared" si="122"/>
        <v>0</v>
      </c>
      <c r="AY192" s="1026">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1"/>
      <c r="B193" s="1099"/>
      <c r="C193" s="1099"/>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6">
        <f t="shared" si="120"/>
        <v>0</v>
      </c>
      <c r="AW193" s="796">
        <f t="shared" si="121"/>
        <v>0</v>
      </c>
      <c r="AX193" s="796">
        <f t="shared" si="122"/>
        <v>0</v>
      </c>
      <c r="AY193" s="1026">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1"/>
      <c r="B194" s="1099"/>
      <c r="C194" s="1099"/>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6">
        <f t="shared" si="120"/>
        <v>0</v>
      </c>
      <c r="AW194" s="796">
        <f t="shared" si="121"/>
        <v>0</v>
      </c>
      <c r="AX194" s="796">
        <f t="shared" si="122"/>
        <v>0</v>
      </c>
      <c r="AY194" s="1026">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1"/>
      <c r="B195" s="1099"/>
      <c r="C195" s="1099"/>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6">
        <f t="shared" si="120"/>
        <v>0</v>
      </c>
      <c r="AW195" s="796">
        <f t="shared" si="121"/>
        <v>0</v>
      </c>
      <c r="AX195" s="796">
        <f t="shared" si="122"/>
        <v>0</v>
      </c>
      <c r="AY195" s="1026">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1"/>
      <c r="B196" s="1099"/>
      <c r="C196" s="1099"/>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6">
        <f t="shared" si="120"/>
        <v>0</v>
      </c>
      <c r="AW196" s="796">
        <f t="shared" si="121"/>
        <v>0</v>
      </c>
      <c r="AX196" s="796">
        <f t="shared" si="122"/>
        <v>0</v>
      </c>
      <c r="AY196" s="1026">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1"/>
      <c r="B197" s="1099"/>
      <c r="C197" s="1099"/>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6">
        <f t="shared" si="120"/>
        <v>0</v>
      </c>
      <c r="AW197" s="796">
        <f t="shared" si="121"/>
        <v>0</v>
      </c>
      <c r="AX197" s="796">
        <f t="shared" si="122"/>
        <v>0</v>
      </c>
      <c r="AY197" s="1026">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1"/>
      <c r="B198" s="1099"/>
      <c r="C198" s="1099"/>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6">
        <f t="shared" si="120"/>
        <v>0</v>
      </c>
      <c r="AW198" s="796">
        <f t="shared" si="121"/>
        <v>0</v>
      </c>
      <c r="AX198" s="796">
        <f t="shared" si="122"/>
        <v>0</v>
      </c>
      <c r="AY198" s="1026">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1"/>
      <c r="B199" s="1099"/>
      <c r="C199" s="1099"/>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6">
        <f t="shared" si="120"/>
        <v>0</v>
      </c>
      <c r="AW199" s="796">
        <f t="shared" si="121"/>
        <v>0</v>
      </c>
      <c r="AX199" s="796">
        <f t="shared" si="122"/>
        <v>0</v>
      </c>
      <c r="AY199" s="1026">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1"/>
      <c r="B200" s="1099"/>
      <c r="C200" s="1099"/>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6">
        <f t="shared" si="120"/>
        <v>0</v>
      </c>
      <c r="AW200" s="796">
        <f t="shared" si="121"/>
        <v>0</v>
      </c>
      <c r="AX200" s="796">
        <f t="shared" si="122"/>
        <v>0</v>
      </c>
      <c r="AY200" s="1026">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1"/>
      <c r="B201" s="1099"/>
      <c r="C201" s="1099"/>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6">
        <f t="shared" si="120"/>
        <v>0</v>
      </c>
      <c r="AW201" s="796">
        <f t="shared" si="121"/>
        <v>0</v>
      </c>
      <c r="AX201" s="796">
        <f t="shared" si="122"/>
        <v>0</v>
      </c>
      <c r="AY201" s="1026">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1"/>
      <c r="B202" s="1099"/>
      <c r="C202" s="1099"/>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6">
        <f t="shared" si="120"/>
        <v>0</v>
      </c>
      <c r="AW202" s="796">
        <f t="shared" si="121"/>
        <v>0</v>
      </c>
      <c r="AX202" s="796">
        <f t="shared" si="122"/>
        <v>0</v>
      </c>
      <c r="AY202" s="1026">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1"/>
      <c r="B203" s="1099"/>
      <c r="C203" s="1099"/>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6">
        <f t="shared" si="120"/>
        <v>0</v>
      </c>
      <c r="AW203" s="796">
        <f t="shared" si="121"/>
        <v>0</v>
      </c>
      <c r="AX203" s="796">
        <f t="shared" si="122"/>
        <v>0</v>
      </c>
      <c r="AY203" s="1026">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1"/>
      <c r="B204" s="1099"/>
      <c r="C204" s="1099"/>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6">
        <f t="shared" si="120"/>
        <v>0</v>
      </c>
      <c r="AW204" s="796">
        <f t="shared" si="121"/>
        <v>0</v>
      </c>
      <c r="AX204" s="796">
        <f t="shared" si="122"/>
        <v>0</v>
      </c>
      <c r="AY204" s="1026">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1"/>
      <c r="B205" s="1091"/>
      <c r="C205" s="1091"/>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4"/>
      <c r="AV205" s="796">
        <f t="shared" si="120"/>
        <v>0</v>
      </c>
      <c r="AW205" s="796">
        <f t="shared" si="121"/>
        <v>0</v>
      </c>
      <c r="AX205" s="796">
        <f t="shared" si="122"/>
        <v>0</v>
      </c>
      <c r="AY205" s="1026">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1"/>
      <c r="B206" s="1091"/>
      <c r="C206" s="1091"/>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4"/>
      <c r="AV206" s="796">
        <f t="shared" si="120"/>
        <v>0</v>
      </c>
      <c r="AW206" s="796">
        <f t="shared" si="121"/>
        <v>0</v>
      </c>
      <c r="AX206" s="796">
        <f t="shared" si="122"/>
        <v>0</v>
      </c>
      <c r="AY206" s="1026">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1"/>
      <c r="B207" s="1091"/>
      <c r="C207" s="1091"/>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4"/>
      <c r="AV207" s="796">
        <f t="shared" si="120"/>
        <v>0</v>
      </c>
      <c r="AW207" s="796">
        <f t="shared" si="121"/>
        <v>0</v>
      </c>
      <c r="AX207" s="796">
        <f t="shared" si="122"/>
        <v>0</v>
      </c>
      <c r="AY207" s="1026">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1"/>
      <c r="B208" s="1099"/>
      <c r="C208" s="1099"/>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6">
        <f t="shared" ref="AV208:AV302" si="127">A208</f>
        <v>0</v>
      </c>
      <c r="AW208" s="796">
        <f t="shared" ref="AW208:AW302" si="128">B208</f>
        <v>0</v>
      </c>
      <c r="AX208" s="796">
        <f t="shared" ref="AX208:AX302" si="129">C208</f>
        <v>0</v>
      </c>
      <c r="AY208" s="1026">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1"/>
      <c r="B209" s="1099"/>
      <c r="C209" s="1099"/>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6">
        <f t="shared" si="127"/>
        <v>0</v>
      </c>
      <c r="AW209" s="796">
        <f t="shared" si="128"/>
        <v>0</v>
      </c>
      <c r="AX209" s="796">
        <f t="shared" si="129"/>
        <v>0</v>
      </c>
      <c r="AY209" s="1026">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1"/>
      <c r="B210" s="1099"/>
      <c r="C210" s="1099"/>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6">
        <f t="shared" si="127"/>
        <v>0</v>
      </c>
      <c r="AW210" s="796">
        <f t="shared" si="128"/>
        <v>0</v>
      </c>
      <c r="AX210" s="796">
        <f t="shared" si="129"/>
        <v>0</v>
      </c>
      <c r="AY210" s="1026">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1"/>
      <c r="B211" s="1099"/>
      <c r="C211" s="1099"/>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6">
        <f t="shared" si="127"/>
        <v>0</v>
      </c>
      <c r="AW211" s="796">
        <f t="shared" si="128"/>
        <v>0</v>
      </c>
      <c r="AX211" s="796">
        <f t="shared" si="129"/>
        <v>0</v>
      </c>
      <c r="AY211" s="1026">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1"/>
      <c r="B212" s="1099"/>
      <c r="C212" s="1099"/>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6">
        <f t="shared" si="127"/>
        <v>0</v>
      </c>
      <c r="AW212" s="796">
        <f t="shared" si="128"/>
        <v>0</v>
      </c>
      <c r="AX212" s="796">
        <f t="shared" si="129"/>
        <v>0</v>
      </c>
      <c r="AY212" s="1026">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1"/>
      <c r="B213" s="1099"/>
      <c r="C213" s="1099"/>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6">
        <f t="shared" si="127"/>
        <v>0</v>
      </c>
      <c r="AW213" s="796">
        <f t="shared" si="128"/>
        <v>0</v>
      </c>
      <c r="AX213" s="796">
        <f t="shared" si="129"/>
        <v>0</v>
      </c>
      <c r="AY213" s="1026">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1"/>
      <c r="B214" s="1099"/>
      <c r="C214" s="1099"/>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6">
        <f t="shared" si="127"/>
        <v>0</v>
      </c>
      <c r="AW214" s="796">
        <f t="shared" si="128"/>
        <v>0</v>
      </c>
      <c r="AX214" s="796">
        <f t="shared" si="129"/>
        <v>0</v>
      </c>
      <c r="AY214" s="1026">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1"/>
      <c r="B215" s="1099"/>
      <c r="C215" s="1099"/>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6">
        <f t="shared" si="127"/>
        <v>0</v>
      </c>
      <c r="AW215" s="796">
        <f t="shared" si="128"/>
        <v>0</v>
      </c>
      <c r="AX215" s="796">
        <f t="shared" si="129"/>
        <v>0</v>
      </c>
      <c r="AY215" s="1026">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1"/>
      <c r="B216" s="1099"/>
      <c r="C216" s="1099"/>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6">
        <f t="shared" si="127"/>
        <v>0</v>
      </c>
      <c r="AW216" s="796">
        <f t="shared" si="128"/>
        <v>0</v>
      </c>
      <c r="AX216" s="796">
        <f t="shared" si="129"/>
        <v>0</v>
      </c>
      <c r="AY216" s="1026">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1"/>
      <c r="B217" s="1099"/>
      <c r="C217" s="1099"/>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6">
        <f t="shared" si="127"/>
        <v>0</v>
      </c>
      <c r="AW217" s="796">
        <f t="shared" si="128"/>
        <v>0</v>
      </c>
      <c r="AX217" s="796">
        <f t="shared" si="129"/>
        <v>0</v>
      </c>
      <c r="AY217" s="1026">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1"/>
      <c r="B218" s="1099"/>
      <c r="C218" s="1099"/>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6">
        <f t="shared" si="127"/>
        <v>0</v>
      </c>
      <c r="AW218" s="796">
        <f t="shared" si="128"/>
        <v>0</v>
      </c>
      <c r="AX218" s="796">
        <f t="shared" si="129"/>
        <v>0</v>
      </c>
      <c r="AY218" s="1026">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1"/>
      <c r="B219" s="1099"/>
      <c r="C219" s="1099"/>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6">
        <f t="shared" si="127"/>
        <v>0</v>
      </c>
      <c r="AW219" s="796">
        <f t="shared" si="128"/>
        <v>0</v>
      </c>
      <c r="AX219" s="796">
        <f t="shared" si="129"/>
        <v>0</v>
      </c>
      <c r="AY219" s="1026">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1"/>
      <c r="B220" s="1099"/>
      <c r="C220" s="1099"/>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6">
        <f t="shared" si="127"/>
        <v>0</v>
      </c>
      <c r="AW220" s="796">
        <f t="shared" si="128"/>
        <v>0</v>
      </c>
      <c r="AX220" s="796">
        <f t="shared" si="129"/>
        <v>0</v>
      </c>
      <c r="AY220" s="1026">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1"/>
      <c r="B221" s="1099"/>
      <c r="C221" s="1099"/>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6">
        <f t="shared" si="127"/>
        <v>0</v>
      </c>
      <c r="AW221" s="796">
        <f t="shared" si="128"/>
        <v>0</v>
      </c>
      <c r="AX221" s="796">
        <f t="shared" si="129"/>
        <v>0</v>
      </c>
      <c r="AY221" s="1026">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1"/>
      <c r="B222" s="1099"/>
      <c r="C222" s="1099"/>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6">
        <f t="shared" si="127"/>
        <v>0</v>
      </c>
      <c r="AW222" s="796">
        <f t="shared" si="128"/>
        <v>0</v>
      </c>
      <c r="AX222" s="796">
        <f t="shared" si="129"/>
        <v>0</v>
      </c>
      <c r="AY222" s="1026">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1"/>
      <c r="B223" s="1099"/>
      <c r="C223" s="1099"/>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6">
        <f t="shared" si="127"/>
        <v>0</v>
      </c>
      <c r="AW223" s="796">
        <f t="shared" si="128"/>
        <v>0</v>
      </c>
      <c r="AX223" s="796">
        <f t="shared" si="129"/>
        <v>0</v>
      </c>
      <c r="AY223" s="1026">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1"/>
      <c r="B224" s="1099"/>
      <c r="C224" s="1099"/>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6">
        <f t="shared" si="127"/>
        <v>0</v>
      </c>
      <c r="AW224" s="796">
        <f t="shared" si="128"/>
        <v>0</v>
      </c>
      <c r="AX224" s="796">
        <f t="shared" si="129"/>
        <v>0</v>
      </c>
      <c r="AY224" s="1026">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1"/>
      <c r="B225" s="1099"/>
      <c r="C225" s="1099"/>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6">
        <f t="shared" si="127"/>
        <v>0</v>
      </c>
      <c r="AW225" s="796">
        <f t="shared" si="128"/>
        <v>0</v>
      </c>
      <c r="AX225" s="796">
        <f t="shared" si="129"/>
        <v>0</v>
      </c>
      <c r="AY225" s="1026">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1"/>
      <c r="B226" s="1099"/>
      <c r="C226" s="1099"/>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6">
        <f t="shared" si="127"/>
        <v>0</v>
      </c>
      <c r="AW226" s="796">
        <f t="shared" si="128"/>
        <v>0</v>
      </c>
      <c r="AX226" s="796">
        <f t="shared" si="129"/>
        <v>0</v>
      </c>
      <c r="AY226" s="1026">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1"/>
      <c r="B227" s="1099"/>
      <c r="C227" s="1099"/>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6">
        <f t="shared" si="127"/>
        <v>0</v>
      </c>
      <c r="AW227" s="796">
        <f t="shared" si="128"/>
        <v>0</v>
      </c>
      <c r="AX227" s="796">
        <f t="shared" si="129"/>
        <v>0</v>
      </c>
      <c r="AY227" s="1026">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1"/>
      <c r="B228" s="1099"/>
      <c r="C228" s="1099"/>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6">
        <f t="shared" si="127"/>
        <v>0</v>
      </c>
      <c r="AW228" s="796">
        <f t="shared" si="128"/>
        <v>0</v>
      </c>
      <c r="AX228" s="796">
        <f t="shared" si="129"/>
        <v>0</v>
      </c>
      <c r="AY228" s="1026">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1"/>
      <c r="B229" s="1099"/>
      <c r="C229" s="1099"/>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6">
        <f t="shared" si="127"/>
        <v>0</v>
      </c>
      <c r="AW229" s="796">
        <f t="shared" si="128"/>
        <v>0</v>
      </c>
      <c r="AX229" s="796">
        <f t="shared" si="129"/>
        <v>0</v>
      </c>
      <c r="AY229" s="1026">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1"/>
      <c r="B230" s="1099"/>
      <c r="C230" s="1099"/>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6">
        <f t="shared" si="127"/>
        <v>0</v>
      </c>
      <c r="AW230" s="796">
        <f t="shared" si="128"/>
        <v>0</v>
      </c>
      <c r="AX230" s="796">
        <f t="shared" si="129"/>
        <v>0</v>
      </c>
      <c r="AY230" s="1026">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1"/>
      <c r="B231" s="1099"/>
      <c r="C231" s="1099"/>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6">
        <f t="shared" si="127"/>
        <v>0</v>
      </c>
      <c r="AW231" s="796">
        <f t="shared" si="128"/>
        <v>0</v>
      </c>
      <c r="AX231" s="796">
        <f t="shared" si="129"/>
        <v>0</v>
      </c>
      <c r="AY231" s="1026">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1"/>
      <c r="B232" s="1099"/>
      <c r="C232" s="1099"/>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6">
        <f t="shared" si="127"/>
        <v>0</v>
      </c>
      <c r="AW232" s="796">
        <f t="shared" si="128"/>
        <v>0</v>
      </c>
      <c r="AX232" s="796">
        <f t="shared" si="129"/>
        <v>0</v>
      </c>
      <c r="AY232" s="1026">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1"/>
      <c r="B233" s="1099"/>
      <c r="C233" s="1099"/>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6">
        <f t="shared" si="127"/>
        <v>0</v>
      </c>
      <c r="AW233" s="796">
        <f t="shared" si="128"/>
        <v>0</v>
      </c>
      <c r="AX233" s="796">
        <f t="shared" si="129"/>
        <v>0</v>
      </c>
      <c r="AY233" s="1026">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1"/>
      <c r="B234" s="1099"/>
      <c r="C234" s="1099"/>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6">
        <f t="shared" si="127"/>
        <v>0</v>
      </c>
      <c r="AW234" s="796">
        <f t="shared" si="128"/>
        <v>0</v>
      </c>
      <c r="AX234" s="796">
        <f t="shared" si="129"/>
        <v>0</v>
      </c>
      <c r="AY234" s="1026">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1"/>
      <c r="B235" s="1099"/>
      <c r="C235" s="1099"/>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6">
        <f t="shared" si="127"/>
        <v>0</v>
      </c>
      <c r="AW235" s="796">
        <f t="shared" si="128"/>
        <v>0</v>
      </c>
      <c r="AX235" s="796">
        <f t="shared" si="129"/>
        <v>0</v>
      </c>
      <c r="AY235" s="1026">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1"/>
      <c r="B236" s="1099"/>
      <c r="C236" s="1099"/>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6">
        <f t="shared" si="127"/>
        <v>0</v>
      </c>
      <c r="AW236" s="796">
        <f t="shared" si="128"/>
        <v>0</v>
      </c>
      <c r="AX236" s="796">
        <f t="shared" si="129"/>
        <v>0</v>
      </c>
      <c r="AY236" s="1026">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1"/>
      <c r="B237" s="1099"/>
      <c r="C237" s="1099"/>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6">
        <f t="shared" si="127"/>
        <v>0</v>
      </c>
      <c r="AW237" s="796">
        <f t="shared" si="128"/>
        <v>0</v>
      </c>
      <c r="AX237" s="796">
        <f t="shared" si="129"/>
        <v>0</v>
      </c>
      <c r="AY237" s="1026">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1"/>
      <c r="B238" s="1099"/>
      <c r="C238" s="1099"/>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6">
        <f t="shared" si="127"/>
        <v>0</v>
      </c>
      <c r="AW238" s="796">
        <f t="shared" si="128"/>
        <v>0</v>
      </c>
      <c r="AX238" s="796">
        <f t="shared" si="129"/>
        <v>0</v>
      </c>
      <c r="AY238" s="1026">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1"/>
      <c r="B239" s="1099"/>
      <c r="C239" s="1099"/>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6">
        <f t="shared" si="127"/>
        <v>0</v>
      </c>
      <c r="AW239" s="796">
        <f t="shared" si="128"/>
        <v>0</v>
      </c>
      <c r="AX239" s="796">
        <f t="shared" si="129"/>
        <v>0</v>
      </c>
      <c r="AY239" s="1026">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1"/>
      <c r="B240" s="1099"/>
      <c r="C240" s="1099"/>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6">
        <f t="shared" si="127"/>
        <v>0</v>
      </c>
      <c r="AW240" s="796">
        <f t="shared" si="128"/>
        <v>0</v>
      </c>
      <c r="AX240" s="796">
        <f t="shared" si="129"/>
        <v>0</v>
      </c>
      <c r="AY240" s="1026">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1"/>
      <c r="B241" s="1099"/>
      <c r="C241" s="1099"/>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6">
        <f t="shared" si="127"/>
        <v>0</v>
      </c>
      <c r="AW241" s="796">
        <f t="shared" si="128"/>
        <v>0</v>
      </c>
      <c r="AX241" s="796">
        <f t="shared" si="129"/>
        <v>0</v>
      </c>
      <c r="AY241" s="1026">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1"/>
      <c r="B242" s="1099"/>
      <c r="C242" s="1099"/>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6">
        <f t="shared" si="127"/>
        <v>0</v>
      </c>
      <c r="AW242" s="796">
        <f t="shared" si="128"/>
        <v>0</v>
      </c>
      <c r="AX242" s="796">
        <f t="shared" si="129"/>
        <v>0</v>
      </c>
      <c r="AY242" s="1026">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1"/>
      <c r="B243" s="1099"/>
      <c r="C243" s="1099"/>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6">
        <f t="shared" si="127"/>
        <v>0</v>
      </c>
      <c r="AW243" s="796">
        <f t="shared" si="128"/>
        <v>0</v>
      </c>
      <c r="AX243" s="796">
        <f t="shared" si="129"/>
        <v>0</v>
      </c>
      <c r="AY243" s="1026">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1"/>
      <c r="B244" s="1099"/>
      <c r="C244" s="1099"/>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6">
        <f t="shared" si="127"/>
        <v>0</v>
      </c>
      <c r="AW244" s="796">
        <f t="shared" si="128"/>
        <v>0</v>
      </c>
      <c r="AX244" s="796">
        <f t="shared" si="129"/>
        <v>0</v>
      </c>
      <c r="AY244" s="1026">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1"/>
      <c r="B245" s="1099"/>
      <c r="C245" s="1099"/>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6">
        <f t="shared" si="127"/>
        <v>0</v>
      </c>
      <c r="AW245" s="796">
        <f t="shared" si="128"/>
        <v>0</v>
      </c>
      <c r="AX245" s="796">
        <f t="shared" si="129"/>
        <v>0</v>
      </c>
      <c r="AY245" s="1026">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1"/>
      <c r="B246" s="1099"/>
      <c r="C246" s="1099"/>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6">
        <f t="shared" si="127"/>
        <v>0</v>
      </c>
      <c r="AW246" s="796">
        <f t="shared" si="128"/>
        <v>0</v>
      </c>
      <c r="AX246" s="796">
        <f t="shared" si="129"/>
        <v>0</v>
      </c>
      <c r="AY246" s="1026">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1"/>
      <c r="B247" s="1099"/>
      <c r="C247" s="1099"/>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6">
        <f t="shared" si="127"/>
        <v>0</v>
      </c>
      <c r="AW247" s="796">
        <f t="shared" si="128"/>
        <v>0</v>
      </c>
      <c r="AX247" s="796">
        <f t="shared" si="129"/>
        <v>0</v>
      </c>
      <c r="AY247" s="1026">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1"/>
      <c r="B248" s="1099"/>
      <c r="C248" s="1099"/>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6">
        <f t="shared" si="127"/>
        <v>0</v>
      </c>
      <c r="AW248" s="796">
        <f t="shared" si="128"/>
        <v>0</v>
      </c>
      <c r="AX248" s="796">
        <f t="shared" si="129"/>
        <v>0</v>
      </c>
      <c r="AY248" s="1026">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1"/>
      <c r="B249" s="1099"/>
      <c r="C249" s="1099"/>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6">
        <f t="shared" si="127"/>
        <v>0</v>
      </c>
      <c r="AW249" s="796">
        <f t="shared" si="128"/>
        <v>0</v>
      </c>
      <c r="AX249" s="796">
        <f t="shared" si="129"/>
        <v>0</v>
      </c>
      <c r="AY249" s="1026">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1"/>
      <c r="B250" s="1099"/>
      <c r="C250" s="1099"/>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6">
        <f t="shared" si="127"/>
        <v>0</v>
      </c>
      <c r="AW250" s="796">
        <f t="shared" si="128"/>
        <v>0</v>
      </c>
      <c r="AX250" s="796">
        <f t="shared" si="129"/>
        <v>0</v>
      </c>
      <c r="AY250" s="1026">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1"/>
      <c r="B251" s="1099"/>
      <c r="C251" s="1099"/>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6">
        <f t="shared" si="127"/>
        <v>0</v>
      </c>
      <c r="AW251" s="796">
        <f t="shared" si="128"/>
        <v>0</v>
      </c>
      <c r="AX251" s="796">
        <f t="shared" si="129"/>
        <v>0</v>
      </c>
      <c r="AY251" s="1026">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1"/>
      <c r="B252" s="1099"/>
      <c r="C252" s="1099"/>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6">
        <f t="shared" si="127"/>
        <v>0</v>
      </c>
      <c r="AW252" s="796">
        <f t="shared" si="128"/>
        <v>0</v>
      </c>
      <c r="AX252" s="796">
        <f t="shared" si="129"/>
        <v>0</v>
      </c>
      <c r="AY252" s="1026">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1"/>
      <c r="B253" s="1099"/>
      <c r="C253" s="1099"/>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6">
        <f t="shared" si="127"/>
        <v>0</v>
      </c>
      <c r="AW253" s="796">
        <f t="shared" si="128"/>
        <v>0</v>
      </c>
      <c r="AX253" s="796">
        <f t="shared" si="129"/>
        <v>0</v>
      </c>
      <c r="AY253" s="1026">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1"/>
      <c r="B254" s="1099"/>
      <c r="C254" s="1099"/>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6">
        <f t="shared" si="127"/>
        <v>0</v>
      </c>
      <c r="AW254" s="796">
        <f t="shared" si="128"/>
        <v>0</v>
      </c>
      <c r="AX254" s="796">
        <f t="shared" si="129"/>
        <v>0</v>
      </c>
      <c r="AY254" s="1026">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1"/>
      <c r="B255" s="1099"/>
      <c r="C255" s="1099"/>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6">
        <f t="shared" si="127"/>
        <v>0</v>
      </c>
      <c r="AW255" s="796">
        <f t="shared" si="128"/>
        <v>0</v>
      </c>
      <c r="AX255" s="796">
        <f t="shared" si="129"/>
        <v>0</v>
      </c>
      <c r="AY255" s="1026">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1"/>
      <c r="B256" s="1099"/>
      <c r="C256" s="1099"/>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6">
        <f t="shared" si="127"/>
        <v>0</v>
      </c>
      <c r="AW256" s="796">
        <f t="shared" si="128"/>
        <v>0</v>
      </c>
      <c r="AX256" s="796">
        <f t="shared" si="129"/>
        <v>0</v>
      </c>
      <c r="AY256" s="1026">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1"/>
      <c r="B257" s="1099"/>
      <c r="C257" s="1099"/>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6">
        <f t="shared" si="127"/>
        <v>0</v>
      </c>
      <c r="AW257" s="796">
        <f t="shared" si="128"/>
        <v>0</v>
      </c>
      <c r="AX257" s="796">
        <f t="shared" si="129"/>
        <v>0</v>
      </c>
      <c r="AY257" s="1026">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1"/>
      <c r="B258" s="1099"/>
      <c r="C258" s="1099"/>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6">
        <f t="shared" si="127"/>
        <v>0</v>
      </c>
      <c r="AW258" s="796">
        <f t="shared" si="128"/>
        <v>0</v>
      </c>
      <c r="AX258" s="796">
        <f t="shared" si="129"/>
        <v>0</v>
      </c>
      <c r="AY258" s="1026">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1"/>
      <c r="B259" s="1099"/>
      <c r="C259" s="1099"/>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6">
        <f t="shared" si="127"/>
        <v>0</v>
      </c>
      <c r="AW259" s="796">
        <f t="shared" si="128"/>
        <v>0</v>
      </c>
      <c r="AX259" s="796">
        <f t="shared" si="129"/>
        <v>0</v>
      </c>
      <c r="AY259" s="1026">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1"/>
      <c r="B260" s="1099"/>
      <c r="C260" s="1099"/>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6">
        <f t="shared" si="127"/>
        <v>0</v>
      </c>
      <c r="AW260" s="796">
        <f t="shared" si="128"/>
        <v>0</v>
      </c>
      <c r="AX260" s="796">
        <f t="shared" si="129"/>
        <v>0</v>
      </c>
      <c r="AY260" s="1026">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1"/>
      <c r="B261" s="1099"/>
      <c r="C261" s="1099"/>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6">
        <f t="shared" si="127"/>
        <v>0</v>
      </c>
      <c r="AW261" s="796">
        <f t="shared" si="128"/>
        <v>0</v>
      </c>
      <c r="AX261" s="796">
        <f t="shared" si="129"/>
        <v>0</v>
      </c>
      <c r="AY261" s="1026">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1"/>
      <c r="B262" s="1099"/>
      <c r="C262" s="1099"/>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6">
        <f t="shared" si="127"/>
        <v>0</v>
      </c>
      <c r="AW262" s="796">
        <f t="shared" si="128"/>
        <v>0</v>
      </c>
      <c r="AX262" s="796">
        <f t="shared" si="129"/>
        <v>0</v>
      </c>
      <c r="AY262" s="1026">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1"/>
      <c r="B263" s="1099"/>
      <c r="C263" s="1099"/>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6">
        <f t="shared" si="127"/>
        <v>0</v>
      </c>
      <c r="AW263" s="796">
        <f t="shared" si="128"/>
        <v>0</v>
      </c>
      <c r="AX263" s="796">
        <f t="shared" si="129"/>
        <v>0</v>
      </c>
      <c r="AY263" s="1026">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1"/>
      <c r="B264" s="1099"/>
      <c r="C264" s="1099"/>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6">
        <f t="shared" si="127"/>
        <v>0</v>
      </c>
      <c r="AW264" s="796">
        <f t="shared" si="128"/>
        <v>0</v>
      </c>
      <c r="AX264" s="796">
        <f t="shared" si="129"/>
        <v>0</v>
      </c>
      <c r="AY264" s="1026">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1"/>
      <c r="B265" s="1099"/>
      <c r="C265" s="1099"/>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6">
        <f t="shared" si="127"/>
        <v>0</v>
      </c>
      <c r="AW265" s="796">
        <f t="shared" si="128"/>
        <v>0</v>
      </c>
      <c r="AX265" s="796">
        <f t="shared" si="129"/>
        <v>0</v>
      </c>
      <c r="AY265" s="1026">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1"/>
      <c r="B266" s="1099"/>
      <c r="C266" s="1099"/>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6">
        <f t="shared" si="127"/>
        <v>0</v>
      </c>
      <c r="AW266" s="796">
        <f t="shared" si="128"/>
        <v>0</v>
      </c>
      <c r="AX266" s="796">
        <f t="shared" si="129"/>
        <v>0</v>
      </c>
      <c r="AY266" s="1026">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1"/>
      <c r="B267" s="1099"/>
      <c r="C267" s="1099"/>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6">
        <f t="shared" si="127"/>
        <v>0</v>
      </c>
      <c r="AW267" s="796">
        <f t="shared" si="128"/>
        <v>0</v>
      </c>
      <c r="AX267" s="796">
        <f t="shared" si="129"/>
        <v>0</v>
      </c>
      <c r="AY267" s="1026">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1"/>
      <c r="B268" s="1099"/>
      <c r="C268" s="1099"/>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6">
        <f t="shared" si="127"/>
        <v>0</v>
      </c>
      <c r="AW268" s="796">
        <f t="shared" si="128"/>
        <v>0</v>
      </c>
      <c r="AX268" s="796">
        <f t="shared" si="129"/>
        <v>0</v>
      </c>
      <c r="AY268" s="1026">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1"/>
      <c r="B269" s="1099"/>
      <c r="C269" s="1099"/>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6">
        <f t="shared" si="127"/>
        <v>0</v>
      </c>
      <c r="AW269" s="796">
        <f t="shared" si="128"/>
        <v>0</v>
      </c>
      <c r="AX269" s="796">
        <f t="shared" si="129"/>
        <v>0</v>
      </c>
      <c r="AY269" s="1026">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1"/>
      <c r="B270" s="1099"/>
      <c r="C270" s="1099"/>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6">
        <f t="shared" si="127"/>
        <v>0</v>
      </c>
      <c r="AW270" s="796">
        <f t="shared" si="128"/>
        <v>0</v>
      </c>
      <c r="AX270" s="796">
        <f t="shared" si="129"/>
        <v>0</v>
      </c>
      <c r="AY270" s="1026">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1"/>
      <c r="B271" s="1099"/>
      <c r="C271" s="1099"/>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6">
        <f t="shared" si="127"/>
        <v>0</v>
      </c>
      <c r="AW271" s="796">
        <f t="shared" si="128"/>
        <v>0</v>
      </c>
      <c r="AX271" s="796">
        <f t="shared" si="129"/>
        <v>0</v>
      </c>
      <c r="AY271" s="1026">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1"/>
      <c r="B272" s="1099"/>
      <c r="C272" s="1099"/>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6">
        <f t="shared" si="127"/>
        <v>0</v>
      </c>
      <c r="AW272" s="796">
        <f t="shared" si="128"/>
        <v>0</v>
      </c>
      <c r="AX272" s="796">
        <f t="shared" si="129"/>
        <v>0</v>
      </c>
      <c r="AY272" s="1026">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1"/>
      <c r="B273" s="1099"/>
      <c r="C273" s="1099"/>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6">
        <f t="shared" si="127"/>
        <v>0</v>
      </c>
      <c r="AW273" s="796">
        <f t="shared" si="128"/>
        <v>0</v>
      </c>
      <c r="AX273" s="796">
        <f t="shared" si="129"/>
        <v>0</v>
      </c>
      <c r="AY273" s="1026">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1"/>
      <c r="B274" s="1099"/>
      <c r="C274" s="1099"/>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6">
        <f t="shared" si="127"/>
        <v>0</v>
      </c>
      <c r="AW274" s="796">
        <f t="shared" si="128"/>
        <v>0</v>
      </c>
      <c r="AX274" s="796">
        <f t="shared" si="129"/>
        <v>0</v>
      </c>
      <c r="AY274" s="1026">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1"/>
      <c r="B275" s="1099"/>
      <c r="C275" s="1099"/>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6">
        <f t="shared" si="127"/>
        <v>0</v>
      </c>
      <c r="AW275" s="796">
        <f t="shared" si="128"/>
        <v>0</v>
      </c>
      <c r="AX275" s="796">
        <f t="shared" si="129"/>
        <v>0</v>
      </c>
      <c r="AY275" s="1026">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1"/>
      <c r="B276" s="1099"/>
      <c r="C276" s="1099"/>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6">
        <f t="shared" si="127"/>
        <v>0</v>
      </c>
      <c r="AW276" s="796">
        <f t="shared" si="128"/>
        <v>0</v>
      </c>
      <c r="AX276" s="796">
        <f t="shared" si="129"/>
        <v>0</v>
      </c>
      <c r="AY276" s="1026">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1"/>
      <c r="B277" s="1099"/>
      <c r="C277" s="1099"/>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6">
        <f t="shared" si="127"/>
        <v>0</v>
      </c>
      <c r="AW277" s="796">
        <f t="shared" si="128"/>
        <v>0</v>
      </c>
      <c r="AX277" s="796">
        <f t="shared" si="129"/>
        <v>0</v>
      </c>
      <c r="AY277" s="1026">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1"/>
      <c r="B278" s="1099"/>
      <c r="C278" s="1099"/>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6">
        <f t="shared" si="127"/>
        <v>0</v>
      </c>
      <c r="AW278" s="796">
        <f t="shared" si="128"/>
        <v>0</v>
      </c>
      <c r="AX278" s="796">
        <f t="shared" si="129"/>
        <v>0</v>
      </c>
      <c r="AY278" s="1026">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1"/>
      <c r="B279" s="1099"/>
      <c r="C279" s="1099"/>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6">
        <f t="shared" si="127"/>
        <v>0</v>
      </c>
      <c r="AW279" s="796">
        <f t="shared" si="128"/>
        <v>0</v>
      </c>
      <c r="AX279" s="796">
        <f t="shared" si="129"/>
        <v>0</v>
      </c>
      <c r="AY279" s="1026">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1"/>
      <c r="B280" s="1099"/>
      <c r="C280" s="1099"/>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6">
        <f t="shared" si="127"/>
        <v>0</v>
      </c>
      <c r="AW280" s="796">
        <f t="shared" si="128"/>
        <v>0</v>
      </c>
      <c r="AX280" s="796">
        <f t="shared" si="129"/>
        <v>0</v>
      </c>
      <c r="AY280" s="1026">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1"/>
      <c r="B281" s="1099"/>
      <c r="C281" s="1099"/>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6">
        <f t="shared" si="127"/>
        <v>0</v>
      </c>
      <c r="AW281" s="796">
        <f t="shared" si="128"/>
        <v>0</v>
      </c>
      <c r="AX281" s="796">
        <f t="shared" si="129"/>
        <v>0</v>
      </c>
      <c r="AY281" s="1026">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1"/>
      <c r="B282" s="1099"/>
      <c r="C282" s="1099"/>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6">
        <f t="shared" si="127"/>
        <v>0</v>
      </c>
      <c r="AW282" s="796">
        <f t="shared" si="128"/>
        <v>0</v>
      </c>
      <c r="AX282" s="796">
        <f t="shared" si="129"/>
        <v>0</v>
      </c>
      <c r="AY282" s="1026">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1"/>
      <c r="B283" s="1099"/>
      <c r="C283" s="1099"/>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6">
        <f t="shared" si="127"/>
        <v>0</v>
      </c>
      <c r="AW283" s="796">
        <f t="shared" si="128"/>
        <v>0</v>
      </c>
      <c r="AX283" s="796">
        <f t="shared" si="129"/>
        <v>0</v>
      </c>
      <c r="AY283" s="1026">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1"/>
      <c r="B284" s="1099"/>
      <c r="C284" s="1099"/>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6">
        <f t="shared" si="127"/>
        <v>0</v>
      </c>
      <c r="AW284" s="796">
        <f t="shared" si="128"/>
        <v>0</v>
      </c>
      <c r="AX284" s="796">
        <f t="shared" si="129"/>
        <v>0</v>
      </c>
      <c r="AY284" s="1026">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1"/>
      <c r="B285" s="1099"/>
      <c r="C285" s="1099"/>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6">
        <f t="shared" si="127"/>
        <v>0</v>
      </c>
      <c r="AW285" s="796">
        <f t="shared" si="128"/>
        <v>0</v>
      </c>
      <c r="AX285" s="796">
        <f t="shared" si="129"/>
        <v>0</v>
      </c>
      <c r="AY285" s="1026">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1"/>
      <c r="B286" s="1099"/>
      <c r="C286" s="1099"/>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6">
        <f t="shared" si="127"/>
        <v>0</v>
      </c>
      <c r="AW286" s="796">
        <f t="shared" si="128"/>
        <v>0</v>
      </c>
      <c r="AX286" s="796">
        <f t="shared" si="129"/>
        <v>0</v>
      </c>
      <c r="AY286" s="1026">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1"/>
      <c r="B287" s="1099"/>
      <c r="C287" s="1099"/>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6">
        <f t="shared" si="127"/>
        <v>0</v>
      </c>
      <c r="AW287" s="796">
        <f t="shared" si="128"/>
        <v>0</v>
      </c>
      <c r="AX287" s="796">
        <f t="shared" si="129"/>
        <v>0</v>
      </c>
      <c r="AY287" s="1026">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1"/>
      <c r="B288" s="1099"/>
      <c r="C288" s="1099"/>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6">
        <f t="shared" si="127"/>
        <v>0</v>
      </c>
      <c r="AW288" s="796">
        <f t="shared" si="128"/>
        <v>0</v>
      </c>
      <c r="AX288" s="796">
        <f t="shared" si="129"/>
        <v>0</v>
      </c>
      <c r="AY288" s="1026">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1"/>
      <c r="B289" s="1099"/>
      <c r="C289" s="1099"/>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6">
        <f t="shared" si="127"/>
        <v>0</v>
      </c>
      <c r="AW289" s="796">
        <f t="shared" si="128"/>
        <v>0</v>
      </c>
      <c r="AX289" s="796">
        <f t="shared" si="129"/>
        <v>0</v>
      </c>
      <c r="AY289" s="1026">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1"/>
      <c r="B290" s="1099"/>
      <c r="C290" s="1099"/>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6">
        <f t="shared" si="127"/>
        <v>0</v>
      </c>
      <c r="AW290" s="796">
        <f t="shared" si="128"/>
        <v>0</v>
      </c>
      <c r="AX290" s="796">
        <f t="shared" si="129"/>
        <v>0</v>
      </c>
      <c r="AY290" s="1026">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1"/>
      <c r="B291" s="1099"/>
      <c r="C291" s="1099"/>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6">
        <f t="shared" si="127"/>
        <v>0</v>
      </c>
      <c r="AW291" s="796">
        <f t="shared" si="128"/>
        <v>0</v>
      </c>
      <c r="AX291" s="796">
        <f t="shared" si="129"/>
        <v>0</v>
      </c>
      <c r="AY291" s="1026">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1"/>
      <c r="B292" s="1099"/>
      <c r="C292" s="1099"/>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6">
        <f t="shared" si="127"/>
        <v>0</v>
      </c>
      <c r="AW292" s="796">
        <f t="shared" si="128"/>
        <v>0</v>
      </c>
      <c r="AX292" s="796">
        <f t="shared" si="129"/>
        <v>0</v>
      </c>
      <c r="AY292" s="1026">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1"/>
      <c r="B293" s="1099"/>
      <c r="C293" s="1099"/>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6">
        <f t="shared" si="127"/>
        <v>0</v>
      </c>
      <c r="AW293" s="796">
        <f t="shared" si="128"/>
        <v>0</v>
      </c>
      <c r="AX293" s="796">
        <f t="shared" si="129"/>
        <v>0</v>
      </c>
      <c r="AY293" s="1026">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1"/>
      <c r="B294" s="1099"/>
      <c r="C294" s="1099"/>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6">
        <f t="shared" si="127"/>
        <v>0</v>
      </c>
      <c r="AW294" s="796">
        <f t="shared" si="128"/>
        <v>0</v>
      </c>
      <c r="AX294" s="796">
        <f t="shared" si="129"/>
        <v>0</v>
      </c>
      <c r="AY294" s="1026">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1"/>
      <c r="B295" s="1099"/>
      <c r="C295" s="1099"/>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6">
        <f t="shared" si="127"/>
        <v>0</v>
      </c>
      <c r="AW295" s="796">
        <f t="shared" si="128"/>
        <v>0</v>
      </c>
      <c r="AX295" s="796">
        <f t="shared" si="129"/>
        <v>0</v>
      </c>
      <c r="AY295" s="1026">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1"/>
      <c r="B296" s="1099"/>
      <c r="C296" s="1099"/>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6">
        <f t="shared" si="127"/>
        <v>0</v>
      </c>
      <c r="AW296" s="796">
        <f t="shared" si="128"/>
        <v>0</v>
      </c>
      <c r="AX296" s="796">
        <f t="shared" si="129"/>
        <v>0</v>
      </c>
      <c r="AY296" s="1026">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1"/>
      <c r="B297" s="1099"/>
      <c r="C297" s="1099"/>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6">
        <f t="shared" si="127"/>
        <v>0</v>
      </c>
      <c r="AW297" s="796">
        <f t="shared" si="128"/>
        <v>0</v>
      </c>
      <c r="AX297" s="796">
        <f t="shared" si="129"/>
        <v>0</v>
      </c>
      <c r="AY297" s="1026">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1"/>
      <c r="B298" s="1099"/>
      <c r="C298" s="1099"/>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6">
        <f t="shared" si="127"/>
        <v>0</v>
      </c>
      <c r="AW298" s="796">
        <f t="shared" si="128"/>
        <v>0</v>
      </c>
      <c r="AX298" s="796">
        <f t="shared" si="129"/>
        <v>0</v>
      </c>
      <c r="AY298" s="1026">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1"/>
      <c r="B299" s="1099"/>
      <c r="C299" s="1099"/>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6">
        <f t="shared" si="127"/>
        <v>0</v>
      </c>
      <c r="AW299" s="796">
        <f t="shared" si="128"/>
        <v>0</v>
      </c>
      <c r="AX299" s="796">
        <f t="shared" si="129"/>
        <v>0</v>
      </c>
      <c r="AY299" s="1026">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1"/>
      <c r="B300" s="1091"/>
      <c r="C300" s="1091"/>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4"/>
      <c r="AV300" s="796">
        <f t="shared" si="127"/>
        <v>0</v>
      </c>
      <c r="AW300" s="796">
        <f t="shared" si="128"/>
        <v>0</v>
      </c>
      <c r="AX300" s="796">
        <f t="shared" si="129"/>
        <v>0</v>
      </c>
      <c r="AY300" s="1026">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1"/>
      <c r="B301" s="1091"/>
      <c r="C301" s="1091"/>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4"/>
      <c r="AV301" s="796">
        <f t="shared" si="127"/>
        <v>0</v>
      </c>
      <c r="AW301" s="796">
        <f t="shared" si="128"/>
        <v>0</v>
      </c>
      <c r="AX301" s="796">
        <f t="shared" si="129"/>
        <v>0</v>
      </c>
      <c r="AY301" s="1026">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1"/>
      <c r="B302" s="1091"/>
      <c r="C302" s="1091"/>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4"/>
      <c r="AV302" s="796">
        <f t="shared" si="127"/>
        <v>0</v>
      </c>
      <c r="AW302" s="796">
        <f t="shared" si="128"/>
        <v>0</v>
      </c>
      <c r="AX302" s="796">
        <f t="shared" si="129"/>
        <v>0</v>
      </c>
      <c r="AY302" s="1026">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1"/>
      <c r="B303" s="1099"/>
      <c r="C303" s="1099"/>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6">
        <f t="shared" ref="AV303:AV334" si="178">A303</f>
        <v>0</v>
      </c>
      <c r="AW303" s="796">
        <f t="shared" ref="AW303:AW334" si="179">B303</f>
        <v>0</v>
      </c>
      <c r="AX303" s="796">
        <f t="shared" ref="AX303:AX334" si="180">C303</f>
        <v>0</v>
      </c>
      <c r="AY303" s="1026">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1"/>
      <c r="B304" s="1099"/>
      <c r="C304" s="1099"/>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6">
        <f t="shared" si="178"/>
        <v>0</v>
      </c>
      <c r="AW304" s="796">
        <f t="shared" si="179"/>
        <v>0</v>
      </c>
      <c r="AX304" s="796">
        <f t="shared" si="180"/>
        <v>0</v>
      </c>
      <c r="AY304" s="1026">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1"/>
      <c r="B305" s="1099"/>
      <c r="C305" s="1099"/>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6">
        <f t="shared" si="178"/>
        <v>0</v>
      </c>
      <c r="AW305" s="796">
        <f t="shared" si="179"/>
        <v>0</v>
      </c>
      <c r="AX305" s="796">
        <f t="shared" si="180"/>
        <v>0</v>
      </c>
      <c r="AY305" s="1026">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1"/>
      <c r="B306" s="1099"/>
      <c r="C306" s="1099"/>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6">
        <f t="shared" si="178"/>
        <v>0</v>
      </c>
      <c r="AW306" s="796">
        <f t="shared" si="179"/>
        <v>0</v>
      </c>
      <c r="AX306" s="796">
        <f t="shared" si="180"/>
        <v>0</v>
      </c>
      <c r="AY306" s="1026">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1"/>
      <c r="B307" s="1099"/>
      <c r="C307" s="1099"/>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6">
        <f t="shared" si="178"/>
        <v>0</v>
      </c>
      <c r="AW307" s="796">
        <f t="shared" si="179"/>
        <v>0</v>
      </c>
      <c r="AX307" s="796">
        <f t="shared" si="180"/>
        <v>0</v>
      </c>
      <c r="AY307" s="1026">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1"/>
      <c r="B308" s="1099"/>
      <c r="C308" s="1099"/>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6">
        <f t="shared" si="178"/>
        <v>0</v>
      </c>
      <c r="AW308" s="796">
        <f t="shared" si="179"/>
        <v>0</v>
      </c>
      <c r="AX308" s="796">
        <f t="shared" si="180"/>
        <v>0</v>
      </c>
      <c r="AY308" s="1026">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1"/>
      <c r="B309" s="1099"/>
      <c r="C309" s="1099"/>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6">
        <f t="shared" si="178"/>
        <v>0</v>
      </c>
      <c r="AW309" s="796">
        <f t="shared" si="179"/>
        <v>0</v>
      </c>
      <c r="AX309" s="796">
        <f t="shared" si="180"/>
        <v>0</v>
      </c>
      <c r="AY309" s="1026">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1"/>
      <c r="B310" s="1099"/>
      <c r="C310" s="1099"/>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6">
        <f t="shared" si="178"/>
        <v>0</v>
      </c>
      <c r="AW310" s="796">
        <f t="shared" si="179"/>
        <v>0</v>
      </c>
      <c r="AX310" s="796">
        <f t="shared" si="180"/>
        <v>0</v>
      </c>
      <c r="AY310" s="1026">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1"/>
      <c r="B311" s="1099"/>
      <c r="C311" s="1099"/>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6">
        <f t="shared" si="178"/>
        <v>0</v>
      </c>
      <c r="AW311" s="796">
        <f t="shared" si="179"/>
        <v>0</v>
      </c>
      <c r="AX311" s="796">
        <f t="shared" si="180"/>
        <v>0</v>
      </c>
      <c r="AY311" s="1026">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1"/>
      <c r="B312" s="1099"/>
      <c r="C312" s="1099"/>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6">
        <f t="shared" si="178"/>
        <v>0</v>
      </c>
      <c r="AW312" s="796">
        <f t="shared" si="179"/>
        <v>0</v>
      </c>
      <c r="AX312" s="796">
        <f t="shared" si="180"/>
        <v>0</v>
      </c>
      <c r="AY312" s="1026">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1"/>
      <c r="B313" s="1099"/>
      <c r="C313" s="1099"/>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6">
        <f t="shared" si="178"/>
        <v>0</v>
      </c>
      <c r="AW313" s="796">
        <f t="shared" si="179"/>
        <v>0</v>
      </c>
      <c r="AX313" s="796">
        <f t="shared" si="180"/>
        <v>0</v>
      </c>
      <c r="AY313" s="1026">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1"/>
      <c r="B314" s="1099"/>
      <c r="C314" s="1099"/>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6">
        <f t="shared" si="178"/>
        <v>0</v>
      </c>
      <c r="AW314" s="796">
        <f t="shared" si="179"/>
        <v>0</v>
      </c>
      <c r="AX314" s="796">
        <f t="shared" si="180"/>
        <v>0</v>
      </c>
      <c r="AY314" s="1026">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1"/>
      <c r="B315" s="1099"/>
      <c r="C315" s="1099"/>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6">
        <f t="shared" si="178"/>
        <v>0</v>
      </c>
      <c r="AW315" s="796">
        <f t="shared" si="179"/>
        <v>0</v>
      </c>
      <c r="AX315" s="796">
        <f t="shared" si="180"/>
        <v>0</v>
      </c>
      <c r="AY315" s="1026">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1"/>
      <c r="B316" s="1099"/>
      <c r="C316" s="1099"/>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6">
        <f t="shared" si="178"/>
        <v>0</v>
      </c>
      <c r="AW316" s="796">
        <f t="shared" si="179"/>
        <v>0</v>
      </c>
      <c r="AX316" s="796">
        <f t="shared" si="180"/>
        <v>0</v>
      </c>
      <c r="AY316" s="1026">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1"/>
      <c r="B317" s="1099"/>
      <c r="C317" s="1099"/>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6">
        <f t="shared" si="178"/>
        <v>0</v>
      </c>
      <c r="AW317" s="796">
        <f t="shared" si="179"/>
        <v>0</v>
      </c>
      <c r="AX317" s="796">
        <f t="shared" si="180"/>
        <v>0</v>
      </c>
      <c r="AY317" s="1026">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1"/>
      <c r="B318" s="1099"/>
      <c r="C318" s="1099"/>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6">
        <f t="shared" si="178"/>
        <v>0</v>
      </c>
      <c r="AW318" s="796">
        <f t="shared" si="179"/>
        <v>0</v>
      </c>
      <c r="AX318" s="796">
        <f t="shared" si="180"/>
        <v>0</v>
      </c>
      <c r="AY318" s="1026">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1"/>
      <c r="B319" s="1099"/>
      <c r="C319" s="1099"/>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6">
        <f t="shared" si="178"/>
        <v>0</v>
      </c>
      <c r="AW319" s="796">
        <f t="shared" si="179"/>
        <v>0</v>
      </c>
      <c r="AX319" s="796">
        <f t="shared" si="180"/>
        <v>0</v>
      </c>
      <c r="AY319" s="1026">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1"/>
      <c r="B320" s="1099"/>
      <c r="C320" s="1099"/>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6">
        <f t="shared" si="178"/>
        <v>0</v>
      </c>
      <c r="AW320" s="796">
        <f t="shared" si="179"/>
        <v>0</v>
      </c>
      <c r="AX320" s="796">
        <f t="shared" si="180"/>
        <v>0</v>
      </c>
      <c r="AY320" s="1026">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1"/>
      <c r="B321" s="1099"/>
      <c r="C321" s="1099"/>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6">
        <f t="shared" si="178"/>
        <v>0</v>
      </c>
      <c r="AW321" s="796">
        <f t="shared" si="179"/>
        <v>0</v>
      </c>
      <c r="AX321" s="796">
        <f t="shared" si="180"/>
        <v>0</v>
      </c>
      <c r="AY321" s="1026">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1"/>
      <c r="B322" s="1099"/>
      <c r="C322" s="1099"/>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6">
        <f t="shared" si="178"/>
        <v>0</v>
      </c>
      <c r="AW322" s="796">
        <f t="shared" si="179"/>
        <v>0</v>
      </c>
      <c r="AX322" s="796">
        <f t="shared" si="180"/>
        <v>0</v>
      </c>
      <c r="AY322" s="1026">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1"/>
      <c r="B323" s="1099"/>
      <c r="C323" s="1099"/>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6">
        <f t="shared" si="178"/>
        <v>0</v>
      </c>
      <c r="AW323" s="796">
        <f t="shared" si="179"/>
        <v>0</v>
      </c>
      <c r="AX323" s="796">
        <f t="shared" si="180"/>
        <v>0</v>
      </c>
      <c r="AY323" s="1026">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1"/>
      <c r="B324" s="1099"/>
      <c r="C324" s="1099"/>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6">
        <f t="shared" si="178"/>
        <v>0</v>
      </c>
      <c r="AW324" s="796">
        <f t="shared" si="179"/>
        <v>0</v>
      </c>
      <c r="AX324" s="796">
        <f t="shared" si="180"/>
        <v>0</v>
      </c>
      <c r="AY324" s="1026">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1"/>
      <c r="B325" s="1099"/>
      <c r="C325" s="1099"/>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6">
        <f t="shared" si="178"/>
        <v>0</v>
      </c>
      <c r="AW325" s="796">
        <f t="shared" si="179"/>
        <v>0</v>
      </c>
      <c r="AX325" s="796">
        <f t="shared" si="180"/>
        <v>0</v>
      </c>
      <c r="AY325" s="1026">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1"/>
      <c r="B326" s="1099"/>
      <c r="C326" s="1099"/>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6">
        <f t="shared" si="178"/>
        <v>0</v>
      </c>
      <c r="AW326" s="796">
        <f t="shared" si="179"/>
        <v>0</v>
      </c>
      <c r="AX326" s="796">
        <f t="shared" si="180"/>
        <v>0</v>
      </c>
      <c r="AY326" s="1026">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1"/>
      <c r="B327" s="1099"/>
      <c r="C327" s="1099"/>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6">
        <f t="shared" si="178"/>
        <v>0</v>
      </c>
      <c r="AW327" s="796">
        <f t="shared" si="179"/>
        <v>0</v>
      </c>
      <c r="AX327" s="796">
        <f t="shared" si="180"/>
        <v>0</v>
      </c>
      <c r="AY327" s="1026">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1"/>
      <c r="B328" s="1099"/>
      <c r="C328" s="1099"/>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6">
        <f t="shared" si="178"/>
        <v>0</v>
      </c>
      <c r="AW328" s="796">
        <f t="shared" si="179"/>
        <v>0</v>
      </c>
      <c r="AX328" s="796">
        <f t="shared" si="180"/>
        <v>0</v>
      </c>
      <c r="AY328" s="1026">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1"/>
      <c r="B329" s="1099"/>
      <c r="C329" s="1099"/>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6">
        <f t="shared" si="178"/>
        <v>0</v>
      </c>
      <c r="AW329" s="796">
        <f t="shared" si="179"/>
        <v>0</v>
      </c>
      <c r="AX329" s="796">
        <f t="shared" si="180"/>
        <v>0</v>
      </c>
      <c r="AY329" s="1026">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1"/>
      <c r="B330" s="1099"/>
      <c r="C330" s="1099"/>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6">
        <f t="shared" si="178"/>
        <v>0</v>
      </c>
      <c r="AW330" s="796">
        <f t="shared" si="179"/>
        <v>0</v>
      </c>
      <c r="AX330" s="796">
        <f t="shared" si="180"/>
        <v>0</v>
      </c>
      <c r="AY330" s="1026">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1"/>
      <c r="B331" s="1099"/>
      <c r="C331" s="1099"/>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6">
        <f t="shared" si="178"/>
        <v>0</v>
      </c>
      <c r="AW331" s="796">
        <f t="shared" si="179"/>
        <v>0</v>
      </c>
      <c r="AX331" s="796">
        <f t="shared" si="180"/>
        <v>0</v>
      </c>
      <c r="AY331" s="1026">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1"/>
      <c r="B332" s="1099"/>
      <c r="C332" s="1099"/>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6">
        <f t="shared" si="178"/>
        <v>0</v>
      </c>
      <c r="AW332" s="796">
        <f t="shared" si="179"/>
        <v>0</v>
      </c>
      <c r="AX332" s="796">
        <f t="shared" si="180"/>
        <v>0</v>
      </c>
      <c r="AY332" s="1026">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1"/>
      <c r="B333" s="1099"/>
      <c r="C333" s="1099"/>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6">
        <f t="shared" si="178"/>
        <v>0</v>
      </c>
      <c r="AW333" s="796">
        <f t="shared" si="179"/>
        <v>0</v>
      </c>
      <c r="AX333" s="796">
        <f t="shared" si="180"/>
        <v>0</v>
      </c>
      <c r="AY333" s="1026">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1"/>
      <c r="B334" s="1099"/>
      <c r="C334" s="1099"/>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6">
        <f t="shared" si="178"/>
        <v>0</v>
      </c>
      <c r="AW334" s="796">
        <f t="shared" si="179"/>
        <v>0</v>
      </c>
      <c r="AX334" s="796">
        <f t="shared" si="180"/>
        <v>0</v>
      </c>
      <c r="AY334" s="1026">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1"/>
      <c r="B335" s="1099"/>
      <c r="C335" s="1099"/>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6">
        <f t="shared" ref="AV335:AV366" si="207">A335</f>
        <v>0</v>
      </c>
      <c r="AW335" s="796">
        <f t="shared" ref="AW335:AW366" si="208">B335</f>
        <v>0</v>
      </c>
      <c r="AX335" s="796">
        <f t="shared" ref="AX335:AX366" si="209">C335</f>
        <v>0</v>
      </c>
      <c r="AY335" s="1026">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1"/>
      <c r="B336" s="1099"/>
      <c r="C336" s="1099"/>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6">
        <f t="shared" si="207"/>
        <v>0</v>
      </c>
      <c r="AW336" s="796">
        <f t="shared" si="208"/>
        <v>0</v>
      </c>
      <c r="AX336" s="796">
        <f t="shared" si="209"/>
        <v>0</v>
      </c>
      <c r="AY336" s="1026">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1"/>
      <c r="B337" s="1099"/>
      <c r="C337" s="1099"/>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6">
        <f t="shared" si="207"/>
        <v>0</v>
      </c>
      <c r="AW337" s="796">
        <f t="shared" si="208"/>
        <v>0</v>
      </c>
      <c r="AX337" s="796">
        <f t="shared" si="209"/>
        <v>0</v>
      </c>
      <c r="AY337" s="1026">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1"/>
      <c r="B338" s="1099"/>
      <c r="C338" s="1099"/>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6">
        <f t="shared" si="207"/>
        <v>0</v>
      </c>
      <c r="AW338" s="796">
        <f t="shared" si="208"/>
        <v>0</v>
      </c>
      <c r="AX338" s="796">
        <f t="shared" si="209"/>
        <v>0</v>
      </c>
      <c r="AY338" s="1026">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1"/>
      <c r="B339" s="1099"/>
      <c r="C339" s="1099"/>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6">
        <f t="shared" si="207"/>
        <v>0</v>
      </c>
      <c r="AW339" s="796">
        <f t="shared" si="208"/>
        <v>0</v>
      </c>
      <c r="AX339" s="796">
        <f t="shared" si="209"/>
        <v>0</v>
      </c>
      <c r="AY339" s="1026">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1"/>
      <c r="B340" s="1099"/>
      <c r="C340" s="1099"/>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6">
        <f t="shared" si="207"/>
        <v>0</v>
      </c>
      <c r="AW340" s="796">
        <f t="shared" si="208"/>
        <v>0</v>
      </c>
      <c r="AX340" s="796">
        <f t="shared" si="209"/>
        <v>0</v>
      </c>
      <c r="AY340" s="1026">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1"/>
      <c r="B341" s="1099"/>
      <c r="C341" s="1099"/>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6">
        <f t="shared" si="207"/>
        <v>0</v>
      </c>
      <c r="AW341" s="796">
        <f t="shared" si="208"/>
        <v>0</v>
      </c>
      <c r="AX341" s="796">
        <f t="shared" si="209"/>
        <v>0</v>
      </c>
      <c r="AY341" s="1026">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1"/>
      <c r="B342" s="1099"/>
      <c r="C342" s="1099"/>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6">
        <f t="shared" si="207"/>
        <v>0</v>
      </c>
      <c r="AW342" s="796">
        <f t="shared" si="208"/>
        <v>0</v>
      </c>
      <c r="AX342" s="796">
        <f t="shared" si="209"/>
        <v>0</v>
      </c>
      <c r="AY342" s="1026">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1"/>
      <c r="B343" s="1099"/>
      <c r="C343" s="1099"/>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6">
        <f t="shared" si="207"/>
        <v>0</v>
      </c>
      <c r="AW343" s="796">
        <f t="shared" si="208"/>
        <v>0</v>
      </c>
      <c r="AX343" s="796">
        <f t="shared" si="209"/>
        <v>0</v>
      </c>
      <c r="AY343" s="1026">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1"/>
      <c r="B344" s="1099"/>
      <c r="C344" s="1099"/>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6">
        <f t="shared" si="207"/>
        <v>0</v>
      </c>
      <c r="AW344" s="796">
        <f t="shared" si="208"/>
        <v>0</v>
      </c>
      <c r="AX344" s="796">
        <f t="shared" si="209"/>
        <v>0</v>
      </c>
      <c r="AY344" s="1026">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1"/>
      <c r="B345" s="1099"/>
      <c r="C345" s="1099"/>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6">
        <f t="shared" si="207"/>
        <v>0</v>
      </c>
      <c r="AW345" s="796">
        <f t="shared" si="208"/>
        <v>0</v>
      </c>
      <c r="AX345" s="796">
        <f t="shared" si="209"/>
        <v>0</v>
      </c>
      <c r="AY345" s="1026">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1"/>
      <c r="B346" s="1099"/>
      <c r="C346" s="1099"/>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6">
        <f t="shared" si="207"/>
        <v>0</v>
      </c>
      <c r="AW346" s="796">
        <f t="shared" si="208"/>
        <v>0</v>
      </c>
      <c r="AX346" s="796">
        <f t="shared" si="209"/>
        <v>0</v>
      </c>
      <c r="AY346" s="1026">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1"/>
      <c r="B347" s="1099"/>
      <c r="C347" s="1099"/>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6">
        <f t="shared" si="207"/>
        <v>0</v>
      </c>
      <c r="AW347" s="796">
        <f t="shared" si="208"/>
        <v>0</v>
      </c>
      <c r="AX347" s="796">
        <f t="shared" si="209"/>
        <v>0</v>
      </c>
      <c r="AY347" s="1026">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1"/>
      <c r="B348" s="1099"/>
      <c r="C348" s="1099"/>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6">
        <f t="shared" si="207"/>
        <v>0</v>
      </c>
      <c r="AW348" s="796">
        <f t="shared" si="208"/>
        <v>0</v>
      </c>
      <c r="AX348" s="796">
        <f t="shared" si="209"/>
        <v>0</v>
      </c>
      <c r="AY348" s="1026">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1"/>
      <c r="B349" s="1099"/>
      <c r="C349" s="1099"/>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6">
        <f t="shared" si="207"/>
        <v>0</v>
      </c>
      <c r="AW349" s="796">
        <f t="shared" si="208"/>
        <v>0</v>
      </c>
      <c r="AX349" s="796">
        <f t="shared" si="209"/>
        <v>0</v>
      </c>
      <c r="AY349" s="1026">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1"/>
      <c r="B350" s="1099"/>
      <c r="C350" s="1099"/>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6">
        <f t="shared" si="207"/>
        <v>0</v>
      </c>
      <c r="AW350" s="796">
        <f t="shared" si="208"/>
        <v>0</v>
      </c>
      <c r="AX350" s="796">
        <f t="shared" si="209"/>
        <v>0</v>
      </c>
      <c r="AY350" s="1026">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1"/>
      <c r="B351" s="1099"/>
      <c r="C351" s="1099"/>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6">
        <f t="shared" si="207"/>
        <v>0</v>
      </c>
      <c r="AW351" s="796">
        <f t="shared" si="208"/>
        <v>0</v>
      </c>
      <c r="AX351" s="796">
        <f t="shared" si="209"/>
        <v>0</v>
      </c>
      <c r="AY351" s="1026">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1"/>
      <c r="B352" s="1099"/>
      <c r="C352" s="1099"/>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6">
        <f t="shared" si="207"/>
        <v>0</v>
      </c>
      <c r="AW352" s="796">
        <f t="shared" si="208"/>
        <v>0</v>
      </c>
      <c r="AX352" s="796">
        <f t="shared" si="209"/>
        <v>0</v>
      </c>
      <c r="AY352" s="1026">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1"/>
      <c r="B353" s="1099"/>
      <c r="C353" s="1099"/>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6">
        <f t="shared" si="207"/>
        <v>0</v>
      </c>
      <c r="AW353" s="796">
        <f t="shared" si="208"/>
        <v>0</v>
      </c>
      <c r="AX353" s="796">
        <f t="shared" si="209"/>
        <v>0</v>
      </c>
      <c r="AY353" s="1026">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1"/>
      <c r="B354" s="1099"/>
      <c r="C354" s="1099"/>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6">
        <f t="shared" si="207"/>
        <v>0</v>
      </c>
      <c r="AW354" s="796">
        <f t="shared" si="208"/>
        <v>0</v>
      </c>
      <c r="AX354" s="796">
        <f t="shared" si="209"/>
        <v>0</v>
      </c>
      <c r="AY354" s="1026">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1"/>
      <c r="B355" s="1099"/>
      <c r="C355" s="1099"/>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6">
        <f t="shared" si="207"/>
        <v>0</v>
      </c>
      <c r="AW355" s="796">
        <f t="shared" si="208"/>
        <v>0</v>
      </c>
      <c r="AX355" s="796">
        <f t="shared" si="209"/>
        <v>0</v>
      </c>
      <c r="AY355" s="1026">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1"/>
      <c r="B356" s="1099"/>
      <c r="C356" s="1099"/>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6">
        <f t="shared" si="207"/>
        <v>0</v>
      </c>
      <c r="AW356" s="796">
        <f t="shared" si="208"/>
        <v>0</v>
      </c>
      <c r="AX356" s="796">
        <f t="shared" si="209"/>
        <v>0</v>
      </c>
      <c r="AY356" s="1026">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1"/>
      <c r="B357" s="1099"/>
      <c r="C357" s="1099"/>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6">
        <f t="shared" si="207"/>
        <v>0</v>
      </c>
      <c r="AW357" s="796">
        <f t="shared" si="208"/>
        <v>0</v>
      </c>
      <c r="AX357" s="796">
        <f t="shared" si="209"/>
        <v>0</v>
      </c>
      <c r="AY357" s="1026">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1"/>
      <c r="B358" s="1099"/>
      <c r="C358" s="1099"/>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6">
        <f t="shared" si="207"/>
        <v>0</v>
      </c>
      <c r="AW358" s="796">
        <f t="shared" si="208"/>
        <v>0</v>
      </c>
      <c r="AX358" s="796">
        <f t="shared" si="209"/>
        <v>0</v>
      </c>
      <c r="AY358" s="1026">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1"/>
      <c r="B359" s="1099"/>
      <c r="C359" s="1099"/>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6">
        <f t="shared" si="207"/>
        <v>0</v>
      </c>
      <c r="AW359" s="796">
        <f t="shared" si="208"/>
        <v>0</v>
      </c>
      <c r="AX359" s="796">
        <f t="shared" si="209"/>
        <v>0</v>
      </c>
      <c r="AY359" s="1026">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1"/>
      <c r="B360" s="1099"/>
      <c r="C360" s="1099"/>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6">
        <f t="shared" si="207"/>
        <v>0</v>
      </c>
      <c r="AW360" s="796">
        <f t="shared" si="208"/>
        <v>0</v>
      </c>
      <c r="AX360" s="796">
        <f t="shared" si="209"/>
        <v>0</v>
      </c>
      <c r="AY360" s="1026">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1"/>
      <c r="B361" s="1099"/>
      <c r="C361" s="1099"/>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6">
        <f t="shared" si="207"/>
        <v>0</v>
      </c>
      <c r="AW361" s="796">
        <f t="shared" si="208"/>
        <v>0</v>
      </c>
      <c r="AX361" s="796">
        <f t="shared" si="209"/>
        <v>0</v>
      </c>
      <c r="AY361" s="1026">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1"/>
      <c r="B362" s="1099"/>
      <c r="C362" s="1099"/>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6">
        <f t="shared" si="207"/>
        <v>0</v>
      </c>
      <c r="AW362" s="796">
        <f t="shared" si="208"/>
        <v>0</v>
      </c>
      <c r="AX362" s="796">
        <f t="shared" si="209"/>
        <v>0</v>
      </c>
      <c r="AY362" s="1026">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1"/>
      <c r="B363" s="1099"/>
      <c r="C363" s="1099"/>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6">
        <f t="shared" si="207"/>
        <v>0</v>
      </c>
      <c r="AW363" s="796">
        <f t="shared" si="208"/>
        <v>0</v>
      </c>
      <c r="AX363" s="796">
        <f t="shared" si="209"/>
        <v>0</v>
      </c>
      <c r="AY363" s="1026">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1"/>
      <c r="B364" s="1099"/>
      <c r="C364" s="1099"/>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6">
        <f t="shared" si="207"/>
        <v>0</v>
      </c>
      <c r="AW364" s="796">
        <f t="shared" si="208"/>
        <v>0</v>
      </c>
      <c r="AX364" s="796">
        <f t="shared" si="209"/>
        <v>0</v>
      </c>
      <c r="AY364" s="1026">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1"/>
      <c r="B365" s="1099"/>
      <c r="C365" s="1099"/>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6">
        <f t="shared" si="207"/>
        <v>0</v>
      </c>
      <c r="AW365" s="796">
        <f t="shared" si="208"/>
        <v>0</v>
      </c>
      <c r="AX365" s="796">
        <f t="shared" si="209"/>
        <v>0</v>
      </c>
      <c r="AY365" s="1026">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1"/>
      <c r="B366" s="1099"/>
      <c r="C366" s="1099"/>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6">
        <f t="shared" si="207"/>
        <v>0</v>
      </c>
      <c r="AW366" s="796">
        <f t="shared" si="208"/>
        <v>0</v>
      </c>
      <c r="AX366" s="796">
        <f t="shared" si="209"/>
        <v>0</v>
      </c>
      <c r="AY366" s="1026">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1"/>
      <c r="B367" s="1099"/>
      <c r="C367" s="1099"/>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6">
        <f t="shared" ref="AV367:AV397" si="236">A367</f>
        <v>0</v>
      </c>
      <c r="AW367" s="796">
        <f t="shared" ref="AW367:AW397" si="237">B367</f>
        <v>0</v>
      </c>
      <c r="AX367" s="796">
        <f t="shared" ref="AX367:AX397" si="238">C367</f>
        <v>0</v>
      </c>
      <c r="AY367" s="1026">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1"/>
      <c r="B368" s="1099"/>
      <c r="C368" s="1099"/>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6">
        <f t="shared" si="236"/>
        <v>0</v>
      </c>
      <c r="AW368" s="796">
        <f t="shared" si="237"/>
        <v>0</v>
      </c>
      <c r="AX368" s="796">
        <f t="shared" si="238"/>
        <v>0</v>
      </c>
      <c r="AY368" s="1026">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1"/>
      <c r="B369" s="1099"/>
      <c r="C369" s="1099"/>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6">
        <f t="shared" si="236"/>
        <v>0</v>
      </c>
      <c r="AW369" s="796">
        <f t="shared" si="237"/>
        <v>0</v>
      </c>
      <c r="AX369" s="796">
        <f t="shared" si="238"/>
        <v>0</v>
      </c>
      <c r="AY369" s="1026">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1"/>
      <c r="B370" s="1099"/>
      <c r="C370" s="1099"/>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6">
        <f t="shared" si="236"/>
        <v>0</v>
      </c>
      <c r="AW370" s="796">
        <f t="shared" si="237"/>
        <v>0</v>
      </c>
      <c r="AX370" s="796">
        <f t="shared" si="238"/>
        <v>0</v>
      </c>
      <c r="AY370" s="1026">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1"/>
      <c r="B371" s="1099"/>
      <c r="C371" s="1099"/>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6">
        <f t="shared" si="236"/>
        <v>0</v>
      </c>
      <c r="AW371" s="796">
        <f t="shared" si="237"/>
        <v>0</v>
      </c>
      <c r="AX371" s="796">
        <f t="shared" si="238"/>
        <v>0</v>
      </c>
      <c r="AY371" s="1026">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1"/>
      <c r="B372" s="1099"/>
      <c r="C372" s="1099"/>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6">
        <f t="shared" si="236"/>
        <v>0</v>
      </c>
      <c r="AW372" s="796">
        <f t="shared" si="237"/>
        <v>0</v>
      </c>
      <c r="AX372" s="796">
        <f t="shared" si="238"/>
        <v>0</v>
      </c>
      <c r="AY372" s="1026">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1"/>
      <c r="B373" s="1099"/>
      <c r="C373" s="1099"/>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6">
        <f t="shared" si="236"/>
        <v>0</v>
      </c>
      <c r="AW373" s="796">
        <f t="shared" si="237"/>
        <v>0</v>
      </c>
      <c r="AX373" s="796">
        <f t="shared" si="238"/>
        <v>0</v>
      </c>
      <c r="AY373" s="1026">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1"/>
      <c r="B374" s="1099"/>
      <c r="C374" s="1099"/>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6">
        <f t="shared" si="236"/>
        <v>0</v>
      </c>
      <c r="AW374" s="796">
        <f t="shared" si="237"/>
        <v>0</v>
      </c>
      <c r="AX374" s="796">
        <f t="shared" si="238"/>
        <v>0</v>
      </c>
      <c r="AY374" s="1026">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1"/>
      <c r="B375" s="1099"/>
      <c r="C375" s="1099"/>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6">
        <f t="shared" si="236"/>
        <v>0</v>
      </c>
      <c r="AW375" s="796">
        <f t="shared" si="237"/>
        <v>0</v>
      </c>
      <c r="AX375" s="796">
        <f t="shared" si="238"/>
        <v>0</v>
      </c>
      <c r="AY375" s="1026">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1"/>
      <c r="B376" s="1099"/>
      <c r="C376" s="1099"/>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6">
        <f t="shared" si="236"/>
        <v>0</v>
      </c>
      <c r="AW376" s="796">
        <f t="shared" si="237"/>
        <v>0</v>
      </c>
      <c r="AX376" s="796">
        <f t="shared" si="238"/>
        <v>0</v>
      </c>
      <c r="AY376" s="1026">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1"/>
      <c r="B377" s="1099"/>
      <c r="C377" s="1099"/>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6">
        <f t="shared" si="236"/>
        <v>0</v>
      </c>
      <c r="AW377" s="796">
        <f t="shared" si="237"/>
        <v>0</v>
      </c>
      <c r="AX377" s="796">
        <f t="shared" si="238"/>
        <v>0</v>
      </c>
      <c r="AY377" s="1026">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1"/>
      <c r="B378" s="1099"/>
      <c r="C378" s="1099"/>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6">
        <f t="shared" si="236"/>
        <v>0</v>
      </c>
      <c r="AW378" s="796">
        <f t="shared" si="237"/>
        <v>0</v>
      </c>
      <c r="AX378" s="796">
        <f t="shared" si="238"/>
        <v>0</v>
      </c>
      <c r="AY378" s="1026">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1"/>
      <c r="B379" s="1099"/>
      <c r="C379" s="1099"/>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6">
        <f t="shared" si="236"/>
        <v>0</v>
      </c>
      <c r="AW379" s="796">
        <f t="shared" si="237"/>
        <v>0</v>
      </c>
      <c r="AX379" s="796">
        <f t="shared" si="238"/>
        <v>0</v>
      </c>
      <c r="AY379" s="1026">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1"/>
      <c r="B380" s="1099"/>
      <c r="C380" s="1099"/>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6">
        <f t="shared" si="236"/>
        <v>0</v>
      </c>
      <c r="AW380" s="796">
        <f t="shared" si="237"/>
        <v>0</v>
      </c>
      <c r="AX380" s="796">
        <f t="shared" si="238"/>
        <v>0</v>
      </c>
      <c r="AY380" s="1026">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1"/>
      <c r="B381" s="1099"/>
      <c r="C381" s="1099"/>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6">
        <f t="shared" si="236"/>
        <v>0</v>
      </c>
      <c r="AW381" s="796">
        <f t="shared" si="237"/>
        <v>0</v>
      </c>
      <c r="AX381" s="796">
        <f t="shared" si="238"/>
        <v>0</v>
      </c>
      <c r="AY381" s="1026">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1"/>
      <c r="B382" s="1099"/>
      <c r="C382" s="1099"/>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6">
        <f t="shared" si="236"/>
        <v>0</v>
      </c>
      <c r="AW382" s="796">
        <f t="shared" si="237"/>
        <v>0</v>
      </c>
      <c r="AX382" s="796">
        <f t="shared" si="238"/>
        <v>0</v>
      </c>
      <c r="AY382" s="1026">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1"/>
      <c r="B383" s="1099"/>
      <c r="C383" s="1099"/>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6">
        <f t="shared" si="236"/>
        <v>0</v>
      </c>
      <c r="AW383" s="796">
        <f t="shared" si="237"/>
        <v>0</v>
      </c>
      <c r="AX383" s="796">
        <f t="shared" si="238"/>
        <v>0</v>
      </c>
      <c r="AY383" s="1026">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1"/>
      <c r="B384" s="1099"/>
      <c r="C384" s="1099"/>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6">
        <f t="shared" si="236"/>
        <v>0</v>
      </c>
      <c r="AW384" s="796">
        <f t="shared" si="237"/>
        <v>0</v>
      </c>
      <c r="AX384" s="796">
        <f t="shared" si="238"/>
        <v>0</v>
      </c>
      <c r="AY384" s="1026">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1"/>
      <c r="B385" s="1099"/>
      <c r="C385" s="1099"/>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6">
        <f t="shared" si="236"/>
        <v>0</v>
      </c>
      <c r="AW385" s="796">
        <f t="shared" si="237"/>
        <v>0</v>
      </c>
      <c r="AX385" s="796">
        <f t="shared" si="238"/>
        <v>0</v>
      </c>
      <c r="AY385" s="1026">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1"/>
      <c r="B386" s="1099"/>
      <c r="C386" s="1099"/>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6">
        <f t="shared" si="236"/>
        <v>0</v>
      </c>
      <c r="AW386" s="796">
        <f t="shared" si="237"/>
        <v>0</v>
      </c>
      <c r="AX386" s="796">
        <f t="shared" si="238"/>
        <v>0</v>
      </c>
      <c r="AY386" s="1026">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1"/>
      <c r="B387" s="1099"/>
      <c r="C387" s="1099"/>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6">
        <f t="shared" si="236"/>
        <v>0</v>
      </c>
      <c r="AW387" s="796">
        <f t="shared" si="237"/>
        <v>0</v>
      </c>
      <c r="AX387" s="796">
        <f t="shared" si="238"/>
        <v>0</v>
      </c>
      <c r="AY387" s="1026">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1"/>
      <c r="B388" s="1099"/>
      <c r="C388" s="1099"/>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6">
        <f t="shared" si="236"/>
        <v>0</v>
      </c>
      <c r="AW388" s="796">
        <f t="shared" si="237"/>
        <v>0</v>
      </c>
      <c r="AX388" s="796">
        <f t="shared" si="238"/>
        <v>0</v>
      </c>
      <c r="AY388" s="1026">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1"/>
      <c r="B389" s="1099"/>
      <c r="C389" s="1099"/>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6">
        <f t="shared" si="236"/>
        <v>0</v>
      </c>
      <c r="AW389" s="796">
        <f t="shared" si="237"/>
        <v>0</v>
      </c>
      <c r="AX389" s="796">
        <f t="shared" si="238"/>
        <v>0</v>
      </c>
      <c r="AY389" s="1026">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1"/>
      <c r="B390" s="1099"/>
      <c r="C390" s="1099"/>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6">
        <f t="shared" si="236"/>
        <v>0</v>
      </c>
      <c r="AW390" s="796">
        <f t="shared" si="237"/>
        <v>0</v>
      </c>
      <c r="AX390" s="796">
        <f t="shared" si="238"/>
        <v>0</v>
      </c>
      <c r="AY390" s="1026">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1"/>
      <c r="B391" s="1099"/>
      <c r="C391" s="1099"/>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6">
        <f t="shared" si="236"/>
        <v>0</v>
      </c>
      <c r="AW391" s="796">
        <f t="shared" si="237"/>
        <v>0</v>
      </c>
      <c r="AX391" s="796">
        <f t="shared" si="238"/>
        <v>0</v>
      </c>
      <c r="AY391" s="1026">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1"/>
      <c r="B392" s="1099"/>
      <c r="C392" s="1099"/>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6">
        <f t="shared" si="236"/>
        <v>0</v>
      </c>
      <c r="AW392" s="796">
        <f t="shared" si="237"/>
        <v>0</v>
      </c>
      <c r="AX392" s="796">
        <f t="shared" si="238"/>
        <v>0</v>
      </c>
      <c r="AY392" s="1026">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1"/>
      <c r="B393" s="1099"/>
      <c r="C393" s="1099"/>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6">
        <f t="shared" si="236"/>
        <v>0</v>
      </c>
      <c r="AW393" s="796">
        <f t="shared" si="237"/>
        <v>0</v>
      </c>
      <c r="AX393" s="796">
        <f t="shared" si="238"/>
        <v>0</v>
      </c>
      <c r="AY393" s="1026">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1"/>
      <c r="B394" s="1099"/>
      <c r="C394" s="1099"/>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6">
        <f t="shared" si="236"/>
        <v>0</v>
      </c>
      <c r="AW394" s="796">
        <f t="shared" si="237"/>
        <v>0</v>
      </c>
      <c r="AX394" s="796">
        <f t="shared" si="238"/>
        <v>0</v>
      </c>
      <c r="AY394" s="1026">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1"/>
      <c r="B395" s="1091"/>
      <c r="C395" s="1091"/>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4"/>
      <c r="AV395" s="796">
        <f t="shared" si="236"/>
        <v>0</v>
      </c>
      <c r="AW395" s="796">
        <f t="shared" si="237"/>
        <v>0</v>
      </c>
      <c r="AX395" s="796">
        <f t="shared" si="238"/>
        <v>0</v>
      </c>
      <c r="AY395" s="1026">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1"/>
      <c r="B396" s="1091"/>
      <c r="C396" s="1091"/>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4"/>
      <c r="AV396" s="796">
        <f t="shared" si="236"/>
        <v>0</v>
      </c>
      <c r="AW396" s="796">
        <f t="shared" si="237"/>
        <v>0</v>
      </c>
      <c r="AX396" s="796">
        <f t="shared" si="238"/>
        <v>0</v>
      </c>
      <c r="AY396" s="1026">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1"/>
      <c r="B397" s="1091"/>
      <c r="C397" s="1091"/>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4"/>
      <c r="AV397" s="796">
        <f t="shared" si="236"/>
        <v>0</v>
      </c>
      <c r="AW397" s="796">
        <f t="shared" si="237"/>
        <v>0</v>
      </c>
      <c r="AX397" s="796">
        <f t="shared" si="238"/>
        <v>0</v>
      </c>
      <c r="AY397" s="1026">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1"/>
      <c r="B398" s="1099"/>
      <c r="C398" s="1099"/>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6">
        <f t="shared" ref="AV398:AV492" si="243">A398</f>
        <v>0</v>
      </c>
      <c r="AW398" s="796">
        <f t="shared" ref="AW398:AW492" si="244">B398</f>
        <v>0</v>
      </c>
      <c r="AX398" s="796">
        <f t="shared" ref="AX398:AX492" si="245">C398</f>
        <v>0</v>
      </c>
      <c r="AY398" s="1026">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1"/>
      <c r="B399" s="1099"/>
      <c r="C399" s="1099"/>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6">
        <f t="shared" si="243"/>
        <v>0</v>
      </c>
      <c r="AW399" s="796">
        <f t="shared" si="244"/>
        <v>0</v>
      </c>
      <c r="AX399" s="796">
        <f t="shared" si="245"/>
        <v>0</v>
      </c>
      <c r="AY399" s="1026">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1"/>
      <c r="B400" s="1099"/>
      <c r="C400" s="1099"/>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6">
        <f t="shared" si="243"/>
        <v>0</v>
      </c>
      <c r="AW400" s="796">
        <f t="shared" si="244"/>
        <v>0</v>
      </c>
      <c r="AX400" s="796">
        <f t="shared" si="245"/>
        <v>0</v>
      </c>
      <c r="AY400" s="1026">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1"/>
      <c r="B401" s="1099"/>
      <c r="C401" s="1099"/>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6">
        <f t="shared" si="243"/>
        <v>0</v>
      </c>
      <c r="AW401" s="796">
        <f t="shared" si="244"/>
        <v>0</v>
      </c>
      <c r="AX401" s="796">
        <f t="shared" si="245"/>
        <v>0</v>
      </c>
      <c r="AY401" s="1026">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1"/>
      <c r="B402" s="1099"/>
      <c r="C402" s="1099"/>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6">
        <f t="shared" si="243"/>
        <v>0</v>
      </c>
      <c r="AW402" s="796">
        <f t="shared" si="244"/>
        <v>0</v>
      </c>
      <c r="AX402" s="796">
        <f t="shared" si="245"/>
        <v>0</v>
      </c>
      <c r="AY402" s="1026">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1"/>
      <c r="B403" s="1099"/>
      <c r="C403" s="1099"/>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6">
        <f t="shared" si="243"/>
        <v>0</v>
      </c>
      <c r="AW403" s="796">
        <f t="shared" si="244"/>
        <v>0</v>
      </c>
      <c r="AX403" s="796">
        <f t="shared" si="245"/>
        <v>0</v>
      </c>
      <c r="AY403" s="1026">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1"/>
      <c r="B404" s="1099"/>
      <c r="C404" s="1099"/>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6">
        <f t="shared" si="243"/>
        <v>0</v>
      </c>
      <c r="AW404" s="796">
        <f t="shared" si="244"/>
        <v>0</v>
      </c>
      <c r="AX404" s="796">
        <f t="shared" si="245"/>
        <v>0</v>
      </c>
      <c r="AY404" s="1026">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1"/>
      <c r="B405" s="1099"/>
      <c r="C405" s="1099"/>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6">
        <f t="shared" si="243"/>
        <v>0</v>
      </c>
      <c r="AW405" s="796">
        <f t="shared" si="244"/>
        <v>0</v>
      </c>
      <c r="AX405" s="796">
        <f t="shared" si="245"/>
        <v>0</v>
      </c>
      <c r="AY405" s="1026">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1"/>
      <c r="B406" s="1099"/>
      <c r="C406" s="1099"/>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6">
        <f t="shared" si="243"/>
        <v>0</v>
      </c>
      <c r="AW406" s="796">
        <f t="shared" si="244"/>
        <v>0</v>
      </c>
      <c r="AX406" s="796">
        <f t="shared" si="245"/>
        <v>0</v>
      </c>
      <c r="AY406" s="1026">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1"/>
      <c r="B407" s="1099"/>
      <c r="C407" s="1099"/>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6">
        <f t="shared" si="243"/>
        <v>0</v>
      </c>
      <c r="AW407" s="796">
        <f t="shared" si="244"/>
        <v>0</v>
      </c>
      <c r="AX407" s="796">
        <f t="shared" si="245"/>
        <v>0</v>
      </c>
      <c r="AY407" s="1026">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1"/>
      <c r="B408" s="1099"/>
      <c r="C408" s="1099"/>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6">
        <f t="shared" si="243"/>
        <v>0</v>
      </c>
      <c r="AW408" s="796">
        <f t="shared" si="244"/>
        <v>0</v>
      </c>
      <c r="AX408" s="796">
        <f t="shared" si="245"/>
        <v>0</v>
      </c>
      <c r="AY408" s="1026">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1"/>
      <c r="B409" s="1099"/>
      <c r="C409" s="1099"/>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6">
        <f t="shared" si="243"/>
        <v>0</v>
      </c>
      <c r="AW409" s="796">
        <f t="shared" si="244"/>
        <v>0</v>
      </c>
      <c r="AX409" s="796">
        <f t="shared" si="245"/>
        <v>0</v>
      </c>
      <c r="AY409" s="1026">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1"/>
      <c r="B410" s="1099"/>
      <c r="C410" s="1099"/>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6">
        <f t="shared" si="243"/>
        <v>0</v>
      </c>
      <c r="AW410" s="796">
        <f t="shared" si="244"/>
        <v>0</v>
      </c>
      <c r="AX410" s="796">
        <f t="shared" si="245"/>
        <v>0</v>
      </c>
      <c r="AY410" s="1026">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1"/>
      <c r="B411" s="1099"/>
      <c r="C411" s="1099"/>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6">
        <f t="shared" si="243"/>
        <v>0</v>
      </c>
      <c r="AW411" s="796">
        <f t="shared" si="244"/>
        <v>0</v>
      </c>
      <c r="AX411" s="796">
        <f t="shared" si="245"/>
        <v>0</v>
      </c>
      <c r="AY411" s="1026">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1"/>
      <c r="B412" s="1099"/>
      <c r="C412" s="1099"/>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6">
        <f t="shared" si="243"/>
        <v>0</v>
      </c>
      <c r="AW412" s="796">
        <f t="shared" si="244"/>
        <v>0</v>
      </c>
      <c r="AX412" s="796">
        <f t="shared" si="245"/>
        <v>0</v>
      </c>
      <c r="AY412" s="1026">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1"/>
      <c r="B413" s="1099"/>
      <c r="C413" s="1099"/>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6">
        <f t="shared" si="243"/>
        <v>0</v>
      </c>
      <c r="AW413" s="796">
        <f t="shared" si="244"/>
        <v>0</v>
      </c>
      <c r="AX413" s="796">
        <f t="shared" si="245"/>
        <v>0</v>
      </c>
      <c r="AY413" s="1026">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1"/>
      <c r="B414" s="1099"/>
      <c r="C414" s="1099"/>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6">
        <f t="shared" si="243"/>
        <v>0</v>
      </c>
      <c r="AW414" s="796">
        <f t="shared" si="244"/>
        <v>0</v>
      </c>
      <c r="AX414" s="796">
        <f t="shared" si="245"/>
        <v>0</v>
      </c>
      <c r="AY414" s="1026">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1"/>
      <c r="B415" s="1099"/>
      <c r="C415" s="1099"/>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6">
        <f t="shared" si="243"/>
        <v>0</v>
      </c>
      <c r="AW415" s="796">
        <f t="shared" si="244"/>
        <v>0</v>
      </c>
      <c r="AX415" s="796">
        <f t="shared" si="245"/>
        <v>0</v>
      </c>
      <c r="AY415" s="1026">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1"/>
      <c r="B416" s="1099"/>
      <c r="C416" s="1099"/>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6">
        <f t="shared" si="243"/>
        <v>0</v>
      </c>
      <c r="AW416" s="796">
        <f t="shared" si="244"/>
        <v>0</v>
      </c>
      <c r="AX416" s="796">
        <f t="shared" si="245"/>
        <v>0</v>
      </c>
      <c r="AY416" s="1026">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1"/>
      <c r="B417" s="1099"/>
      <c r="C417" s="1099"/>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6">
        <f t="shared" si="243"/>
        <v>0</v>
      </c>
      <c r="AW417" s="796">
        <f t="shared" si="244"/>
        <v>0</v>
      </c>
      <c r="AX417" s="796">
        <f t="shared" si="245"/>
        <v>0</v>
      </c>
      <c r="AY417" s="1026">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1"/>
      <c r="B418" s="1099"/>
      <c r="C418" s="1099"/>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6">
        <f t="shared" si="243"/>
        <v>0</v>
      </c>
      <c r="AW418" s="796">
        <f t="shared" si="244"/>
        <v>0</v>
      </c>
      <c r="AX418" s="796">
        <f t="shared" si="245"/>
        <v>0</v>
      </c>
      <c r="AY418" s="1026">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1"/>
      <c r="B419" s="1099"/>
      <c r="C419" s="1099"/>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6">
        <f t="shared" si="243"/>
        <v>0</v>
      </c>
      <c r="AW419" s="796">
        <f t="shared" si="244"/>
        <v>0</v>
      </c>
      <c r="AX419" s="796">
        <f t="shared" si="245"/>
        <v>0</v>
      </c>
      <c r="AY419" s="1026">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1"/>
      <c r="B420" s="1099"/>
      <c r="C420" s="1099"/>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6">
        <f t="shared" si="243"/>
        <v>0</v>
      </c>
      <c r="AW420" s="796">
        <f t="shared" si="244"/>
        <v>0</v>
      </c>
      <c r="AX420" s="796">
        <f t="shared" si="245"/>
        <v>0</v>
      </c>
      <c r="AY420" s="1026">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1"/>
      <c r="B421" s="1099"/>
      <c r="C421" s="1099"/>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6">
        <f t="shared" si="243"/>
        <v>0</v>
      </c>
      <c r="AW421" s="796">
        <f t="shared" si="244"/>
        <v>0</v>
      </c>
      <c r="AX421" s="796">
        <f t="shared" si="245"/>
        <v>0</v>
      </c>
      <c r="AY421" s="1026">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1"/>
      <c r="B422" s="1099"/>
      <c r="C422" s="1099"/>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6">
        <f t="shared" si="243"/>
        <v>0</v>
      </c>
      <c r="AW422" s="796">
        <f t="shared" si="244"/>
        <v>0</v>
      </c>
      <c r="AX422" s="796">
        <f t="shared" si="245"/>
        <v>0</v>
      </c>
      <c r="AY422" s="1026">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1"/>
      <c r="B423" s="1099"/>
      <c r="C423" s="1099"/>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6">
        <f t="shared" si="243"/>
        <v>0</v>
      </c>
      <c r="AW423" s="796">
        <f t="shared" si="244"/>
        <v>0</v>
      </c>
      <c r="AX423" s="796">
        <f t="shared" si="245"/>
        <v>0</v>
      </c>
      <c r="AY423" s="1026">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1"/>
      <c r="B424" s="1099"/>
      <c r="C424" s="1099"/>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6">
        <f t="shared" si="243"/>
        <v>0</v>
      </c>
      <c r="AW424" s="796">
        <f t="shared" si="244"/>
        <v>0</v>
      </c>
      <c r="AX424" s="796">
        <f t="shared" si="245"/>
        <v>0</v>
      </c>
      <c r="AY424" s="1026">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1"/>
      <c r="B425" s="1099"/>
      <c r="C425" s="1099"/>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6">
        <f t="shared" si="243"/>
        <v>0</v>
      </c>
      <c r="AW425" s="796">
        <f t="shared" si="244"/>
        <v>0</v>
      </c>
      <c r="AX425" s="796">
        <f t="shared" si="245"/>
        <v>0</v>
      </c>
      <c r="AY425" s="1026">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1"/>
      <c r="B426" s="1099"/>
      <c r="C426" s="1099"/>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6">
        <f t="shared" si="243"/>
        <v>0</v>
      </c>
      <c r="AW426" s="796">
        <f t="shared" si="244"/>
        <v>0</v>
      </c>
      <c r="AX426" s="796">
        <f t="shared" si="245"/>
        <v>0</v>
      </c>
      <c r="AY426" s="1026">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1"/>
      <c r="B427" s="1099"/>
      <c r="C427" s="1099"/>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6">
        <f t="shared" si="243"/>
        <v>0</v>
      </c>
      <c r="AW427" s="796">
        <f t="shared" si="244"/>
        <v>0</v>
      </c>
      <c r="AX427" s="796">
        <f t="shared" si="245"/>
        <v>0</v>
      </c>
      <c r="AY427" s="1026">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1"/>
      <c r="B428" s="1099"/>
      <c r="C428" s="1099"/>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6">
        <f t="shared" si="243"/>
        <v>0</v>
      </c>
      <c r="AW428" s="796">
        <f t="shared" si="244"/>
        <v>0</v>
      </c>
      <c r="AX428" s="796">
        <f t="shared" si="245"/>
        <v>0</v>
      </c>
      <c r="AY428" s="1026">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1"/>
      <c r="B429" s="1099"/>
      <c r="C429" s="1099"/>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6">
        <f t="shared" si="243"/>
        <v>0</v>
      </c>
      <c r="AW429" s="796">
        <f t="shared" si="244"/>
        <v>0</v>
      </c>
      <c r="AX429" s="796">
        <f t="shared" si="245"/>
        <v>0</v>
      </c>
      <c r="AY429" s="1026">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1"/>
      <c r="B430" s="1099"/>
      <c r="C430" s="1099"/>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6">
        <f t="shared" si="243"/>
        <v>0</v>
      </c>
      <c r="AW430" s="796">
        <f t="shared" si="244"/>
        <v>0</v>
      </c>
      <c r="AX430" s="796">
        <f t="shared" si="245"/>
        <v>0</v>
      </c>
      <c r="AY430" s="1026">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1"/>
      <c r="B431" s="1099"/>
      <c r="C431" s="1099"/>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6">
        <f t="shared" si="243"/>
        <v>0</v>
      </c>
      <c r="AW431" s="796">
        <f t="shared" si="244"/>
        <v>0</v>
      </c>
      <c r="AX431" s="796">
        <f t="shared" si="245"/>
        <v>0</v>
      </c>
      <c r="AY431" s="1026">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1"/>
      <c r="B432" s="1099"/>
      <c r="C432" s="1099"/>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6">
        <f t="shared" si="243"/>
        <v>0</v>
      </c>
      <c r="AW432" s="796">
        <f t="shared" si="244"/>
        <v>0</v>
      </c>
      <c r="AX432" s="796">
        <f t="shared" si="245"/>
        <v>0</v>
      </c>
      <c r="AY432" s="1026">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1"/>
      <c r="B433" s="1099"/>
      <c r="C433" s="1099"/>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6">
        <f t="shared" si="243"/>
        <v>0</v>
      </c>
      <c r="AW433" s="796">
        <f t="shared" si="244"/>
        <v>0</v>
      </c>
      <c r="AX433" s="796">
        <f t="shared" si="245"/>
        <v>0</v>
      </c>
      <c r="AY433" s="1026">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1"/>
      <c r="B434" s="1099"/>
      <c r="C434" s="1099"/>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6">
        <f t="shared" si="243"/>
        <v>0</v>
      </c>
      <c r="AW434" s="796">
        <f t="shared" si="244"/>
        <v>0</v>
      </c>
      <c r="AX434" s="796">
        <f t="shared" si="245"/>
        <v>0</v>
      </c>
      <c r="AY434" s="1026">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1"/>
      <c r="B435" s="1099"/>
      <c r="C435" s="1099"/>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6">
        <f t="shared" si="243"/>
        <v>0</v>
      </c>
      <c r="AW435" s="796">
        <f t="shared" si="244"/>
        <v>0</v>
      </c>
      <c r="AX435" s="796">
        <f t="shared" si="245"/>
        <v>0</v>
      </c>
      <c r="AY435" s="1026">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1"/>
      <c r="B436" s="1099"/>
      <c r="C436" s="1099"/>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6">
        <f t="shared" si="243"/>
        <v>0</v>
      </c>
      <c r="AW436" s="796">
        <f t="shared" si="244"/>
        <v>0</v>
      </c>
      <c r="AX436" s="796">
        <f t="shared" si="245"/>
        <v>0</v>
      </c>
      <c r="AY436" s="1026">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1"/>
      <c r="B437" s="1099"/>
      <c r="C437" s="1099"/>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6">
        <f t="shared" si="243"/>
        <v>0</v>
      </c>
      <c r="AW437" s="796">
        <f t="shared" si="244"/>
        <v>0</v>
      </c>
      <c r="AX437" s="796">
        <f t="shared" si="245"/>
        <v>0</v>
      </c>
      <c r="AY437" s="1026">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1"/>
      <c r="B438" s="1099"/>
      <c r="C438" s="1099"/>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6">
        <f t="shared" si="243"/>
        <v>0</v>
      </c>
      <c r="AW438" s="796">
        <f t="shared" si="244"/>
        <v>0</v>
      </c>
      <c r="AX438" s="796">
        <f t="shared" si="245"/>
        <v>0</v>
      </c>
      <c r="AY438" s="1026">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1"/>
      <c r="B439" s="1099"/>
      <c r="C439" s="1099"/>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6">
        <f t="shared" si="243"/>
        <v>0</v>
      </c>
      <c r="AW439" s="796">
        <f t="shared" si="244"/>
        <v>0</v>
      </c>
      <c r="AX439" s="796">
        <f t="shared" si="245"/>
        <v>0</v>
      </c>
      <c r="AY439" s="1026">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1"/>
      <c r="B440" s="1099"/>
      <c r="C440" s="1099"/>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6">
        <f t="shared" si="243"/>
        <v>0</v>
      </c>
      <c r="AW440" s="796">
        <f t="shared" si="244"/>
        <v>0</v>
      </c>
      <c r="AX440" s="796">
        <f t="shared" si="245"/>
        <v>0</v>
      </c>
      <c r="AY440" s="1026">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1"/>
      <c r="B441" s="1099"/>
      <c r="C441" s="1099"/>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6">
        <f t="shared" si="243"/>
        <v>0</v>
      </c>
      <c r="AW441" s="796">
        <f t="shared" si="244"/>
        <v>0</v>
      </c>
      <c r="AX441" s="796">
        <f t="shared" si="245"/>
        <v>0</v>
      </c>
      <c r="AY441" s="1026">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1"/>
      <c r="B442" s="1099"/>
      <c r="C442" s="1099"/>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6">
        <f t="shared" si="243"/>
        <v>0</v>
      </c>
      <c r="AW442" s="796">
        <f t="shared" si="244"/>
        <v>0</v>
      </c>
      <c r="AX442" s="796">
        <f t="shared" si="245"/>
        <v>0</v>
      </c>
      <c r="AY442" s="1026">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1"/>
      <c r="B443" s="1099"/>
      <c r="C443" s="1099"/>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6">
        <f t="shared" si="243"/>
        <v>0</v>
      </c>
      <c r="AW443" s="796">
        <f t="shared" si="244"/>
        <v>0</v>
      </c>
      <c r="AX443" s="796">
        <f t="shared" si="245"/>
        <v>0</v>
      </c>
      <c r="AY443" s="1026">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1"/>
      <c r="B444" s="1099"/>
      <c r="C444" s="1099"/>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6">
        <f t="shared" si="243"/>
        <v>0</v>
      </c>
      <c r="AW444" s="796">
        <f t="shared" si="244"/>
        <v>0</v>
      </c>
      <c r="AX444" s="796">
        <f t="shared" si="245"/>
        <v>0</v>
      </c>
      <c r="AY444" s="1026">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1"/>
      <c r="B445" s="1099"/>
      <c r="C445" s="1099"/>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6">
        <f t="shared" si="243"/>
        <v>0</v>
      </c>
      <c r="AW445" s="796">
        <f t="shared" si="244"/>
        <v>0</v>
      </c>
      <c r="AX445" s="796">
        <f t="shared" si="245"/>
        <v>0</v>
      </c>
      <c r="AY445" s="1026">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1"/>
      <c r="B446" s="1099"/>
      <c r="C446" s="1099"/>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6">
        <f t="shared" si="243"/>
        <v>0</v>
      </c>
      <c r="AW446" s="796">
        <f t="shared" si="244"/>
        <v>0</v>
      </c>
      <c r="AX446" s="796">
        <f t="shared" si="245"/>
        <v>0</v>
      </c>
      <c r="AY446" s="1026">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1"/>
      <c r="B447" s="1099"/>
      <c r="C447" s="1099"/>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6">
        <f t="shared" si="243"/>
        <v>0</v>
      </c>
      <c r="AW447" s="796">
        <f t="shared" si="244"/>
        <v>0</v>
      </c>
      <c r="AX447" s="796">
        <f t="shared" si="245"/>
        <v>0</v>
      </c>
      <c r="AY447" s="1026">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1"/>
      <c r="B448" s="1099"/>
      <c r="C448" s="1099"/>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6">
        <f t="shared" si="243"/>
        <v>0</v>
      </c>
      <c r="AW448" s="796">
        <f t="shared" si="244"/>
        <v>0</v>
      </c>
      <c r="AX448" s="796">
        <f t="shared" si="245"/>
        <v>0</v>
      </c>
      <c r="AY448" s="1026">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1"/>
      <c r="B449" s="1099"/>
      <c r="C449" s="1099"/>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6">
        <f t="shared" si="243"/>
        <v>0</v>
      </c>
      <c r="AW449" s="796">
        <f t="shared" si="244"/>
        <v>0</v>
      </c>
      <c r="AX449" s="796">
        <f t="shared" si="245"/>
        <v>0</v>
      </c>
      <c r="AY449" s="1026">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1"/>
      <c r="B450" s="1099"/>
      <c r="C450" s="1099"/>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6">
        <f t="shared" si="243"/>
        <v>0</v>
      </c>
      <c r="AW450" s="796">
        <f t="shared" si="244"/>
        <v>0</v>
      </c>
      <c r="AX450" s="796">
        <f t="shared" si="245"/>
        <v>0</v>
      </c>
      <c r="AY450" s="1026">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1"/>
      <c r="B451" s="1099"/>
      <c r="C451" s="1099"/>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6">
        <f t="shared" si="243"/>
        <v>0</v>
      </c>
      <c r="AW451" s="796">
        <f t="shared" si="244"/>
        <v>0</v>
      </c>
      <c r="AX451" s="796">
        <f t="shared" si="245"/>
        <v>0</v>
      </c>
      <c r="AY451" s="1026">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1"/>
      <c r="B452" s="1099"/>
      <c r="C452" s="1099"/>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6">
        <f t="shared" si="243"/>
        <v>0</v>
      </c>
      <c r="AW452" s="796">
        <f t="shared" si="244"/>
        <v>0</v>
      </c>
      <c r="AX452" s="796">
        <f t="shared" si="245"/>
        <v>0</v>
      </c>
      <c r="AY452" s="1026">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1"/>
      <c r="B453" s="1099"/>
      <c r="C453" s="1099"/>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6">
        <f t="shared" si="243"/>
        <v>0</v>
      </c>
      <c r="AW453" s="796">
        <f t="shared" si="244"/>
        <v>0</v>
      </c>
      <c r="AX453" s="796">
        <f t="shared" si="245"/>
        <v>0</v>
      </c>
      <c r="AY453" s="1026">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1"/>
      <c r="B454" s="1099"/>
      <c r="C454" s="1099"/>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6">
        <f t="shared" si="243"/>
        <v>0</v>
      </c>
      <c r="AW454" s="796">
        <f t="shared" si="244"/>
        <v>0</v>
      </c>
      <c r="AX454" s="796">
        <f t="shared" si="245"/>
        <v>0</v>
      </c>
      <c r="AY454" s="1026">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1"/>
      <c r="B455" s="1099"/>
      <c r="C455" s="1099"/>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6">
        <f t="shared" si="243"/>
        <v>0</v>
      </c>
      <c r="AW455" s="796">
        <f t="shared" si="244"/>
        <v>0</v>
      </c>
      <c r="AX455" s="796">
        <f t="shared" si="245"/>
        <v>0</v>
      </c>
      <c r="AY455" s="1026">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1"/>
      <c r="B456" s="1099"/>
      <c r="C456" s="1099"/>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6">
        <f t="shared" si="243"/>
        <v>0</v>
      </c>
      <c r="AW456" s="796">
        <f t="shared" si="244"/>
        <v>0</v>
      </c>
      <c r="AX456" s="796">
        <f t="shared" si="245"/>
        <v>0</v>
      </c>
      <c r="AY456" s="1026">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1"/>
      <c r="B457" s="1099"/>
      <c r="C457" s="1099"/>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6">
        <f t="shared" si="243"/>
        <v>0</v>
      </c>
      <c r="AW457" s="796">
        <f t="shared" si="244"/>
        <v>0</v>
      </c>
      <c r="AX457" s="796">
        <f t="shared" si="245"/>
        <v>0</v>
      </c>
      <c r="AY457" s="1026">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1"/>
      <c r="B458" s="1099"/>
      <c r="C458" s="1099"/>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6">
        <f t="shared" si="243"/>
        <v>0</v>
      </c>
      <c r="AW458" s="796">
        <f t="shared" si="244"/>
        <v>0</v>
      </c>
      <c r="AX458" s="796">
        <f t="shared" si="245"/>
        <v>0</v>
      </c>
      <c r="AY458" s="1026">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1"/>
      <c r="B459" s="1099"/>
      <c r="C459" s="1099"/>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6">
        <f t="shared" si="243"/>
        <v>0</v>
      </c>
      <c r="AW459" s="796">
        <f t="shared" si="244"/>
        <v>0</v>
      </c>
      <c r="AX459" s="796">
        <f t="shared" si="245"/>
        <v>0</v>
      </c>
      <c r="AY459" s="1026">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1"/>
      <c r="B460" s="1099"/>
      <c r="C460" s="1099"/>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6">
        <f t="shared" si="243"/>
        <v>0</v>
      </c>
      <c r="AW460" s="796">
        <f t="shared" si="244"/>
        <v>0</v>
      </c>
      <c r="AX460" s="796">
        <f t="shared" si="245"/>
        <v>0</v>
      </c>
      <c r="AY460" s="1026">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1"/>
      <c r="B461" s="1099"/>
      <c r="C461" s="1099"/>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6">
        <f t="shared" si="243"/>
        <v>0</v>
      </c>
      <c r="AW461" s="796">
        <f t="shared" si="244"/>
        <v>0</v>
      </c>
      <c r="AX461" s="796">
        <f t="shared" si="245"/>
        <v>0</v>
      </c>
      <c r="AY461" s="1026">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1"/>
      <c r="B462" s="1099"/>
      <c r="C462" s="1099"/>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6">
        <f t="shared" si="243"/>
        <v>0</v>
      </c>
      <c r="AW462" s="796">
        <f t="shared" si="244"/>
        <v>0</v>
      </c>
      <c r="AX462" s="796">
        <f t="shared" si="245"/>
        <v>0</v>
      </c>
      <c r="AY462" s="1026">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1"/>
      <c r="B463" s="1099"/>
      <c r="C463" s="1099"/>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6">
        <f t="shared" si="243"/>
        <v>0</v>
      </c>
      <c r="AW463" s="796">
        <f t="shared" si="244"/>
        <v>0</v>
      </c>
      <c r="AX463" s="796">
        <f t="shared" si="245"/>
        <v>0</v>
      </c>
      <c r="AY463" s="1026">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1"/>
      <c r="B464" s="1099"/>
      <c r="C464" s="1099"/>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6">
        <f t="shared" si="243"/>
        <v>0</v>
      </c>
      <c r="AW464" s="796">
        <f t="shared" si="244"/>
        <v>0</v>
      </c>
      <c r="AX464" s="796">
        <f t="shared" si="245"/>
        <v>0</v>
      </c>
      <c r="AY464" s="1026">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1"/>
      <c r="B465" s="1099"/>
      <c r="C465" s="1099"/>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6">
        <f t="shared" si="243"/>
        <v>0</v>
      </c>
      <c r="AW465" s="796">
        <f t="shared" si="244"/>
        <v>0</v>
      </c>
      <c r="AX465" s="796">
        <f t="shared" si="245"/>
        <v>0</v>
      </c>
      <c r="AY465" s="1026">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1"/>
      <c r="B466" s="1099"/>
      <c r="C466" s="1099"/>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6">
        <f t="shared" si="243"/>
        <v>0</v>
      </c>
      <c r="AW466" s="796">
        <f t="shared" si="244"/>
        <v>0</v>
      </c>
      <c r="AX466" s="796">
        <f t="shared" si="245"/>
        <v>0</v>
      </c>
      <c r="AY466" s="1026">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1"/>
      <c r="B467" s="1099"/>
      <c r="C467" s="1099"/>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6">
        <f t="shared" si="243"/>
        <v>0</v>
      </c>
      <c r="AW467" s="796">
        <f t="shared" si="244"/>
        <v>0</v>
      </c>
      <c r="AX467" s="796">
        <f t="shared" si="245"/>
        <v>0</v>
      </c>
      <c r="AY467" s="1026">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1"/>
      <c r="B468" s="1099"/>
      <c r="C468" s="1099"/>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6">
        <f t="shared" si="243"/>
        <v>0</v>
      </c>
      <c r="AW468" s="796">
        <f t="shared" si="244"/>
        <v>0</v>
      </c>
      <c r="AX468" s="796">
        <f t="shared" si="245"/>
        <v>0</v>
      </c>
      <c r="AY468" s="1026">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1"/>
      <c r="B469" s="1099"/>
      <c r="C469" s="1099"/>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6">
        <f t="shared" si="243"/>
        <v>0</v>
      </c>
      <c r="AW469" s="796">
        <f t="shared" si="244"/>
        <v>0</v>
      </c>
      <c r="AX469" s="796">
        <f t="shared" si="245"/>
        <v>0</v>
      </c>
      <c r="AY469" s="1026">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1"/>
      <c r="B470" s="1099"/>
      <c r="C470" s="1099"/>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6">
        <f t="shared" si="243"/>
        <v>0</v>
      </c>
      <c r="AW470" s="796">
        <f t="shared" si="244"/>
        <v>0</v>
      </c>
      <c r="AX470" s="796">
        <f t="shared" si="245"/>
        <v>0</v>
      </c>
      <c r="AY470" s="1026">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1"/>
      <c r="B471" s="1099"/>
      <c r="C471" s="1099"/>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6">
        <f t="shared" si="243"/>
        <v>0</v>
      </c>
      <c r="AW471" s="796">
        <f t="shared" si="244"/>
        <v>0</v>
      </c>
      <c r="AX471" s="796">
        <f t="shared" si="245"/>
        <v>0</v>
      </c>
      <c r="AY471" s="1026">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1"/>
      <c r="B472" s="1099"/>
      <c r="C472" s="1099"/>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6">
        <f t="shared" si="243"/>
        <v>0</v>
      </c>
      <c r="AW472" s="796">
        <f t="shared" si="244"/>
        <v>0</v>
      </c>
      <c r="AX472" s="796">
        <f t="shared" si="245"/>
        <v>0</v>
      </c>
      <c r="AY472" s="1026">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1"/>
      <c r="B473" s="1099"/>
      <c r="C473" s="1099"/>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6">
        <f t="shared" si="243"/>
        <v>0</v>
      </c>
      <c r="AW473" s="796">
        <f t="shared" si="244"/>
        <v>0</v>
      </c>
      <c r="AX473" s="796">
        <f t="shared" si="245"/>
        <v>0</v>
      </c>
      <c r="AY473" s="1026">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1"/>
      <c r="B474" s="1099"/>
      <c r="C474" s="1099"/>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6">
        <f t="shared" si="243"/>
        <v>0</v>
      </c>
      <c r="AW474" s="796">
        <f t="shared" si="244"/>
        <v>0</v>
      </c>
      <c r="AX474" s="796">
        <f t="shared" si="245"/>
        <v>0</v>
      </c>
      <c r="AY474" s="1026">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1"/>
      <c r="B475" s="1099"/>
      <c r="C475" s="1099"/>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6">
        <f t="shared" si="243"/>
        <v>0</v>
      </c>
      <c r="AW475" s="796">
        <f t="shared" si="244"/>
        <v>0</v>
      </c>
      <c r="AX475" s="796">
        <f t="shared" si="245"/>
        <v>0</v>
      </c>
      <c r="AY475" s="1026">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1"/>
      <c r="B476" s="1099"/>
      <c r="C476" s="1099"/>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6">
        <f t="shared" si="243"/>
        <v>0</v>
      </c>
      <c r="AW476" s="796">
        <f t="shared" si="244"/>
        <v>0</v>
      </c>
      <c r="AX476" s="796">
        <f t="shared" si="245"/>
        <v>0</v>
      </c>
      <c r="AY476" s="1026">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1"/>
      <c r="B477" s="1099"/>
      <c r="C477" s="1099"/>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6">
        <f t="shared" si="243"/>
        <v>0</v>
      </c>
      <c r="AW477" s="796">
        <f t="shared" si="244"/>
        <v>0</v>
      </c>
      <c r="AX477" s="796">
        <f t="shared" si="245"/>
        <v>0</v>
      </c>
      <c r="AY477" s="1026">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1"/>
      <c r="B478" s="1099"/>
      <c r="C478" s="1099"/>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6">
        <f t="shared" si="243"/>
        <v>0</v>
      </c>
      <c r="AW478" s="796">
        <f t="shared" si="244"/>
        <v>0</v>
      </c>
      <c r="AX478" s="796">
        <f t="shared" si="245"/>
        <v>0</v>
      </c>
      <c r="AY478" s="1026">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1"/>
      <c r="B479" s="1099"/>
      <c r="C479" s="1099"/>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6">
        <f t="shared" si="243"/>
        <v>0</v>
      </c>
      <c r="AW479" s="796">
        <f t="shared" si="244"/>
        <v>0</v>
      </c>
      <c r="AX479" s="796">
        <f t="shared" si="245"/>
        <v>0</v>
      </c>
      <c r="AY479" s="1026">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1"/>
      <c r="B480" s="1099"/>
      <c r="C480" s="1099"/>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6">
        <f t="shared" si="243"/>
        <v>0</v>
      </c>
      <c r="AW480" s="796">
        <f t="shared" si="244"/>
        <v>0</v>
      </c>
      <c r="AX480" s="796">
        <f t="shared" si="245"/>
        <v>0</v>
      </c>
      <c r="AY480" s="1026">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1"/>
      <c r="B481" s="1099"/>
      <c r="C481" s="1099"/>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6">
        <f t="shared" si="243"/>
        <v>0</v>
      </c>
      <c r="AW481" s="796">
        <f t="shared" si="244"/>
        <v>0</v>
      </c>
      <c r="AX481" s="796">
        <f t="shared" si="245"/>
        <v>0</v>
      </c>
      <c r="AY481" s="1026">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1"/>
      <c r="B482" s="1099"/>
      <c r="C482" s="1099"/>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6">
        <f t="shared" si="243"/>
        <v>0</v>
      </c>
      <c r="AW482" s="796">
        <f t="shared" si="244"/>
        <v>0</v>
      </c>
      <c r="AX482" s="796">
        <f t="shared" si="245"/>
        <v>0</v>
      </c>
      <c r="AY482" s="1026">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1"/>
      <c r="B483" s="1099"/>
      <c r="C483" s="1099"/>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6">
        <f t="shared" si="243"/>
        <v>0</v>
      </c>
      <c r="AW483" s="796">
        <f t="shared" si="244"/>
        <v>0</v>
      </c>
      <c r="AX483" s="796">
        <f t="shared" si="245"/>
        <v>0</v>
      </c>
      <c r="AY483" s="1026">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1"/>
      <c r="B484" s="1099"/>
      <c r="C484" s="1099"/>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6">
        <f t="shared" si="243"/>
        <v>0</v>
      </c>
      <c r="AW484" s="796">
        <f t="shared" si="244"/>
        <v>0</v>
      </c>
      <c r="AX484" s="796">
        <f t="shared" si="245"/>
        <v>0</v>
      </c>
      <c r="AY484" s="1026">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1"/>
      <c r="B485" s="1099"/>
      <c r="C485" s="1099"/>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6">
        <f t="shared" si="243"/>
        <v>0</v>
      </c>
      <c r="AW485" s="796">
        <f t="shared" si="244"/>
        <v>0</v>
      </c>
      <c r="AX485" s="796">
        <f t="shared" si="245"/>
        <v>0</v>
      </c>
      <c r="AY485" s="1026">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1"/>
      <c r="B486" s="1099"/>
      <c r="C486" s="1099"/>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6">
        <f t="shared" si="243"/>
        <v>0</v>
      </c>
      <c r="AW486" s="796">
        <f t="shared" si="244"/>
        <v>0</v>
      </c>
      <c r="AX486" s="796">
        <f t="shared" si="245"/>
        <v>0</v>
      </c>
      <c r="AY486" s="1026">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1"/>
      <c r="B487" s="1099"/>
      <c r="C487" s="1099"/>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6">
        <f t="shared" si="243"/>
        <v>0</v>
      </c>
      <c r="AW487" s="796">
        <f t="shared" si="244"/>
        <v>0</v>
      </c>
      <c r="AX487" s="796">
        <f t="shared" si="245"/>
        <v>0</v>
      </c>
      <c r="AY487" s="1026">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1"/>
      <c r="B488" s="1099"/>
      <c r="C488" s="1099"/>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6">
        <f t="shared" si="243"/>
        <v>0</v>
      </c>
      <c r="AW488" s="796">
        <f t="shared" si="244"/>
        <v>0</v>
      </c>
      <c r="AX488" s="796">
        <f t="shared" si="245"/>
        <v>0</v>
      </c>
      <c r="AY488" s="1026">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1"/>
      <c r="B489" s="1099"/>
      <c r="C489" s="1099"/>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6">
        <f t="shared" si="243"/>
        <v>0</v>
      </c>
      <c r="AW489" s="796">
        <f t="shared" si="244"/>
        <v>0</v>
      </c>
      <c r="AX489" s="796">
        <f t="shared" si="245"/>
        <v>0</v>
      </c>
      <c r="AY489" s="1026">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1"/>
      <c r="B490" s="1091"/>
      <c r="C490" s="1091"/>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4"/>
      <c r="AV490" s="796">
        <f t="shared" si="243"/>
        <v>0</v>
      </c>
      <c r="AW490" s="796">
        <f t="shared" si="244"/>
        <v>0</v>
      </c>
      <c r="AX490" s="796">
        <f t="shared" si="245"/>
        <v>0</v>
      </c>
      <c r="AY490" s="1026">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1"/>
      <c r="B491" s="1091"/>
      <c r="C491" s="1091"/>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4"/>
      <c r="AV491" s="796">
        <f t="shared" si="243"/>
        <v>0</v>
      </c>
      <c r="AW491" s="796">
        <f t="shared" si="244"/>
        <v>0</v>
      </c>
      <c r="AX491" s="796">
        <f t="shared" si="245"/>
        <v>0</v>
      </c>
      <c r="AY491" s="1026">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1"/>
      <c r="B492" s="1091"/>
      <c r="C492" s="1091"/>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4"/>
      <c r="AV492" s="796">
        <f t="shared" si="243"/>
        <v>0</v>
      </c>
      <c r="AW492" s="796">
        <f t="shared" si="244"/>
        <v>0</v>
      </c>
      <c r="AX492" s="796">
        <f t="shared" si="245"/>
        <v>0</v>
      </c>
      <c r="AY492" s="1026">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1"/>
      <c r="B493" s="1099"/>
      <c r="C493" s="1099"/>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6">
        <f t="shared" ref="AV493:AV520" si="294">A493</f>
        <v>0</v>
      </c>
      <c r="AW493" s="796">
        <f t="shared" ref="AW493:AW520" si="295">B493</f>
        <v>0</v>
      </c>
      <c r="AX493" s="796">
        <f t="shared" ref="AX493:AX520" si="296">C493</f>
        <v>0</v>
      </c>
      <c r="AY493" s="1026">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1"/>
      <c r="B494" s="1099"/>
      <c r="C494" s="1099"/>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6">
        <f t="shared" si="294"/>
        <v>0</v>
      </c>
      <c r="AW494" s="796">
        <f t="shared" si="295"/>
        <v>0</v>
      </c>
      <c r="AX494" s="796">
        <f t="shared" si="296"/>
        <v>0</v>
      </c>
      <c r="AY494" s="1026">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1"/>
      <c r="B495" s="1099"/>
      <c r="C495" s="1099"/>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6">
        <f t="shared" si="294"/>
        <v>0</v>
      </c>
      <c r="AW495" s="796">
        <f t="shared" si="295"/>
        <v>0</v>
      </c>
      <c r="AX495" s="796">
        <f t="shared" si="296"/>
        <v>0</v>
      </c>
      <c r="AY495" s="1026">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1"/>
      <c r="B496" s="1099"/>
      <c r="C496" s="1099"/>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6">
        <f t="shared" si="294"/>
        <v>0</v>
      </c>
      <c r="AW496" s="796">
        <f t="shared" si="295"/>
        <v>0</v>
      </c>
      <c r="AX496" s="796">
        <f t="shared" si="296"/>
        <v>0</v>
      </c>
      <c r="AY496" s="1026">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1"/>
      <c r="B497" s="1099"/>
      <c r="C497" s="1099"/>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6">
        <f t="shared" si="294"/>
        <v>0</v>
      </c>
      <c r="AW497" s="796">
        <f t="shared" si="295"/>
        <v>0</v>
      </c>
      <c r="AX497" s="796">
        <f t="shared" si="296"/>
        <v>0</v>
      </c>
      <c r="AY497" s="1026">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1"/>
      <c r="B498" s="1099"/>
      <c r="C498" s="1099"/>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6">
        <f t="shared" si="294"/>
        <v>0</v>
      </c>
      <c r="AW498" s="796">
        <f t="shared" si="295"/>
        <v>0</v>
      </c>
      <c r="AX498" s="796">
        <f t="shared" si="296"/>
        <v>0</v>
      </c>
      <c r="AY498" s="1026">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1"/>
      <c r="B499" s="1099"/>
      <c r="C499" s="1099"/>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6">
        <f t="shared" si="294"/>
        <v>0</v>
      </c>
      <c r="AW499" s="796">
        <f t="shared" si="295"/>
        <v>0</v>
      </c>
      <c r="AX499" s="796">
        <f t="shared" si="296"/>
        <v>0</v>
      </c>
      <c r="AY499" s="1026">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1"/>
      <c r="B500" s="1099"/>
      <c r="C500" s="1099"/>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6">
        <f t="shared" si="294"/>
        <v>0</v>
      </c>
      <c r="AW500" s="796">
        <f t="shared" si="295"/>
        <v>0</v>
      </c>
      <c r="AX500" s="796">
        <f t="shared" si="296"/>
        <v>0</v>
      </c>
      <c r="AY500" s="1026">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1"/>
      <c r="B501" s="1099"/>
      <c r="C501" s="1099"/>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6">
        <f t="shared" si="294"/>
        <v>0</v>
      </c>
      <c r="AW501" s="796">
        <f t="shared" si="295"/>
        <v>0</v>
      </c>
      <c r="AX501" s="796">
        <f t="shared" si="296"/>
        <v>0</v>
      </c>
      <c r="AY501" s="1026">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1"/>
      <c r="B502" s="1099"/>
      <c r="C502" s="1099"/>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6">
        <f t="shared" si="294"/>
        <v>0</v>
      </c>
      <c r="AW502" s="796">
        <f t="shared" si="295"/>
        <v>0</v>
      </c>
      <c r="AX502" s="796">
        <f t="shared" si="296"/>
        <v>0</v>
      </c>
      <c r="AY502" s="1026">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1"/>
      <c r="B503" s="1099"/>
      <c r="C503" s="1099"/>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6">
        <f t="shared" si="294"/>
        <v>0</v>
      </c>
      <c r="AW503" s="796">
        <f t="shared" si="295"/>
        <v>0</v>
      </c>
      <c r="AX503" s="796">
        <f t="shared" si="296"/>
        <v>0</v>
      </c>
      <c r="AY503" s="1026">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1"/>
      <c r="B504" s="1099"/>
      <c r="C504" s="1099"/>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6">
        <f t="shared" si="294"/>
        <v>0</v>
      </c>
      <c r="AW504" s="796">
        <f t="shared" si="295"/>
        <v>0</v>
      </c>
      <c r="AX504" s="796">
        <f t="shared" si="296"/>
        <v>0</v>
      </c>
      <c r="AY504" s="1026">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1"/>
      <c r="B505" s="1099"/>
      <c r="C505" s="1099"/>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6">
        <f t="shared" si="294"/>
        <v>0</v>
      </c>
      <c r="AW505" s="796">
        <f t="shared" si="295"/>
        <v>0</v>
      </c>
      <c r="AX505" s="796">
        <f t="shared" si="296"/>
        <v>0</v>
      </c>
      <c r="AY505" s="1026">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1"/>
      <c r="B506" s="1099"/>
      <c r="C506" s="1099"/>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6">
        <f t="shared" si="294"/>
        <v>0</v>
      </c>
      <c r="AW506" s="796">
        <f t="shared" si="295"/>
        <v>0</v>
      </c>
      <c r="AX506" s="796">
        <f t="shared" si="296"/>
        <v>0</v>
      </c>
      <c r="AY506" s="1026">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1"/>
      <c r="B507" s="1099"/>
      <c r="C507" s="1099"/>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6">
        <f t="shared" si="294"/>
        <v>0</v>
      </c>
      <c r="AW507" s="796">
        <f t="shared" si="295"/>
        <v>0</v>
      </c>
      <c r="AX507" s="796">
        <f t="shared" si="296"/>
        <v>0</v>
      </c>
      <c r="AY507" s="1026">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1"/>
      <c r="B508" s="1099"/>
      <c r="C508" s="1099"/>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6">
        <f t="shared" si="294"/>
        <v>0</v>
      </c>
      <c r="AW508" s="796">
        <f t="shared" si="295"/>
        <v>0</v>
      </c>
      <c r="AX508" s="796">
        <f t="shared" si="296"/>
        <v>0</v>
      </c>
      <c r="AY508" s="1026">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1"/>
      <c r="B509" s="1099"/>
      <c r="C509" s="1099"/>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6">
        <f t="shared" si="294"/>
        <v>0</v>
      </c>
      <c r="AW509" s="796">
        <f t="shared" si="295"/>
        <v>0</v>
      </c>
      <c r="AX509" s="796">
        <f t="shared" si="296"/>
        <v>0</v>
      </c>
      <c r="AY509" s="1026">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1"/>
      <c r="B510" s="1099"/>
      <c r="C510" s="1099"/>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6">
        <f t="shared" si="294"/>
        <v>0</v>
      </c>
      <c r="AW510" s="796">
        <f t="shared" si="295"/>
        <v>0</v>
      </c>
      <c r="AX510" s="796">
        <f t="shared" si="296"/>
        <v>0</v>
      </c>
      <c r="AY510" s="1026">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1"/>
      <c r="B511" s="1099"/>
      <c r="C511" s="1099"/>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6">
        <f t="shared" si="294"/>
        <v>0</v>
      </c>
      <c r="AW511" s="796">
        <f t="shared" si="295"/>
        <v>0</v>
      </c>
      <c r="AX511" s="796">
        <f t="shared" si="296"/>
        <v>0</v>
      </c>
      <c r="AY511" s="1026">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1"/>
      <c r="B512" s="1099"/>
      <c r="C512" s="1099"/>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6">
        <f t="shared" si="294"/>
        <v>0</v>
      </c>
      <c r="AW512" s="796">
        <f t="shared" si="295"/>
        <v>0</v>
      </c>
      <c r="AX512" s="796">
        <f t="shared" si="296"/>
        <v>0</v>
      </c>
      <c r="AY512" s="1026">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1"/>
      <c r="B513" s="1099"/>
      <c r="C513" s="1099"/>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6">
        <f t="shared" si="294"/>
        <v>0</v>
      </c>
      <c r="AW513" s="796">
        <f t="shared" si="295"/>
        <v>0</v>
      </c>
      <c r="AX513" s="796">
        <f t="shared" si="296"/>
        <v>0</v>
      </c>
      <c r="AY513" s="1026">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1"/>
      <c r="B514" s="1099"/>
      <c r="C514" s="1099"/>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6">
        <f t="shared" si="294"/>
        <v>0</v>
      </c>
      <c r="AW514" s="796">
        <f t="shared" si="295"/>
        <v>0</v>
      </c>
      <c r="AX514" s="796">
        <f t="shared" si="296"/>
        <v>0</v>
      </c>
      <c r="AY514" s="1026">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1"/>
      <c r="B515" s="1099"/>
      <c r="C515" s="1099"/>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6">
        <f t="shared" si="294"/>
        <v>0</v>
      </c>
      <c r="AW515" s="796">
        <f t="shared" si="295"/>
        <v>0</v>
      </c>
      <c r="AX515" s="796">
        <f t="shared" si="296"/>
        <v>0</v>
      </c>
      <c r="AY515" s="1026">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1"/>
      <c r="B516" s="1099"/>
      <c r="C516" s="1099"/>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6">
        <f t="shared" si="294"/>
        <v>0</v>
      </c>
      <c r="AW516" s="796">
        <f t="shared" si="295"/>
        <v>0</v>
      </c>
      <c r="AX516" s="796">
        <f t="shared" si="296"/>
        <v>0</v>
      </c>
      <c r="AY516" s="1026">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1"/>
      <c r="B517" s="1099"/>
      <c r="C517" s="1099"/>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6">
        <f t="shared" si="294"/>
        <v>0</v>
      </c>
      <c r="AW517" s="796">
        <f t="shared" si="295"/>
        <v>0</v>
      </c>
      <c r="AX517" s="796">
        <f t="shared" si="296"/>
        <v>0</v>
      </c>
      <c r="AY517" s="1026">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1"/>
      <c r="B518" s="1099"/>
      <c r="C518" s="1099"/>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6">
        <f t="shared" si="294"/>
        <v>0</v>
      </c>
      <c r="AW518" s="796">
        <f t="shared" si="295"/>
        <v>0</v>
      </c>
      <c r="AX518" s="796">
        <f t="shared" si="296"/>
        <v>0</v>
      </c>
      <c r="AY518" s="1026">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1"/>
      <c r="B519" s="1099"/>
      <c r="C519" s="1099"/>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6">
        <f t="shared" si="294"/>
        <v>0</v>
      </c>
      <c r="AW519" s="796">
        <f t="shared" si="295"/>
        <v>0</v>
      </c>
      <c r="AX519" s="796">
        <f t="shared" si="296"/>
        <v>0</v>
      </c>
      <c r="AY519" s="1026">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1"/>
      <c r="B520" s="1099"/>
      <c r="C520" s="1099"/>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6">
        <f t="shared" si="294"/>
        <v>0</v>
      </c>
      <c r="AW520" s="796">
        <f t="shared" si="295"/>
        <v>0</v>
      </c>
      <c r="AX520" s="796">
        <f t="shared" si="296"/>
        <v>0</v>
      </c>
      <c r="AY520" s="1026">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1"/>
      <c r="B521" s="1099"/>
      <c r="C521" s="1099"/>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6">
        <f t="shared" ref="AV521:AV552" si="298">A521</f>
        <v>0</v>
      </c>
      <c r="AW521" s="796">
        <f t="shared" ref="AW521:AW552" si="299">B521</f>
        <v>0</v>
      </c>
      <c r="AX521" s="796">
        <f t="shared" ref="AX521:AX552" si="300">C521</f>
        <v>0</v>
      </c>
      <c r="AY521" s="1026">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1"/>
      <c r="B522" s="1099"/>
      <c r="C522" s="1099"/>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6">
        <f t="shared" si="298"/>
        <v>0</v>
      </c>
      <c r="AW522" s="796">
        <f t="shared" si="299"/>
        <v>0</v>
      </c>
      <c r="AX522" s="796">
        <f t="shared" si="300"/>
        <v>0</v>
      </c>
      <c r="AY522" s="1026">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1"/>
      <c r="B523" s="1099"/>
      <c r="C523" s="1099"/>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6">
        <f t="shared" si="298"/>
        <v>0</v>
      </c>
      <c r="AW523" s="796">
        <f t="shared" si="299"/>
        <v>0</v>
      </c>
      <c r="AX523" s="796">
        <f t="shared" si="300"/>
        <v>0</v>
      </c>
      <c r="AY523" s="1026">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1"/>
      <c r="B524" s="1099"/>
      <c r="C524" s="1099"/>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6">
        <f t="shared" si="298"/>
        <v>0</v>
      </c>
      <c r="AW524" s="796">
        <f t="shared" si="299"/>
        <v>0</v>
      </c>
      <c r="AX524" s="796">
        <f t="shared" si="300"/>
        <v>0</v>
      </c>
      <c r="AY524" s="1026">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1"/>
      <c r="B525" s="1099"/>
      <c r="C525" s="1099"/>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6">
        <f t="shared" si="298"/>
        <v>0</v>
      </c>
      <c r="AW525" s="796">
        <f t="shared" si="299"/>
        <v>0</v>
      </c>
      <c r="AX525" s="796">
        <f t="shared" si="300"/>
        <v>0</v>
      </c>
      <c r="AY525" s="1026">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1"/>
      <c r="B526" s="1099"/>
      <c r="C526" s="1099"/>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6">
        <f t="shared" si="298"/>
        <v>0</v>
      </c>
      <c r="AW526" s="796">
        <f t="shared" si="299"/>
        <v>0</v>
      </c>
      <c r="AX526" s="796">
        <f t="shared" si="300"/>
        <v>0</v>
      </c>
      <c r="AY526" s="1026">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1"/>
      <c r="B527" s="1099"/>
      <c r="C527" s="1099"/>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6">
        <f t="shared" si="298"/>
        <v>0</v>
      </c>
      <c r="AW527" s="796">
        <f t="shared" si="299"/>
        <v>0</v>
      </c>
      <c r="AX527" s="796">
        <f t="shared" si="300"/>
        <v>0</v>
      </c>
      <c r="AY527" s="1026">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1"/>
      <c r="B528" s="1099"/>
      <c r="C528" s="1099"/>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6">
        <f t="shared" si="298"/>
        <v>0</v>
      </c>
      <c r="AW528" s="796">
        <f t="shared" si="299"/>
        <v>0</v>
      </c>
      <c r="AX528" s="796">
        <f t="shared" si="300"/>
        <v>0</v>
      </c>
      <c r="AY528" s="1026">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1"/>
      <c r="B529" s="1099"/>
      <c r="C529" s="1099"/>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6">
        <f t="shared" si="298"/>
        <v>0</v>
      </c>
      <c r="AW529" s="796">
        <f t="shared" si="299"/>
        <v>0</v>
      </c>
      <c r="AX529" s="796">
        <f t="shared" si="300"/>
        <v>0</v>
      </c>
      <c r="AY529" s="1026">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1"/>
      <c r="B530" s="1099"/>
      <c r="C530" s="1099"/>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6">
        <f t="shared" si="298"/>
        <v>0</v>
      </c>
      <c r="AW530" s="796">
        <f t="shared" si="299"/>
        <v>0</v>
      </c>
      <c r="AX530" s="796">
        <f t="shared" si="300"/>
        <v>0</v>
      </c>
      <c r="AY530" s="1026">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1"/>
      <c r="B531" s="1099"/>
      <c r="C531" s="1099"/>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6">
        <f t="shared" si="298"/>
        <v>0</v>
      </c>
      <c r="AW531" s="796">
        <f t="shared" si="299"/>
        <v>0</v>
      </c>
      <c r="AX531" s="796">
        <f t="shared" si="300"/>
        <v>0</v>
      </c>
      <c r="AY531" s="1026">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1"/>
      <c r="B532" s="1099"/>
      <c r="C532" s="1099"/>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6">
        <f t="shared" si="298"/>
        <v>0</v>
      </c>
      <c r="AW532" s="796">
        <f t="shared" si="299"/>
        <v>0</v>
      </c>
      <c r="AX532" s="796">
        <f t="shared" si="300"/>
        <v>0</v>
      </c>
      <c r="AY532" s="1026">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1"/>
      <c r="B533" s="1099"/>
      <c r="C533" s="1099"/>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6">
        <f t="shared" si="298"/>
        <v>0</v>
      </c>
      <c r="AW533" s="796">
        <f t="shared" si="299"/>
        <v>0</v>
      </c>
      <c r="AX533" s="796">
        <f t="shared" si="300"/>
        <v>0</v>
      </c>
      <c r="AY533" s="1026">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1"/>
      <c r="B534" s="1099"/>
      <c r="C534" s="1099"/>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6">
        <f t="shared" si="298"/>
        <v>0</v>
      </c>
      <c r="AW534" s="796">
        <f t="shared" si="299"/>
        <v>0</v>
      </c>
      <c r="AX534" s="796">
        <f t="shared" si="300"/>
        <v>0</v>
      </c>
      <c r="AY534" s="1026">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1"/>
      <c r="B535" s="1099"/>
      <c r="C535" s="1099"/>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6">
        <f t="shared" si="298"/>
        <v>0</v>
      </c>
      <c r="AW535" s="796">
        <f t="shared" si="299"/>
        <v>0</v>
      </c>
      <c r="AX535" s="796">
        <f t="shared" si="300"/>
        <v>0</v>
      </c>
      <c r="AY535" s="1026">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1"/>
      <c r="B536" s="1099"/>
      <c r="C536" s="1099"/>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6">
        <f t="shared" si="298"/>
        <v>0</v>
      </c>
      <c r="AW536" s="796">
        <f t="shared" si="299"/>
        <v>0</v>
      </c>
      <c r="AX536" s="796">
        <f t="shared" si="300"/>
        <v>0</v>
      </c>
      <c r="AY536" s="1026">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1"/>
      <c r="B537" s="1099"/>
      <c r="C537" s="1099"/>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6">
        <f t="shared" si="298"/>
        <v>0</v>
      </c>
      <c r="AW537" s="796">
        <f t="shared" si="299"/>
        <v>0</v>
      </c>
      <c r="AX537" s="796">
        <f t="shared" si="300"/>
        <v>0</v>
      </c>
      <c r="AY537" s="1026">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1"/>
      <c r="B538" s="1099"/>
      <c r="C538" s="1099"/>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6">
        <f t="shared" si="298"/>
        <v>0</v>
      </c>
      <c r="AW538" s="796">
        <f t="shared" si="299"/>
        <v>0</v>
      </c>
      <c r="AX538" s="796">
        <f t="shared" si="300"/>
        <v>0</v>
      </c>
      <c r="AY538" s="1026">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1"/>
      <c r="B539" s="1099"/>
      <c r="C539" s="1099"/>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6">
        <f t="shared" si="298"/>
        <v>0</v>
      </c>
      <c r="AW539" s="796">
        <f t="shared" si="299"/>
        <v>0</v>
      </c>
      <c r="AX539" s="796">
        <f t="shared" si="300"/>
        <v>0</v>
      </c>
      <c r="AY539" s="1026">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1"/>
      <c r="B540" s="1099"/>
      <c r="C540" s="1099"/>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6">
        <f t="shared" si="298"/>
        <v>0</v>
      </c>
      <c r="AW540" s="796">
        <f t="shared" si="299"/>
        <v>0</v>
      </c>
      <c r="AX540" s="796">
        <f t="shared" si="300"/>
        <v>0</v>
      </c>
      <c r="AY540" s="1026">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1"/>
      <c r="B541" s="1099"/>
      <c r="C541" s="1099"/>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6">
        <f t="shared" si="298"/>
        <v>0</v>
      </c>
      <c r="AW541" s="796">
        <f t="shared" si="299"/>
        <v>0</v>
      </c>
      <c r="AX541" s="796">
        <f t="shared" si="300"/>
        <v>0</v>
      </c>
      <c r="AY541" s="1026">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1"/>
      <c r="B542" s="1099"/>
      <c r="C542" s="1099"/>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6">
        <f t="shared" si="298"/>
        <v>0</v>
      </c>
      <c r="AW542" s="796">
        <f t="shared" si="299"/>
        <v>0</v>
      </c>
      <c r="AX542" s="796">
        <f t="shared" si="300"/>
        <v>0</v>
      </c>
      <c r="AY542" s="1026">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1"/>
      <c r="B543" s="1099"/>
      <c r="C543" s="1099"/>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6">
        <f t="shared" si="298"/>
        <v>0</v>
      </c>
      <c r="AW543" s="796">
        <f t="shared" si="299"/>
        <v>0</v>
      </c>
      <c r="AX543" s="796">
        <f t="shared" si="300"/>
        <v>0</v>
      </c>
      <c r="AY543" s="1026">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1"/>
      <c r="B544" s="1099"/>
      <c r="C544" s="1099"/>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6">
        <f t="shared" si="298"/>
        <v>0</v>
      </c>
      <c r="AW544" s="796">
        <f t="shared" si="299"/>
        <v>0</v>
      </c>
      <c r="AX544" s="796">
        <f t="shared" si="300"/>
        <v>0</v>
      </c>
      <c r="AY544" s="1026">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1"/>
      <c r="B545" s="1099"/>
      <c r="C545" s="1099"/>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6">
        <f t="shared" si="298"/>
        <v>0</v>
      </c>
      <c r="AW545" s="796">
        <f t="shared" si="299"/>
        <v>0</v>
      </c>
      <c r="AX545" s="796">
        <f t="shared" si="300"/>
        <v>0</v>
      </c>
      <c r="AY545" s="1026">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1"/>
      <c r="B546" s="1099"/>
      <c r="C546" s="1099"/>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6">
        <f t="shared" si="298"/>
        <v>0</v>
      </c>
      <c r="AW546" s="796">
        <f t="shared" si="299"/>
        <v>0</v>
      </c>
      <c r="AX546" s="796">
        <f t="shared" si="300"/>
        <v>0</v>
      </c>
      <c r="AY546" s="1026">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1"/>
      <c r="B547" s="1099"/>
      <c r="C547" s="1099"/>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6">
        <f t="shared" si="298"/>
        <v>0</v>
      </c>
      <c r="AW547" s="796">
        <f t="shared" si="299"/>
        <v>0</v>
      </c>
      <c r="AX547" s="796">
        <f t="shared" si="300"/>
        <v>0</v>
      </c>
      <c r="AY547" s="1026">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1"/>
      <c r="B548" s="1099"/>
      <c r="C548" s="1099"/>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6">
        <f t="shared" si="298"/>
        <v>0</v>
      </c>
      <c r="AW548" s="796">
        <f t="shared" si="299"/>
        <v>0</v>
      </c>
      <c r="AX548" s="796">
        <f t="shared" si="300"/>
        <v>0</v>
      </c>
      <c r="AY548" s="1026">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1"/>
      <c r="B549" s="1099"/>
      <c r="C549" s="1099"/>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6">
        <f t="shared" si="298"/>
        <v>0</v>
      </c>
      <c r="AW549" s="796">
        <f t="shared" si="299"/>
        <v>0</v>
      </c>
      <c r="AX549" s="796">
        <f t="shared" si="300"/>
        <v>0</v>
      </c>
      <c r="AY549" s="1026">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1"/>
      <c r="B550" s="1099"/>
      <c r="C550" s="1099"/>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6">
        <f t="shared" si="298"/>
        <v>0</v>
      </c>
      <c r="AW550" s="796">
        <f t="shared" si="299"/>
        <v>0</v>
      </c>
      <c r="AX550" s="796">
        <f t="shared" si="300"/>
        <v>0</v>
      </c>
      <c r="AY550" s="1026">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1"/>
      <c r="B551" s="1099"/>
      <c r="C551" s="1099"/>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6">
        <f t="shared" si="298"/>
        <v>0</v>
      </c>
      <c r="AW551" s="796">
        <f t="shared" si="299"/>
        <v>0</v>
      </c>
      <c r="AX551" s="796">
        <f t="shared" si="300"/>
        <v>0</v>
      </c>
      <c r="AY551" s="1026">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1"/>
      <c r="B552" s="1099"/>
      <c r="C552" s="1099"/>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6">
        <f t="shared" si="298"/>
        <v>0</v>
      </c>
      <c r="AW552" s="796">
        <f t="shared" si="299"/>
        <v>0</v>
      </c>
      <c r="AX552" s="796">
        <f t="shared" si="300"/>
        <v>0</v>
      </c>
      <c r="AY552" s="1026">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1"/>
      <c r="B553" s="1099"/>
      <c r="C553" s="1099"/>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6">
        <f t="shared" ref="AV553:AV587" si="330">A553</f>
        <v>0</v>
      </c>
      <c r="AW553" s="796">
        <f t="shared" ref="AW553:AW587" si="331">B553</f>
        <v>0</v>
      </c>
      <c r="AX553" s="796">
        <f t="shared" ref="AX553:AX587" si="332">C553</f>
        <v>0</v>
      </c>
      <c r="AY553" s="1026">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1"/>
      <c r="B554" s="1099"/>
      <c r="C554" s="1099"/>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6">
        <f t="shared" si="330"/>
        <v>0</v>
      </c>
      <c r="AW554" s="796">
        <f t="shared" si="331"/>
        <v>0</v>
      </c>
      <c r="AX554" s="796">
        <f t="shared" si="332"/>
        <v>0</v>
      </c>
      <c r="AY554" s="1026">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1"/>
      <c r="B555" s="1099"/>
      <c r="C555" s="1099"/>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6">
        <f t="shared" si="330"/>
        <v>0</v>
      </c>
      <c r="AW555" s="796">
        <f t="shared" si="331"/>
        <v>0</v>
      </c>
      <c r="AX555" s="796">
        <f t="shared" si="332"/>
        <v>0</v>
      </c>
      <c r="AY555" s="1026">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1"/>
      <c r="B556" s="1099"/>
      <c r="C556" s="1099"/>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6">
        <f t="shared" si="330"/>
        <v>0</v>
      </c>
      <c r="AW556" s="796">
        <f t="shared" si="331"/>
        <v>0</v>
      </c>
      <c r="AX556" s="796">
        <f t="shared" si="332"/>
        <v>0</v>
      </c>
      <c r="AY556" s="1026">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1"/>
      <c r="B557" s="1099"/>
      <c r="C557" s="1099"/>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6">
        <f t="shared" si="330"/>
        <v>0</v>
      </c>
      <c r="AW557" s="796">
        <f t="shared" si="331"/>
        <v>0</v>
      </c>
      <c r="AX557" s="796">
        <f t="shared" si="332"/>
        <v>0</v>
      </c>
      <c r="AY557" s="1026">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1"/>
      <c r="B558" s="1099"/>
      <c r="C558" s="1099"/>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6">
        <f t="shared" si="330"/>
        <v>0</v>
      </c>
      <c r="AW558" s="796">
        <f t="shared" si="331"/>
        <v>0</v>
      </c>
      <c r="AX558" s="796">
        <f t="shared" si="332"/>
        <v>0</v>
      </c>
      <c r="AY558" s="1026">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1"/>
      <c r="B559" s="1099"/>
      <c r="C559" s="1099"/>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6">
        <f t="shared" si="330"/>
        <v>0</v>
      </c>
      <c r="AW559" s="796">
        <f t="shared" si="331"/>
        <v>0</v>
      </c>
      <c r="AX559" s="796">
        <f t="shared" si="332"/>
        <v>0</v>
      </c>
      <c r="AY559" s="1026">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1"/>
      <c r="B560" s="1099"/>
      <c r="C560" s="1099"/>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6">
        <f t="shared" si="330"/>
        <v>0</v>
      </c>
      <c r="AW560" s="796">
        <f t="shared" si="331"/>
        <v>0</v>
      </c>
      <c r="AX560" s="796">
        <f t="shared" si="332"/>
        <v>0</v>
      </c>
      <c r="AY560" s="1026">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1"/>
      <c r="B561" s="1099"/>
      <c r="C561" s="1099"/>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6">
        <f t="shared" si="330"/>
        <v>0</v>
      </c>
      <c r="AW561" s="796">
        <f t="shared" si="331"/>
        <v>0</v>
      </c>
      <c r="AX561" s="796">
        <f t="shared" si="332"/>
        <v>0</v>
      </c>
      <c r="AY561" s="1026">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1"/>
      <c r="B562" s="1099"/>
      <c r="C562" s="1099"/>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6">
        <f t="shared" si="330"/>
        <v>0</v>
      </c>
      <c r="AW562" s="796">
        <f t="shared" si="331"/>
        <v>0</v>
      </c>
      <c r="AX562" s="796">
        <f t="shared" si="332"/>
        <v>0</v>
      </c>
      <c r="AY562" s="1026">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1"/>
      <c r="B563" s="1099"/>
      <c r="C563" s="1099"/>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6">
        <f t="shared" si="330"/>
        <v>0</v>
      </c>
      <c r="AW563" s="796">
        <f t="shared" si="331"/>
        <v>0</v>
      </c>
      <c r="AX563" s="796">
        <f t="shared" si="332"/>
        <v>0</v>
      </c>
      <c r="AY563" s="1026">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1"/>
      <c r="B564" s="1099"/>
      <c r="C564" s="1099"/>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6">
        <f t="shared" si="330"/>
        <v>0</v>
      </c>
      <c r="AW564" s="796">
        <f t="shared" si="331"/>
        <v>0</v>
      </c>
      <c r="AX564" s="796">
        <f t="shared" si="332"/>
        <v>0</v>
      </c>
      <c r="AY564" s="1026">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1"/>
      <c r="B565" s="1099"/>
      <c r="C565" s="1099"/>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6">
        <f t="shared" si="330"/>
        <v>0</v>
      </c>
      <c r="AW565" s="796">
        <f t="shared" si="331"/>
        <v>0</v>
      </c>
      <c r="AX565" s="796">
        <f t="shared" si="332"/>
        <v>0</v>
      </c>
      <c r="AY565" s="1026">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1"/>
      <c r="B566" s="1099"/>
      <c r="C566" s="1099"/>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6">
        <f t="shared" si="330"/>
        <v>0</v>
      </c>
      <c r="AW566" s="796">
        <f t="shared" si="331"/>
        <v>0</v>
      </c>
      <c r="AX566" s="796">
        <f t="shared" si="332"/>
        <v>0</v>
      </c>
      <c r="AY566" s="1026">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1"/>
      <c r="B567" s="1099"/>
      <c r="C567" s="1099"/>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6">
        <f t="shared" si="330"/>
        <v>0</v>
      </c>
      <c r="AW567" s="796">
        <f t="shared" si="331"/>
        <v>0</v>
      </c>
      <c r="AX567" s="796">
        <f t="shared" si="332"/>
        <v>0</v>
      </c>
      <c r="AY567" s="1026">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1"/>
      <c r="B568" s="1099"/>
      <c r="C568" s="1099"/>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6">
        <f t="shared" si="330"/>
        <v>0</v>
      </c>
      <c r="AW568" s="796">
        <f t="shared" si="331"/>
        <v>0</v>
      </c>
      <c r="AX568" s="796">
        <f t="shared" si="332"/>
        <v>0</v>
      </c>
      <c r="AY568" s="1026">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1"/>
      <c r="B569" s="1099"/>
      <c r="C569" s="1099"/>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6">
        <f t="shared" si="330"/>
        <v>0</v>
      </c>
      <c r="AW569" s="796">
        <f t="shared" si="331"/>
        <v>0</v>
      </c>
      <c r="AX569" s="796">
        <f t="shared" si="332"/>
        <v>0</v>
      </c>
      <c r="AY569" s="1026">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1"/>
      <c r="B570" s="1099"/>
      <c r="C570" s="1099"/>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6">
        <f t="shared" si="330"/>
        <v>0</v>
      </c>
      <c r="AW570" s="796">
        <f t="shared" si="331"/>
        <v>0</v>
      </c>
      <c r="AX570" s="796">
        <f t="shared" si="332"/>
        <v>0</v>
      </c>
      <c r="AY570" s="1026">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1"/>
      <c r="B571" s="1099"/>
      <c r="C571" s="1099"/>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6">
        <f t="shared" si="330"/>
        <v>0</v>
      </c>
      <c r="AW571" s="796">
        <f t="shared" si="331"/>
        <v>0</v>
      </c>
      <c r="AX571" s="796">
        <f t="shared" si="332"/>
        <v>0</v>
      </c>
      <c r="AY571" s="1026">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1"/>
      <c r="B572" s="1099"/>
      <c r="C572" s="1099"/>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6">
        <f t="shared" si="330"/>
        <v>0</v>
      </c>
      <c r="AW572" s="796">
        <f t="shared" si="331"/>
        <v>0</v>
      </c>
      <c r="AX572" s="796">
        <f t="shared" si="332"/>
        <v>0</v>
      </c>
      <c r="AY572" s="1026">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1"/>
      <c r="B573" s="1099"/>
      <c r="C573" s="1099"/>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6">
        <f t="shared" si="330"/>
        <v>0</v>
      </c>
      <c r="AW573" s="796">
        <f t="shared" si="331"/>
        <v>0</v>
      </c>
      <c r="AX573" s="796">
        <f t="shared" si="332"/>
        <v>0</v>
      </c>
      <c r="AY573" s="1026">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1"/>
      <c r="B574" s="1099"/>
      <c r="C574" s="1099"/>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6">
        <f t="shared" si="330"/>
        <v>0</v>
      </c>
      <c r="AW574" s="796">
        <f t="shared" si="331"/>
        <v>0</v>
      </c>
      <c r="AX574" s="796">
        <f t="shared" si="332"/>
        <v>0</v>
      </c>
      <c r="AY574" s="1026">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1"/>
      <c r="B575" s="1099"/>
      <c r="C575" s="1099"/>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6">
        <f t="shared" si="330"/>
        <v>0</v>
      </c>
      <c r="AW575" s="796">
        <f t="shared" si="331"/>
        <v>0</v>
      </c>
      <c r="AX575" s="796">
        <f t="shared" si="332"/>
        <v>0</v>
      </c>
      <c r="AY575" s="1026">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1"/>
      <c r="B576" s="1099"/>
      <c r="C576" s="1099"/>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6">
        <f t="shared" si="330"/>
        <v>0</v>
      </c>
      <c r="AW576" s="796">
        <f t="shared" si="331"/>
        <v>0</v>
      </c>
      <c r="AX576" s="796">
        <f t="shared" si="332"/>
        <v>0</v>
      </c>
      <c r="AY576" s="1026">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1"/>
      <c r="B577" s="1099"/>
      <c r="C577" s="1099"/>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6">
        <f t="shared" si="330"/>
        <v>0</v>
      </c>
      <c r="AW577" s="796">
        <f t="shared" si="331"/>
        <v>0</v>
      </c>
      <c r="AX577" s="796">
        <f t="shared" si="332"/>
        <v>0</v>
      </c>
      <c r="AY577" s="1026">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1"/>
      <c r="B578" s="1099"/>
      <c r="C578" s="1099"/>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6">
        <f t="shared" si="330"/>
        <v>0</v>
      </c>
      <c r="AW578" s="796">
        <f t="shared" si="331"/>
        <v>0</v>
      </c>
      <c r="AX578" s="796">
        <f t="shared" si="332"/>
        <v>0</v>
      </c>
      <c r="AY578" s="1026">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1"/>
      <c r="B579" s="1099"/>
      <c r="C579" s="1099"/>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6">
        <f t="shared" si="330"/>
        <v>0</v>
      </c>
      <c r="AW579" s="796">
        <f t="shared" si="331"/>
        <v>0</v>
      </c>
      <c r="AX579" s="796">
        <f t="shared" si="332"/>
        <v>0</v>
      </c>
      <c r="AY579" s="1026">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1"/>
      <c r="B580" s="1099"/>
      <c r="C580" s="1099"/>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6">
        <f t="shared" si="330"/>
        <v>0</v>
      </c>
      <c r="AW580" s="796">
        <f t="shared" si="331"/>
        <v>0</v>
      </c>
      <c r="AX580" s="796">
        <f t="shared" si="332"/>
        <v>0</v>
      </c>
      <c r="AY580" s="1026">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1"/>
      <c r="B581" s="1099"/>
      <c r="C581" s="1099"/>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6">
        <f t="shared" si="330"/>
        <v>0</v>
      </c>
      <c r="AW581" s="796">
        <f t="shared" si="331"/>
        <v>0</v>
      </c>
      <c r="AX581" s="796">
        <f t="shared" si="332"/>
        <v>0</v>
      </c>
      <c r="AY581" s="1026">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1"/>
      <c r="B582" s="1099"/>
      <c r="C582" s="1099"/>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6">
        <f t="shared" si="330"/>
        <v>0</v>
      </c>
      <c r="AW582" s="796">
        <f t="shared" si="331"/>
        <v>0</v>
      </c>
      <c r="AX582" s="796">
        <f t="shared" si="332"/>
        <v>0</v>
      </c>
      <c r="AY582" s="1026">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1"/>
      <c r="B583" s="1099"/>
      <c r="C583" s="1099"/>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6">
        <f t="shared" si="330"/>
        <v>0</v>
      </c>
      <c r="AW583" s="796">
        <f t="shared" si="331"/>
        <v>0</v>
      </c>
      <c r="AX583" s="796">
        <f t="shared" si="332"/>
        <v>0</v>
      </c>
      <c r="AY583" s="1026">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1"/>
      <c r="B584" s="1099"/>
      <c r="C584" s="1099"/>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6">
        <f t="shared" si="330"/>
        <v>0</v>
      </c>
      <c r="AW584" s="796">
        <f t="shared" si="331"/>
        <v>0</v>
      </c>
      <c r="AX584" s="796">
        <f t="shared" si="332"/>
        <v>0</v>
      </c>
      <c r="AY584" s="1026">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1"/>
      <c r="B585" s="1091"/>
      <c r="C585" s="1091"/>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4"/>
      <c r="AV585" s="796">
        <f t="shared" si="330"/>
        <v>0</v>
      </c>
      <c r="AW585" s="796">
        <f t="shared" si="331"/>
        <v>0</v>
      </c>
      <c r="AX585" s="796">
        <f t="shared" si="332"/>
        <v>0</v>
      </c>
      <c r="AY585" s="1026">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1"/>
      <c r="B586" s="1091"/>
      <c r="C586" s="1091"/>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4"/>
      <c r="AV586" s="796">
        <f t="shared" si="330"/>
        <v>0</v>
      </c>
      <c r="AW586" s="796">
        <f t="shared" si="331"/>
        <v>0</v>
      </c>
      <c r="AX586" s="796">
        <f t="shared" si="332"/>
        <v>0</v>
      </c>
      <c r="AY586" s="1026">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1"/>
      <c r="B587" s="1091"/>
      <c r="C587" s="1091"/>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4"/>
      <c r="AV587" s="796">
        <f t="shared" si="330"/>
        <v>0</v>
      </c>
      <c r="AW587" s="796">
        <f t="shared" si="331"/>
        <v>0</v>
      </c>
      <c r="AX587" s="796">
        <f t="shared" si="332"/>
        <v>0</v>
      </c>
      <c r="AY587" s="1026">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4" customFormat="1">
      <c r="C589" s="2803"/>
      <c r="D589" s="2803"/>
    </row>
    <row r="590" spans="1:72" s="2724" customFormat="1">
      <c r="C590" s="2803"/>
      <c r="D590" s="2803"/>
    </row>
    <row r="593" spans="2:2">
      <c r="B593" s="280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9" customWidth="1"/>
    <col min="2" max="2" width="10.625" style="2719" customWidth="1"/>
    <col min="3" max="3" width="15.75" style="2719" customWidth="1"/>
    <col min="4" max="7" width="9.5" style="2719" customWidth="1"/>
    <col min="8" max="13" width="9.125" style="2719" customWidth="1"/>
    <col min="14" max="16384" width="9" style="2719"/>
  </cols>
  <sheetData>
    <row r="1" spans="1:13" ht="14.25">
      <c r="A1" s="3187" t="s">
        <v>480</v>
      </c>
      <c r="B1" s="3187" t="s">
        <v>481</v>
      </c>
      <c r="C1" s="3187" t="s">
        <v>482</v>
      </c>
      <c r="D1" s="3186" t="s">
        <v>483</v>
      </c>
      <c r="E1" s="3186" t="s">
        <v>484</v>
      </c>
      <c r="F1" s="3186"/>
      <c r="G1" s="3186"/>
      <c r="H1" s="3186"/>
      <c r="I1" s="3186"/>
      <c r="J1" s="3186"/>
      <c r="K1" s="3186"/>
      <c r="L1" s="3186"/>
      <c r="M1" s="3186"/>
    </row>
    <row r="2" spans="1:13" ht="27" customHeight="1">
      <c r="A2" s="3187"/>
      <c r="B2" s="3187"/>
      <c r="C2" s="3187"/>
      <c r="D2" s="3186"/>
      <c r="E2" s="3186" t="s">
        <v>485</v>
      </c>
      <c r="F2" s="3186" t="s">
        <v>486</v>
      </c>
      <c r="G2" s="3186"/>
      <c r="H2" s="3186"/>
      <c r="I2" s="3186"/>
      <c r="J2" s="3186" t="s">
        <v>487</v>
      </c>
      <c r="K2" s="3186"/>
      <c r="L2" s="3186"/>
      <c r="M2" s="3186"/>
    </row>
    <row r="3" spans="1:13" ht="28.5">
      <c r="A3" s="3187"/>
      <c r="B3" s="3187"/>
      <c r="C3" s="3187"/>
      <c r="D3" s="3186"/>
      <c r="E3" s="3186"/>
      <c r="F3" s="2721" t="s">
        <v>488</v>
      </c>
      <c r="G3" s="2721" t="s">
        <v>489</v>
      </c>
      <c r="H3" s="2721" t="s">
        <v>490</v>
      </c>
      <c r="I3" s="2721" t="s">
        <v>491</v>
      </c>
      <c r="J3" s="2721" t="s">
        <v>488</v>
      </c>
      <c r="K3" s="2721" t="s">
        <v>492</v>
      </c>
      <c r="L3" s="2721" t="s">
        <v>493</v>
      </c>
      <c r="M3" s="2721" t="s">
        <v>494</v>
      </c>
    </row>
    <row r="4" spans="1:13" ht="42.75">
      <c r="A4" s="2721" t="s">
        <v>495</v>
      </c>
      <c r="B4" s="2721" t="s">
        <v>496</v>
      </c>
      <c r="C4" s="2721" t="s">
        <v>497</v>
      </c>
      <c r="D4" s="2720">
        <v>3807.94</v>
      </c>
      <c r="E4" s="2720">
        <v>20666.91</v>
      </c>
      <c r="F4" s="2720">
        <v>19673</v>
      </c>
      <c r="G4" s="2720">
        <v>0</v>
      </c>
      <c r="H4" s="2720">
        <v>19673</v>
      </c>
      <c r="I4" s="2720">
        <v>0</v>
      </c>
      <c r="J4" s="2720">
        <v>993.91</v>
      </c>
      <c r="K4" s="2720">
        <v>0</v>
      </c>
      <c r="L4" s="2720">
        <v>0</v>
      </c>
      <c r="M4" s="2720">
        <v>993.91</v>
      </c>
    </row>
    <row r="5" spans="1:13" ht="42.75">
      <c r="A5" s="2721" t="s">
        <v>495</v>
      </c>
      <c r="B5" s="2721" t="s">
        <v>498</v>
      </c>
      <c r="C5" s="2721" t="s">
        <v>499</v>
      </c>
      <c r="D5" s="2720">
        <v>3667.86</v>
      </c>
      <c r="E5" s="2720">
        <v>19906.61</v>
      </c>
      <c r="F5" s="2720">
        <v>18792.87</v>
      </c>
      <c r="G5" s="2720">
        <v>18792.87</v>
      </c>
      <c r="H5" s="2720">
        <v>0</v>
      </c>
      <c r="I5" s="2720">
        <v>0</v>
      </c>
      <c r="J5" s="2720">
        <v>1113.74</v>
      </c>
      <c r="K5" s="2720">
        <v>55.59</v>
      </c>
      <c r="L5" s="2720">
        <v>0</v>
      </c>
      <c r="M5" s="2720">
        <v>1058.1500000000001</v>
      </c>
    </row>
    <row r="6" spans="1:13" ht="42.75">
      <c r="A6" s="2721" t="s">
        <v>495</v>
      </c>
      <c r="B6" s="2721" t="s">
        <v>498</v>
      </c>
      <c r="C6" s="2721" t="s">
        <v>500</v>
      </c>
      <c r="D6" s="2720">
        <v>2067.52</v>
      </c>
      <c r="E6" s="2720">
        <v>11221.06</v>
      </c>
      <c r="F6" s="2720">
        <v>9934.1299999999992</v>
      </c>
      <c r="G6" s="2720">
        <v>9934.1299999999992</v>
      </c>
      <c r="H6" s="2720">
        <v>0</v>
      </c>
      <c r="I6" s="2720">
        <v>0</v>
      </c>
      <c r="J6" s="2720">
        <v>1286.93</v>
      </c>
      <c r="K6" s="2720">
        <v>0</v>
      </c>
      <c r="L6" s="2720">
        <v>0</v>
      </c>
      <c r="M6" s="2720">
        <v>1286.93</v>
      </c>
    </row>
    <row r="7" spans="1:13" ht="42.75">
      <c r="A7" s="2721" t="s">
        <v>495</v>
      </c>
      <c r="B7" s="2721" t="s">
        <v>498</v>
      </c>
      <c r="C7" s="2721" t="s">
        <v>501</v>
      </c>
      <c r="D7" s="2720">
        <v>8.18</v>
      </c>
      <c r="E7" s="2720">
        <v>44.41</v>
      </c>
      <c r="F7" s="2720">
        <v>0</v>
      </c>
      <c r="G7" s="2720">
        <v>0</v>
      </c>
      <c r="H7" s="2720">
        <v>0</v>
      </c>
      <c r="I7" s="2720">
        <v>0</v>
      </c>
      <c r="J7" s="2720">
        <v>44.41</v>
      </c>
      <c r="K7" s="2720">
        <v>44.41</v>
      </c>
      <c r="L7" s="2720">
        <v>0</v>
      </c>
      <c r="M7" s="2720">
        <v>0</v>
      </c>
    </row>
    <row r="8" spans="1:13" ht="42.75">
      <c r="A8" s="2721" t="s">
        <v>495</v>
      </c>
      <c r="B8" s="2721" t="s">
        <v>498</v>
      </c>
      <c r="C8" s="2721" t="s">
        <v>491</v>
      </c>
      <c r="D8" s="2720">
        <v>2455.5300000000002</v>
      </c>
      <c r="E8" s="2720">
        <v>13326.96</v>
      </c>
      <c r="F8" s="2720">
        <v>9231.0499999999993</v>
      </c>
      <c r="G8" s="2720">
        <v>0</v>
      </c>
      <c r="H8" s="2720">
        <v>0</v>
      </c>
      <c r="I8" s="2720">
        <v>9231.0499999999993</v>
      </c>
      <c r="J8" s="2720">
        <v>4095.91</v>
      </c>
      <c r="K8" s="2720">
        <v>0</v>
      </c>
      <c r="L8" s="2720">
        <v>3320.79</v>
      </c>
      <c r="M8" s="2720">
        <v>775.12</v>
      </c>
    </row>
    <row r="9" spans="1:13" ht="27" customHeight="1">
      <c r="A9" s="3186" t="s">
        <v>502</v>
      </c>
      <c r="B9" s="3186"/>
      <c r="C9" s="3186"/>
      <c r="D9" s="2720">
        <v>12007.03</v>
      </c>
      <c r="E9" s="2720">
        <v>65165.95</v>
      </c>
      <c r="F9" s="2720">
        <v>57631.05</v>
      </c>
      <c r="G9" s="2720">
        <v>28727</v>
      </c>
      <c r="H9" s="2720">
        <v>19673</v>
      </c>
      <c r="I9" s="2720">
        <v>9231.0499999999993</v>
      </c>
      <c r="J9" s="2720">
        <v>7534.9</v>
      </c>
      <c r="K9" s="2720">
        <v>100</v>
      </c>
      <c r="L9" s="2720">
        <v>3320.79</v>
      </c>
      <c r="M9" s="272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9" sqref="C49"/>
    </sheetView>
  </sheetViews>
  <sheetFormatPr defaultColWidth="9.25" defaultRowHeight="14.25"/>
  <cols>
    <col min="1" max="1" width="12.125" style="2418" customWidth="1"/>
    <col min="2" max="2" width="10.25" style="2418" customWidth="1"/>
    <col min="3" max="3" width="18.5" style="2418" customWidth="1"/>
    <col min="4" max="4" width="11.625" style="2418" customWidth="1"/>
    <col min="5" max="5" width="13.375" style="2418" customWidth="1"/>
    <col min="6" max="8" width="11.5" style="2418" customWidth="1"/>
    <col min="9" max="9" width="11.125" style="2418" customWidth="1"/>
    <col min="10" max="10" width="3.125" style="2418" customWidth="1"/>
    <col min="11" max="16" width="10" style="2418" customWidth="1"/>
    <col min="17" max="17" width="2.625" style="2418" customWidth="1"/>
    <col min="18" max="18" width="9.375" style="2418" customWidth="1"/>
    <col min="19" max="19" width="10.5" style="2418" customWidth="1"/>
    <col min="20" max="16384" width="9.25" style="2418"/>
  </cols>
  <sheetData>
    <row r="1" spans="1:16" ht="18.75">
      <c r="A1" s="2133" t="s">
        <v>503</v>
      </c>
      <c r="B1" s="2203"/>
      <c r="C1" s="2203"/>
      <c r="D1" s="2203"/>
      <c r="E1" s="2203"/>
      <c r="F1" s="2203"/>
      <c r="G1" s="2203"/>
      <c r="H1" s="2203"/>
      <c r="I1" s="2203"/>
      <c r="J1" s="2203"/>
      <c r="K1" s="2203"/>
      <c r="L1" s="2203"/>
      <c r="M1" s="2203"/>
      <c r="N1" s="2203"/>
      <c r="O1" s="2203"/>
      <c r="P1" s="2203"/>
    </row>
    <row r="2" spans="1:16" ht="15">
      <c r="A2" s="3197" t="s">
        <v>504</v>
      </c>
      <c r="B2" s="3197"/>
      <c r="C2" s="3197"/>
      <c r="D2" s="2028" t="s">
        <v>505</v>
      </c>
      <c r="E2" s="2657" t="s">
        <v>506</v>
      </c>
      <c r="F2" s="2513"/>
      <c r="G2" s="2658"/>
      <c r="H2" s="2659"/>
      <c r="I2" s="2351" t="s">
        <v>507</v>
      </c>
      <c r="J2" s="2513"/>
      <c r="K2" s="2513"/>
      <c r="L2" s="2513"/>
      <c r="M2" s="2513"/>
      <c r="N2" s="1028"/>
      <c r="O2" s="2513"/>
      <c r="P2" s="2513"/>
    </row>
    <row r="3" spans="1:16" ht="15">
      <c r="A3" s="3198" t="s">
        <v>508</v>
      </c>
      <c r="B3" s="3198"/>
      <c r="C3" s="3198"/>
      <c r="D3" s="2660">
        <f>'数据-基础表'!AY6</f>
        <v>0</v>
      </c>
      <c r="E3" s="2660">
        <f>'数据-基础表'!AZ5</f>
        <v>49403.210000000006</v>
      </c>
      <c r="F3" s="2513"/>
      <c r="G3" s="2661"/>
      <c r="H3" s="2156" t="s">
        <v>509</v>
      </c>
      <c r="I3" s="1388" t="e">
        <f>ROUND('数据-基础表'!B3/'数据-基础表'!A3,2)</f>
        <v>#DIV/0!</v>
      </c>
      <c r="J3" s="2513"/>
      <c r="K3" s="2513"/>
      <c r="L3" s="2513"/>
      <c r="M3" s="2513"/>
      <c r="N3" s="1028"/>
      <c r="O3" s="2513"/>
      <c r="P3" s="2513"/>
    </row>
    <row r="4" spans="1:16" ht="15">
      <c r="A4" s="3199"/>
      <c r="B4" s="3200"/>
      <c r="C4" s="3201"/>
      <c r="D4" s="2662" t="s">
        <v>505</v>
      </c>
      <c r="E4" s="2663" t="s">
        <v>506</v>
      </c>
      <c r="F4" s="2513"/>
      <c r="G4" s="2664" t="s">
        <v>510</v>
      </c>
      <c r="H4" s="2156" t="s">
        <v>511</v>
      </c>
      <c r="I4" s="1388" t="e">
        <f>ROUND(SUMIF('数据-基础表'!I9:AS9,"地上",'数据-基础表'!I5:AS5)/'数据-基础表'!A3,2)</f>
        <v>#DIV/0!</v>
      </c>
      <c r="J4" s="2513"/>
      <c r="K4" s="2513"/>
      <c r="L4" s="2513"/>
      <c r="M4" s="2513"/>
      <c r="N4" s="1028"/>
      <c r="O4" s="2513"/>
      <c r="P4" s="2513"/>
    </row>
    <row r="5" spans="1:16">
      <c r="A5" s="2661" t="s">
        <v>512</v>
      </c>
      <c r="B5" s="3202" t="s">
        <v>513</v>
      </c>
      <c r="C5" s="3202"/>
      <c r="D5" s="2156">
        <f>ROUND($D$3*E5/$E$3,2)</f>
        <v>0</v>
      </c>
      <c r="E5" s="2665">
        <f>SUMIF('数据-基础表'!$11:$11,"住宅",'数据-基础表'!$5:$5)</f>
        <v>13554.37</v>
      </c>
      <c r="F5" s="2513"/>
      <c r="G5" s="2661"/>
      <c r="H5" s="2156" t="s">
        <v>509</v>
      </c>
      <c r="I5" s="1388" t="e">
        <f>ROUND(E31/D31,2)</f>
        <v>#DIV/0!</v>
      </c>
      <c r="J5" s="2513"/>
      <c r="K5" s="2513"/>
      <c r="L5" s="2513"/>
      <c r="M5" s="2513"/>
      <c r="N5" s="2513"/>
      <c r="O5" s="2513"/>
      <c r="P5" s="2513"/>
    </row>
    <row r="6" spans="1:16">
      <c r="A6" s="2666"/>
      <c r="B6" s="3202" t="s">
        <v>514</v>
      </c>
      <c r="C6" s="3202"/>
      <c r="D6" s="2156">
        <f>ROUND($D$3*E6/$E$3,2)</f>
        <v>0</v>
      </c>
      <c r="E6" s="2665">
        <f>E3-E5</f>
        <v>35848.840000000004</v>
      </c>
      <c r="F6" s="2513"/>
      <c r="G6" s="2667" t="s">
        <v>515</v>
      </c>
      <c r="H6" s="2668" t="s">
        <v>511</v>
      </c>
      <c r="I6" s="2708" t="e">
        <f>ROUND(F31/D31,2)</f>
        <v>#DIV/0!</v>
      </c>
      <c r="J6" s="2513"/>
      <c r="K6" s="2513"/>
      <c r="L6" s="2513"/>
      <c r="M6" s="2513"/>
      <c r="N6" s="2513"/>
      <c r="O6" s="2513"/>
      <c r="P6" s="2513"/>
    </row>
    <row r="7" spans="1:16" ht="15">
      <c r="A7" s="3188"/>
      <c r="B7" s="3189"/>
      <c r="C7" s="3190"/>
      <c r="D7" s="2662" t="s">
        <v>505</v>
      </c>
      <c r="E7" s="2669" t="s">
        <v>516</v>
      </c>
      <c r="F7" s="2513"/>
      <c r="G7" s="2670" t="s">
        <v>517</v>
      </c>
      <c r="H7" s="2636"/>
      <c r="I7" s="2709"/>
      <c r="J7" s="2513"/>
      <c r="K7" s="2513"/>
      <c r="L7" s="2513"/>
      <c r="M7" s="2513"/>
      <c r="N7" s="2513"/>
      <c r="O7" s="2513"/>
      <c r="P7" s="2513"/>
    </row>
    <row r="8" spans="1:16">
      <c r="A8" s="2661" t="s">
        <v>518</v>
      </c>
      <c r="B8" s="2668" t="s">
        <v>519</v>
      </c>
      <c r="C8" s="2156" t="s">
        <v>520</v>
      </c>
      <c r="D8" s="2156">
        <f t="shared" ref="D8:D15" si="0">ROUND($D$3*E8/$E$3,2)</f>
        <v>0</v>
      </c>
      <c r="E8" s="2671">
        <f>SUMIF('数据-基础表'!BB10:BK10,"地上",'数据-基础表'!BB5:BK5)</f>
        <v>16259.26</v>
      </c>
      <c r="F8" s="2513"/>
      <c r="G8" s="2513"/>
      <c r="H8" s="2513"/>
      <c r="I8" s="2513"/>
      <c r="J8" s="2513"/>
      <c r="K8" s="2513"/>
      <c r="L8" s="2513"/>
      <c r="M8" s="2513"/>
      <c r="N8" s="2513"/>
      <c r="O8" s="2513"/>
      <c r="P8" s="2513"/>
    </row>
    <row r="9" spans="1:16">
      <c r="A9" s="2667"/>
      <c r="B9" s="2672"/>
      <c r="C9" s="2156" t="s">
        <v>521</v>
      </c>
      <c r="D9" s="2156">
        <f t="shared" si="0"/>
        <v>0</v>
      </c>
      <c r="E9" s="2673">
        <v>0</v>
      </c>
      <c r="F9" s="2513"/>
      <c r="G9" s="2513"/>
      <c r="H9" s="2513"/>
      <c r="I9" s="2513"/>
      <c r="J9" s="2513"/>
      <c r="K9" s="2513"/>
      <c r="L9" s="2513"/>
      <c r="M9" s="2513"/>
      <c r="N9" s="2513"/>
      <c r="O9" s="2513"/>
      <c r="P9" s="2513"/>
    </row>
    <row r="10" spans="1:16">
      <c r="A10" s="2667"/>
      <c r="B10" s="2672"/>
      <c r="C10" s="2156" t="s">
        <v>522</v>
      </c>
      <c r="D10" s="2156">
        <f t="shared" si="0"/>
        <v>0</v>
      </c>
      <c r="E10" s="2671">
        <f>SUMPRODUCT(('数据-基础表'!BB10:BK10="地下")*('数据-基础表'!BB11:BK11="商业")*('数据-基础表'!BB5:BK5))</f>
        <v>0</v>
      </c>
      <c r="F10" s="2513"/>
      <c r="G10" s="2513"/>
      <c r="H10" s="2513"/>
      <c r="I10" s="2513"/>
      <c r="J10" s="2513"/>
      <c r="K10" s="2513"/>
      <c r="L10" s="2513"/>
      <c r="M10" s="2513"/>
      <c r="N10" s="2513"/>
      <c r="O10" s="2513"/>
      <c r="P10" s="2513"/>
    </row>
    <row r="11" spans="1:16">
      <c r="A11" s="2667"/>
      <c r="B11" s="2672"/>
      <c r="C11" s="2156" t="s">
        <v>523</v>
      </c>
      <c r="D11" s="2156">
        <f t="shared" si="0"/>
        <v>0</v>
      </c>
      <c r="E11" s="2671">
        <f>SUMPRODUCT(('数据-基础表'!BB10:BK10="地下")*('数据-基础表'!BB11:BK11="办公")*('数据-基础表'!BB5:BK5))+'数据-基础表'!BP5</f>
        <v>0</v>
      </c>
      <c r="F11" s="2513"/>
      <c r="G11" s="2513"/>
      <c r="H11" s="2513"/>
      <c r="I11" s="2513"/>
      <c r="J11" s="2513"/>
      <c r="K11" s="2513"/>
      <c r="L11" s="2513"/>
      <c r="M11" s="2513"/>
      <c r="N11" s="2513"/>
      <c r="O11" s="2513"/>
      <c r="P11" s="2513"/>
    </row>
    <row r="12" spans="1:16">
      <c r="A12" s="2667"/>
      <c r="B12" s="2672"/>
      <c r="C12" s="2156" t="s">
        <v>524</v>
      </c>
      <c r="D12" s="2156">
        <f t="shared" si="0"/>
        <v>0</v>
      </c>
      <c r="E12" s="2671">
        <f>SUMPRODUCT(('数据-基础表'!BB10:BK10="地下")*('数据-基础表'!BB11:BK11="仓储")*('数据-基础表'!BB5:BK5))</f>
        <v>369.19</v>
      </c>
      <c r="F12" s="2513"/>
      <c r="G12" s="2513"/>
      <c r="H12" s="2513"/>
      <c r="I12" s="2513"/>
      <c r="J12" s="2513"/>
      <c r="K12" s="2513"/>
      <c r="L12" s="2513"/>
      <c r="M12" s="2513"/>
      <c r="N12" s="2513"/>
      <c r="O12" s="2513"/>
      <c r="P12" s="2513"/>
    </row>
    <row r="13" spans="1:16">
      <c r="A13" s="2667"/>
      <c r="B13" s="2672"/>
      <c r="C13" s="2156" t="s">
        <v>525</v>
      </c>
      <c r="D13" s="2156">
        <f t="shared" si="0"/>
        <v>0</v>
      </c>
      <c r="E13" s="2671">
        <f>SUMPRODUCT(('数据-基础表'!BB10:BK10="地下")*('数据-基础表'!BB11:BK11="车库")*('数据-基础表'!BB5:BK5))</f>
        <v>32774.76</v>
      </c>
      <c r="F13" s="2513"/>
      <c r="G13" s="2513"/>
      <c r="H13" s="2513"/>
      <c r="I13" s="2513"/>
      <c r="J13" s="2513"/>
      <c r="K13" s="2513"/>
      <c r="L13" s="2513"/>
      <c r="M13" s="2513"/>
      <c r="N13" s="2513"/>
      <c r="O13" s="2513"/>
      <c r="P13" s="2513"/>
    </row>
    <row r="14" spans="1:16">
      <c r="A14" s="2667"/>
      <c r="B14" s="2672"/>
      <c r="C14" s="2156" t="s">
        <v>526</v>
      </c>
      <c r="D14" s="2156">
        <f t="shared" si="0"/>
        <v>0</v>
      </c>
      <c r="E14" s="2671">
        <f>SUMPRODUCT(('数据-基础表'!BB10:BK10="地下")*('数据-基础表'!BB11:BK11="车库—商业")*('数据-基础表'!BB5:BK5))</f>
        <v>0</v>
      </c>
      <c r="F14" s="2513"/>
      <c r="G14" s="2513"/>
      <c r="H14" s="2513"/>
      <c r="I14" s="2513"/>
      <c r="J14" s="2513"/>
      <c r="K14" s="2513"/>
      <c r="L14" s="2513"/>
      <c r="M14" s="2513"/>
      <c r="N14" s="2513"/>
      <c r="O14" s="2513"/>
      <c r="P14" s="2513"/>
    </row>
    <row r="15" spans="1:16">
      <c r="A15" s="2667"/>
      <c r="B15" s="2672"/>
      <c r="C15" s="2156" t="s">
        <v>527</v>
      </c>
      <c r="D15" s="2156">
        <f t="shared" si="0"/>
        <v>0</v>
      </c>
      <c r="E15" s="2671">
        <f>SUMPRODUCT(('数据-基础表'!BB10:BK10="地下")*('数据-基础表'!BB11:BK11="车库—办公")*('数据-基础表'!BB5:BK5))</f>
        <v>0</v>
      </c>
      <c r="F15" s="2513"/>
      <c r="G15" s="2513"/>
      <c r="H15" s="2513"/>
      <c r="I15" s="2513"/>
      <c r="J15" s="2513"/>
      <c r="K15" s="2513"/>
      <c r="L15" s="2513"/>
      <c r="M15" s="2513"/>
      <c r="N15" s="2513"/>
      <c r="O15" s="2513"/>
      <c r="P15" s="2513"/>
    </row>
    <row r="16" spans="1:16" ht="15">
      <c r="A16" s="2666"/>
      <c r="B16" s="2672"/>
      <c r="C16" s="2668" t="s">
        <v>528</v>
      </c>
      <c r="D16" s="2668">
        <f>SUM(D8:D15)</f>
        <v>0</v>
      </c>
      <c r="E16" s="2674">
        <f>SUM(E8:E15)</f>
        <v>49403.210000000006</v>
      </c>
      <c r="F16" s="2513"/>
      <c r="G16" s="2513"/>
      <c r="H16" s="2675" t="s">
        <v>529</v>
      </c>
      <c r="I16" s="2710"/>
      <c r="J16" s="2203"/>
      <c r="K16" s="3191" t="s">
        <v>529</v>
      </c>
      <c r="L16" s="3192"/>
      <c r="M16" s="3192"/>
      <c r="N16" s="3192"/>
      <c r="O16" s="3192"/>
      <c r="P16" s="3193"/>
    </row>
    <row r="17" spans="1:19" ht="15">
      <c r="A17" s="2626" t="s">
        <v>530</v>
      </c>
      <c r="B17" s="2676" t="s">
        <v>531</v>
      </c>
      <c r="C17" s="2177" t="s">
        <v>532</v>
      </c>
      <c r="D17" s="2677" t="s">
        <v>505</v>
      </c>
      <c r="E17" s="2678" t="s">
        <v>506</v>
      </c>
      <c r="F17" s="2679"/>
      <c r="G17" s="2680"/>
      <c r="H17" s="2681" t="s">
        <v>533</v>
      </c>
      <c r="I17" s="2711" t="s">
        <v>534</v>
      </c>
      <c r="J17" s="2203"/>
      <c r="K17" s="3194" t="s">
        <v>535</v>
      </c>
      <c r="L17" s="3195"/>
      <c r="M17" s="3196"/>
      <c r="N17" s="3194" t="s">
        <v>536</v>
      </c>
      <c r="O17" s="3195"/>
      <c r="P17" s="3196"/>
      <c r="R17" s="2064" t="s">
        <v>537</v>
      </c>
      <c r="S17" s="2146"/>
    </row>
    <row r="18" spans="1:19" ht="15">
      <c r="A18" s="2667"/>
      <c r="B18" s="2682"/>
      <c r="C18" s="2149"/>
      <c r="D18" s="2683"/>
      <c r="E18" s="2684" t="s">
        <v>538</v>
      </c>
      <c r="F18" s="2685" t="s">
        <v>511</v>
      </c>
      <c r="G18" s="2686" t="s">
        <v>539</v>
      </c>
      <c r="H18" s="2630" t="s">
        <v>540</v>
      </c>
      <c r="I18" s="2712" t="s">
        <v>541</v>
      </c>
      <c r="J18" s="2203"/>
      <c r="K18" s="2630" t="s">
        <v>542</v>
      </c>
      <c r="L18" s="2364" t="s">
        <v>543</v>
      </c>
      <c r="M18" s="1388" t="s">
        <v>544</v>
      </c>
      <c r="N18" s="2630" t="s">
        <v>542</v>
      </c>
      <c r="O18" s="2364" t="s">
        <v>543</v>
      </c>
      <c r="P18" s="1388" t="s">
        <v>544</v>
      </c>
      <c r="R18" s="2156" t="s">
        <v>540</v>
      </c>
      <c r="S18" s="2156" t="s">
        <v>541</v>
      </c>
    </row>
    <row r="19" spans="1:19">
      <c r="A19" s="2687"/>
      <c r="B19" s="2668" t="s">
        <v>545</v>
      </c>
      <c r="C19" s="2688" t="s">
        <v>463</v>
      </c>
      <c r="D19" s="2156">
        <f>ROUND($D$3*E19/$E$3,2)</f>
        <v>0</v>
      </c>
      <c r="E19" s="2689">
        <f t="shared" ref="E19:E26" si="1">SUM(F19:G19)</f>
        <v>13464.84</v>
      </c>
      <c r="F19" s="2690">
        <f>'数据-基础表'!I5-F23</f>
        <v>13464.84</v>
      </c>
      <c r="G19" s="2189"/>
      <c r="H19" s="2617">
        <f>ROUND($D$3*I19/$E$3,2)</f>
        <v>0</v>
      </c>
      <c r="I19" s="2671">
        <f t="shared" ref="I19:I26" si="2">IF($I$17="自定义",P19,M19)</f>
        <v>0</v>
      </c>
      <c r="J19" s="2203"/>
      <c r="K19" s="2617">
        <f t="shared" ref="K19:K26" si="3">ROUND(E$28*E19/E$27,2)</f>
        <v>0</v>
      </c>
      <c r="L19" s="2156">
        <f t="shared" ref="L19:L26" si="4">ROUND(IF(COUNTIF(C19,"*住宅*")&gt;0,E$29*E19/E$32,0),2)</f>
        <v>0</v>
      </c>
      <c r="M19" s="2671">
        <f>K19+L19</f>
        <v>0</v>
      </c>
      <c r="N19" s="2610"/>
      <c r="O19" s="2713"/>
      <c r="P19" s="2671">
        <f>N19+O19</f>
        <v>0</v>
      </c>
      <c r="R19" s="2156">
        <f t="shared" ref="R19:S26" si="5">D19+H19</f>
        <v>0</v>
      </c>
      <c r="S19" s="2689">
        <f t="shared" si="5"/>
        <v>13464.84</v>
      </c>
    </row>
    <row r="20" spans="1:19">
      <c r="A20" s="2687"/>
      <c r="B20" s="2668" t="s">
        <v>545</v>
      </c>
      <c r="C20" s="2688" t="s">
        <v>466</v>
      </c>
      <c r="D20" s="2156">
        <f t="shared" ref="D20:D26" si="6">ROUND($D$3*E20/$E$3,2)</f>
        <v>0</v>
      </c>
      <c r="E20" s="2689">
        <f t="shared" si="1"/>
        <v>2704.89</v>
      </c>
      <c r="F20" s="2690">
        <f>'数据-基础表'!O13+'数据-基础表'!O14</f>
        <v>2704.89</v>
      </c>
      <c r="G20" s="2189"/>
      <c r="H20" s="2617">
        <f t="shared" ref="H20:H26" si="7">ROUND($D$3*I20/$E$3,2)</f>
        <v>0</v>
      </c>
      <c r="I20" s="2671">
        <f t="shared" si="2"/>
        <v>0</v>
      </c>
      <c r="J20" s="2203"/>
      <c r="K20" s="2617">
        <f t="shared" si="3"/>
        <v>0</v>
      </c>
      <c r="L20" s="2156">
        <f t="shared" si="4"/>
        <v>0</v>
      </c>
      <c r="M20" s="2671">
        <f t="shared" ref="M20:M26" si="8">K20+L20</f>
        <v>0</v>
      </c>
      <c r="N20" s="2610"/>
      <c r="O20" s="2713"/>
      <c r="P20" s="2671">
        <f t="shared" ref="P20:P26" si="9">N20+O20</f>
        <v>0</v>
      </c>
      <c r="R20" s="2156">
        <f t="shared" si="5"/>
        <v>0</v>
      </c>
      <c r="S20" s="2689">
        <f t="shared" si="5"/>
        <v>2704.89</v>
      </c>
    </row>
    <row r="21" spans="1:19">
      <c r="A21" s="2687"/>
      <c r="B21" s="2668" t="s">
        <v>545</v>
      </c>
      <c r="C21" s="2688" t="s">
        <v>464</v>
      </c>
      <c r="D21" s="2156">
        <f t="shared" si="6"/>
        <v>0</v>
      </c>
      <c r="E21" s="2689">
        <f t="shared" si="1"/>
        <v>369.19</v>
      </c>
      <c r="F21" s="2690"/>
      <c r="G21" s="2690">
        <f>'数据-基础表'!K5</f>
        <v>369.19</v>
      </c>
      <c r="H21" s="2617">
        <f t="shared" si="7"/>
        <v>0</v>
      </c>
      <c r="I21" s="2671">
        <f t="shared" si="2"/>
        <v>0</v>
      </c>
      <c r="J21" s="2203"/>
      <c r="K21" s="2617">
        <f t="shared" si="3"/>
        <v>0</v>
      </c>
      <c r="L21" s="2156">
        <f t="shared" si="4"/>
        <v>0</v>
      </c>
      <c r="M21" s="2671">
        <f t="shared" si="8"/>
        <v>0</v>
      </c>
      <c r="N21" s="2610"/>
      <c r="O21" s="2713"/>
      <c r="P21" s="2671">
        <f t="shared" si="9"/>
        <v>0</v>
      </c>
      <c r="R21" s="2156">
        <f t="shared" si="5"/>
        <v>0</v>
      </c>
      <c r="S21" s="2689">
        <f t="shared" si="5"/>
        <v>369.19</v>
      </c>
    </row>
    <row r="22" spans="1:19">
      <c r="A22" s="2687"/>
      <c r="B22" s="2668" t="s">
        <v>545</v>
      </c>
      <c r="C22" s="2691" t="s">
        <v>491</v>
      </c>
      <c r="D22" s="2156">
        <f t="shared" si="6"/>
        <v>0</v>
      </c>
      <c r="E22" s="2689">
        <f t="shared" si="1"/>
        <v>32774.76</v>
      </c>
      <c r="F22" s="2690"/>
      <c r="G22" s="2690">
        <f>'数据-基础表'!M13+'数据-基础表'!M14</f>
        <v>32774.76</v>
      </c>
      <c r="H22" s="2617">
        <f t="shared" si="7"/>
        <v>0</v>
      </c>
      <c r="I22" s="2671">
        <f t="shared" si="2"/>
        <v>0</v>
      </c>
      <c r="J22" s="2203"/>
      <c r="K22" s="2617">
        <f t="shared" si="3"/>
        <v>0</v>
      </c>
      <c r="L22" s="2156">
        <f t="shared" si="4"/>
        <v>0</v>
      </c>
      <c r="M22" s="2671">
        <f t="shared" si="8"/>
        <v>0</v>
      </c>
      <c r="N22" s="2610"/>
      <c r="O22" s="2713"/>
      <c r="P22" s="2671">
        <f t="shared" si="9"/>
        <v>0</v>
      </c>
      <c r="R22" s="2156">
        <f t="shared" si="5"/>
        <v>0</v>
      </c>
      <c r="S22" s="2689">
        <f t="shared" si="5"/>
        <v>32774.76</v>
      </c>
    </row>
    <row r="23" spans="1:19">
      <c r="A23" s="2687"/>
      <c r="B23" s="2668" t="s">
        <v>545</v>
      </c>
      <c r="C23" s="2691" t="s">
        <v>4264</v>
      </c>
      <c r="D23" s="2156">
        <f t="shared" si="6"/>
        <v>0</v>
      </c>
      <c r="E23" s="2689">
        <f t="shared" si="1"/>
        <v>89.53</v>
      </c>
      <c r="F23" s="2690">
        <f>清单!F2</f>
        <v>89.53</v>
      </c>
      <c r="G23" s="2690"/>
      <c r="H23" s="2617">
        <f t="shared" si="7"/>
        <v>0</v>
      </c>
      <c r="I23" s="2671">
        <f t="shared" si="2"/>
        <v>0</v>
      </c>
      <c r="J23" s="2203"/>
      <c r="K23" s="2617">
        <f t="shared" si="3"/>
        <v>0</v>
      </c>
      <c r="L23" s="2156">
        <f t="shared" si="4"/>
        <v>0</v>
      </c>
      <c r="M23" s="2671">
        <f t="shared" si="8"/>
        <v>0</v>
      </c>
      <c r="N23" s="2610"/>
      <c r="O23" s="2713"/>
      <c r="P23" s="2671">
        <f t="shared" si="9"/>
        <v>0</v>
      </c>
      <c r="R23" s="2156">
        <f t="shared" si="5"/>
        <v>0</v>
      </c>
      <c r="S23" s="2689">
        <f t="shared" si="5"/>
        <v>89.53</v>
      </c>
    </row>
    <row r="24" spans="1:19">
      <c r="A24" s="2687"/>
      <c r="B24" s="2668" t="s">
        <v>545</v>
      </c>
      <c r="C24" s="2694"/>
      <c r="D24" s="2156">
        <f t="shared" si="6"/>
        <v>0</v>
      </c>
      <c r="E24" s="2689">
        <f t="shared" si="1"/>
        <v>0</v>
      </c>
      <c r="F24" s="2692"/>
      <c r="G24" s="2693"/>
      <c r="H24" s="2617">
        <f t="shared" si="7"/>
        <v>0</v>
      </c>
      <c r="I24" s="2671">
        <f t="shared" si="2"/>
        <v>0</v>
      </c>
      <c r="J24" s="2203"/>
      <c r="K24" s="2617">
        <f t="shared" si="3"/>
        <v>0</v>
      </c>
      <c r="L24" s="2156">
        <f t="shared" si="4"/>
        <v>0</v>
      </c>
      <c r="M24" s="2671">
        <f t="shared" si="8"/>
        <v>0</v>
      </c>
      <c r="N24" s="2610"/>
      <c r="O24" s="2713"/>
      <c r="P24" s="2671">
        <f t="shared" si="9"/>
        <v>0</v>
      </c>
      <c r="R24" s="2156">
        <f t="shared" si="5"/>
        <v>0</v>
      </c>
      <c r="S24" s="2689">
        <f t="shared" si="5"/>
        <v>0</v>
      </c>
    </row>
    <row r="25" spans="1:19">
      <c r="A25" s="2687"/>
      <c r="B25" s="2668" t="s">
        <v>545</v>
      </c>
      <c r="C25" s="2694"/>
      <c r="D25" s="2156">
        <f t="shared" si="6"/>
        <v>0</v>
      </c>
      <c r="E25" s="2689">
        <f t="shared" si="1"/>
        <v>0</v>
      </c>
      <c r="F25" s="2692"/>
      <c r="G25" s="2693"/>
      <c r="H25" s="2661">
        <f t="shared" si="7"/>
        <v>0</v>
      </c>
      <c r="I25" s="2671">
        <f t="shared" si="2"/>
        <v>0</v>
      </c>
      <c r="J25" s="2203"/>
      <c r="K25" s="2617">
        <f t="shared" si="3"/>
        <v>0</v>
      </c>
      <c r="L25" s="2156">
        <f t="shared" si="4"/>
        <v>0</v>
      </c>
      <c r="M25" s="2671">
        <f t="shared" si="8"/>
        <v>0</v>
      </c>
      <c r="N25" s="2610"/>
      <c r="O25" s="2713"/>
      <c r="P25" s="2671">
        <f t="shared" si="9"/>
        <v>0</v>
      </c>
      <c r="R25" s="2156">
        <f t="shared" si="5"/>
        <v>0</v>
      </c>
      <c r="S25" s="2689">
        <f t="shared" si="5"/>
        <v>0</v>
      </c>
    </row>
    <row r="26" spans="1:19">
      <c r="A26" s="2687"/>
      <c r="B26" s="2668" t="s">
        <v>545</v>
      </c>
      <c r="C26" s="2695"/>
      <c r="D26" s="2156">
        <f t="shared" si="6"/>
        <v>0</v>
      </c>
      <c r="E26" s="2689">
        <f t="shared" si="1"/>
        <v>0</v>
      </c>
      <c r="F26" s="2692"/>
      <c r="G26" s="2693"/>
      <c r="H26" s="2661">
        <f t="shared" si="7"/>
        <v>0</v>
      </c>
      <c r="I26" s="2671">
        <f t="shared" si="2"/>
        <v>0</v>
      </c>
      <c r="J26" s="2203"/>
      <c r="K26" s="2661">
        <f t="shared" si="3"/>
        <v>0</v>
      </c>
      <c r="L26" s="2668">
        <f t="shared" si="4"/>
        <v>0</v>
      </c>
      <c r="M26" s="2674">
        <f t="shared" si="8"/>
        <v>0</v>
      </c>
      <c r="N26" s="2714"/>
      <c r="O26" s="2715"/>
      <c r="P26" s="2674">
        <f t="shared" si="9"/>
        <v>0</v>
      </c>
      <c r="R26" s="2156">
        <f t="shared" si="5"/>
        <v>0</v>
      </c>
      <c r="S26" s="2689">
        <f t="shared" si="5"/>
        <v>0</v>
      </c>
    </row>
    <row r="27" spans="1:19" ht="15">
      <c r="A27" s="2687"/>
      <c r="B27" s="2156"/>
      <c r="C27" s="2354" t="s">
        <v>546</v>
      </c>
      <c r="D27" s="2696">
        <f>SUM(D19:D26)</f>
        <v>0</v>
      </c>
      <c r="E27" s="2697">
        <f>IF(SUM(E19:E26)='数据-基础表'!BA5,SUM(E19:E26),IF(F27="地上面积有误","面积有误","地下面积有误"))</f>
        <v>49403.21</v>
      </c>
      <c r="F27" s="2696">
        <f>IF(SUM(F19:F26)=E8,SUM(F19:F26),"地上面积有误")</f>
        <v>16259.26</v>
      </c>
      <c r="G27" s="2698">
        <f>SUM(G19:G26)</f>
        <v>33143.950000000004</v>
      </c>
      <c r="H27" s="2699">
        <f>SUM(H19:H26)</f>
        <v>0</v>
      </c>
      <c r="I27" s="2716">
        <f>SUM(I19:I26)</f>
        <v>0</v>
      </c>
      <c r="J27" s="2203"/>
      <c r="K27" s="2717">
        <f>SUM(K19:K26)</f>
        <v>0</v>
      </c>
      <c r="L27" s="2071">
        <f>SUM(L19:L26)</f>
        <v>0</v>
      </c>
      <c r="M27" s="2718">
        <f>SUM(M19:M26)</f>
        <v>0</v>
      </c>
      <c r="N27" s="2717">
        <f t="shared" ref="N27:P27" si="10">SUM(N19:N26)</f>
        <v>0</v>
      </c>
      <c r="O27" s="2071">
        <f t="shared" si="10"/>
        <v>0</v>
      </c>
      <c r="P27" s="2635">
        <f t="shared" si="10"/>
        <v>0</v>
      </c>
      <c r="R27" s="2651">
        <f>IF(SUM(R19:R26)=$D$3,SUM(R19:R26),SUM(R19:R26)&amp;"误差"&amp;ROUND(SUM(R19:R26)-$D$3,2))</f>
        <v>0</v>
      </c>
      <c r="S27" s="2156">
        <f>IF(SUM(S19:S26)=$E$3,SUM(S19:S26),SUM(S19:S26)&amp;"误差"&amp;ROUND(SUM(S19:S26)-E3,2))</f>
        <v>49403.21</v>
      </c>
    </row>
    <row r="28" spans="1:19">
      <c r="A28" s="2687"/>
      <c r="B28" s="2668" t="s">
        <v>547</v>
      </c>
      <c r="C28" s="2146" t="s">
        <v>548</v>
      </c>
      <c r="D28" s="2156">
        <f>ROUND($D$3*E28/$E$3,2)</f>
        <v>0</v>
      </c>
      <c r="E28" s="2689">
        <f>SUM(F28:G28)</f>
        <v>0</v>
      </c>
      <c r="F28" s="2146">
        <f>'数据-基础表'!BQ5+'数据-基础表'!BS5</f>
        <v>0</v>
      </c>
      <c r="G28" s="2088">
        <f>'数据-基础表'!BR5+'数据-基础表'!BT5</f>
        <v>0</v>
      </c>
      <c r="H28" s="2513"/>
      <c r="I28" s="2513"/>
      <c r="J28" s="2513"/>
      <c r="K28" s="2513"/>
      <c r="L28" s="2513"/>
      <c r="M28" s="2513"/>
      <c r="N28" s="2513"/>
      <c r="O28" s="2513"/>
      <c r="P28" s="2513"/>
    </row>
    <row r="29" spans="1:19">
      <c r="A29" s="2687"/>
      <c r="B29" s="2668" t="s">
        <v>547</v>
      </c>
      <c r="C29" s="2201" t="s">
        <v>549</v>
      </c>
      <c r="D29" s="2156">
        <f>ROUND($D$3*E29/$E$3,2)</f>
        <v>0</v>
      </c>
      <c r="E29" s="2689">
        <f>SUM(F29:G29)</f>
        <v>0</v>
      </c>
      <c r="F29" s="2700">
        <f>'数据-基础表'!BM5+'数据-基础表'!BO5</f>
        <v>0</v>
      </c>
      <c r="G29" s="2674">
        <f>'数据-基础表'!BN5+'数据-基础表'!BP5</f>
        <v>0</v>
      </c>
      <c r="H29" s="2513"/>
      <c r="I29" s="2513"/>
      <c r="J29" s="2513"/>
      <c r="K29" s="2513"/>
      <c r="L29" s="2513"/>
      <c r="M29" s="2513"/>
      <c r="N29" s="2513"/>
      <c r="O29" s="2513"/>
      <c r="P29" s="2513"/>
    </row>
    <row r="30" spans="1:19" ht="15">
      <c r="A30" s="2687"/>
      <c r="B30" s="2668"/>
      <c r="C30" s="2701" t="s">
        <v>546</v>
      </c>
      <c r="D30" s="2696">
        <f>SUM(D28:D29)</f>
        <v>0</v>
      </c>
      <c r="E30" s="2696">
        <f>SUM(E28:E29)</f>
        <v>0</v>
      </c>
      <c r="F30" s="2696">
        <f>SUM(F28:F29)</f>
        <v>0</v>
      </c>
      <c r="G30" s="2698">
        <f>SUM(G28:G29)</f>
        <v>0</v>
      </c>
      <c r="H30" s="2513"/>
      <c r="I30" s="2513"/>
      <c r="J30" s="2513"/>
      <c r="K30" s="2513"/>
      <c r="L30" s="2513"/>
      <c r="M30" s="2513"/>
      <c r="N30" s="2513"/>
      <c r="O30" s="2513"/>
      <c r="P30" s="2513"/>
    </row>
    <row r="31" spans="1:19" ht="15">
      <c r="A31" s="2702"/>
      <c r="B31" s="2625"/>
      <c r="C31" s="2071" t="s">
        <v>550</v>
      </c>
      <c r="D31" s="2703">
        <f>D27+D30</f>
        <v>0</v>
      </c>
      <c r="E31" s="2703">
        <f>E27+E30</f>
        <v>49403.21</v>
      </c>
      <c r="F31" s="2704">
        <f>F27+F30</f>
        <v>16259.26</v>
      </c>
      <c r="G31" s="2705">
        <f>G27+G30</f>
        <v>33143.950000000004</v>
      </c>
      <c r="H31" s="2513"/>
      <c r="I31" s="2513"/>
      <c r="J31" s="2513"/>
      <c r="K31" s="2513"/>
      <c r="L31" s="2513"/>
      <c r="M31" s="2513"/>
      <c r="N31" s="2513"/>
      <c r="O31" s="2513"/>
      <c r="P31" s="2513"/>
    </row>
    <row r="32" spans="1:19">
      <c r="A32" s="2682"/>
      <c r="B32" s="2682" t="s">
        <v>551</v>
      </c>
      <c r="C32" s="2682"/>
      <c r="D32" s="2682"/>
      <c r="E32" s="2706">
        <f>SUMIF(C19:C26,"*住宅*",E19:E26)</f>
        <v>13554.37</v>
      </c>
      <c r="F32" s="2682"/>
      <c r="G32" s="2682"/>
      <c r="H32" s="2513"/>
      <c r="I32" s="2513"/>
      <c r="J32" s="2513"/>
      <c r="K32" s="2513"/>
      <c r="L32" s="2513"/>
      <c r="M32" s="2513"/>
      <c r="N32" s="2513"/>
      <c r="O32" s="2513"/>
      <c r="P32" s="2513"/>
    </row>
    <row r="33" spans="4:4">
      <c r="D33" s="27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T17" sqref="T17"/>
    </sheetView>
  </sheetViews>
  <sheetFormatPr defaultColWidth="13.75" defaultRowHeight="12.75"/>
  <cols>
    <col min="1" max="1" width="20.875" style="2477" customWidth="1"/>
    <col min="2" max="2" width="12" style="2132" customWidth="1"/>
    <col min="3" max="3" width="12.75" style="2132" customWidth="1"/>
    <col min="4" max="4" width="9.125" style="2478" customWidth="1"/>
    <col min="5" max="5" width="15" style="2132" customWidth="1"/>
    <col min="6" max="10" width="8.875" style="2132" customWidth="1"/>
    <col min="11" max="12" width="12.375" style="2479" customWidth="1"/>
    <col min="13" max="13" width="8.625" style="2132" customWidth="1"/>
    <col min="14" max="14" width="11.875" style="2132" customWidth="1"/>
    <col min="15" max="15" width="8.5" style="2132" customWidth="1"/>
    <col min="16" max="17" width="10.875" style="2132" customWidth="1"/>
    <col min="18" max="19" width="12.5" style="2132" customWidth="1"/>
    <col min="20" max="20" width="12.125" style="2132" customWidth="1"/>
    <col min="21" max="21" width="7.5" style="2132" customWidth="1"/>
    <col min="22" max="22" width="6.375" style="2132" customWidth="1"/>
    <col min="23" max="30" width="6.75" style="2132" customWidth="1"/>
    <col min="31" max="31" width="8" style="2132" customWidth="1"/>
    <col min="32" max="33" width="7.25" style="2132" customWidth="1"/>
    <col min="34" max="34" width="8.875" style="2132" customWidth="1"/>
    <col min="35" max="39" width="8" style="2132" customWidth="1"/>
    <col min="40" max="40" width="13.75" style="231"/>
    <col min="41" max="41" width="11.625" style="231" customWidth="1"/>
    <col min="42" max="42" width="9.75" style="231" customWidth="1"/>
    <col min="43" max="67" width="13.75" style="231"/>
    <col min="68" max="16384" width="13.75" style="2132"/>
  </cols>
  <sheetData>
    <row r="1" spans="1:67" ht="18.75">
      <c r="A1" s="2480" t="s">
        <v>552</v>
      </c>
      <c r="B1" s="1780"/>
      <c r="C1" s="274"/>
      <c r="D1" s="2481"/>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1"/>
      <c r="AO1" s="2011"/>
      <c r="AP1" s="2011"/>
      <c r="AQ1" s="2011"/>
      <c r="AR1" s="2011"/>
    </row>
    <row r="2" spans="1:67" s="2475" customFormat="1" ht="15">
      <c r="A2" s="2482" t="s">
        <v>553</v>
      </c>
      <c r="B2" s="2483">
        <f>项目基本情况!D3</f>
        <v>45475</v>
      </c>
      <c r="C2" s="2203"/>
      <c r="D2" s="2484"/>
      <c r="E2" s="2203"/>
      <c r="F2" s="2203"/>
      <c r="G2" s="2203"/>
      <c r="H2" s="2203"/>
      <c r="I2" s="2203"/>
      <c r="J2" s="2203"/>
      <c r="K2" s="1346"/>
      <c r="L2" s="1346"/>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513"/>
      <c r="AO2" s="2513"/>
      <c r="AP2" s="2513"/>
      <c r="AQ2" s="2513"/>
      <c r="AR2" s="2513"/>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row>
    <row r="3" spans="1:67" s="2475" customFormat="1" ht="14.25">
      <c r="A3" s="2485"/>
      <c r="B3" s="2149"/>
      <c r="C3" s="2203"/>
      <c r="D3" s="2484"/>
      <c r="E3" s="2203"/>
      <c r="F3" s="2203"/>
      <c r="G3" s="2203"/>
      <c r="H3" s="2203"/>
      <c r="I3" s="2203"/>
      <c r="J3" s="2203"/>
      <c r="K3" s="1346"/>
      <c r="L3" s="1346"/>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513"/>
      <c r="AO3" s="2513"/>
      <c r="AP3" s="2513"/>
      <c r="AQ3" s="2513"/>
      <c r="AR3" s="2513"/>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row>
    <row r="4" spans="1:67" s="2475" customFormat="1" ht="14.25">
      <c r="A4" s="1261" t="s">
        <v>554</v>
      </c>
      <c r="B4" s="2163"/>
      <c r="C4" s="2486"/>
      <c r="D4" s="2487"/>
      <c r="E4" s="2486" t="s">
        <v>555</v>
      </c>
      <c r="F4" s="2486"/>
      <c r="G4" s="2486"/>
      <c r="H4" s="2486"/>
      <c r="I4" s="2486"/>
      <c r="J4" s="2199"/>
      <c r="K4" s="2578"/>
      <c r="L4" s="2579"/>
      <c r="M4" s="2486"/>
      <c r="N4" s="2486" t="s">
        <v>556</v>
      </c>
      <c r="O4" s="2486"/>
      <c r="P4" s="2486"/>
      <c r="Q4" s="2486"/>
      <c r="R4" s="2486"/>
      <c r="S4" s="2199"/>
      <c r="T4" s="2601" t="str">
        <f>'数据-汇总表'!I17</f>
        <v>按面积比例</v>
      </c>
      <c r="U4" s="2163" t="s">
        <v>557</v>
      </c>
      <c r="V4" s="2486"/>
      <c r="W4" s="2486"/>
      <c r="X4" s="2486"/>
      <c r="Y4" s="2199"/>
      <c r="Z4" s="2177" t="s">
        <v>558</v>
      </c>
      <c r="AA4" s="2177"/>
      <c r="AB4" s="2177"/>
      <c r="AC4" s="2177"/>
      <c r="AD4" s="2177"/>
      <c r="AE4" s="2626" t="s">
        <v>559</v>
      </c>
      <c r="AF4" s="2177"/>
      <c r="AG4" s="2637"/>
      <c r="AH4" s="2163"/>
      <c r="AI4" s="2486"/>
      <c r="AJ4" s="2486"/>
      <c r="AK4" s="2486"/>
      <c r="AL4" s="2486"/>
      <c r="AM4" s="2199"/>
      <c r="AN4" s="2513"/>
      <c r="AO4" s="2513"/>
      <c r="AP4" s="2513"/>
      <c r="AQ4" s="2513"/>
      <c r="AR4" s="2513"/>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row>
    <row r="5" spans="1:67" s="2476" customFormat="1" ht="42">
      <c r="A5" s="2488" t="s">
        <v>532</v>
      </c>
      <c r="B5" s="2489" t="s">
        <v>531</v>
      </c>
      <c r="C5" s="2490" t="s">
        <v>560</v>
      </c>
      <c r="D5" s="2491" t="s">
        <v>561</v>
      </c>
      <c r="E5" s="1122" t="s">
        <v>562</v>
      </c>
      <c r="F5" s="2492" t="s">
        <v>563</v>
      </c>
      <c r="G5" s="1122" t="s">
        <v>564</v>
      </c>
      <c r="H5" s="1122" t="s">
        <v>565</v>
      </c>
      <c r="I5" s="1122" t="s">
        <v>566</v>
      </c>
      <c r="J5" s="1183" t="s">
        <v>567</v>
      </c>
      <c r="K5" s="2580" t="s">
        <v>541</v>
      </c>
      <c r="L5" s="2581" t="s">
        <v>568</v>
      </c>
      <c r="M5" s="2582" t="s">
        <v>569</v>
      </c>
      <c r="N5" s="2583" t="s">
        <v>3022</v>
      </c>
      <c r="O5" s="2581" t="s">
        <v>570</v>
      </c>
      <c r="P5" s="2584" t="s">
        <v>571</v>
      </c>
      <c r="Q5" s="1210" t="s">
        <v>572</v>
      </c>
      <c r="R5" s="2602" t="s">
        <v>573</v>
      </c>
      <c r="S5" s="2603" t="s">
        <v>574</v>
      </c>
      <c r="T5" s="2604" t="s">
        <v>575</v>
      </c>
      <c r="U5" s="2605" t="s">
        <v>576</v>
      </c>
      <c r="V5" s="1122" t="s">
        <v>577</v>
      </c>
      <c r="W5" s="1122" t="s">
        <v>578</v>
      </c>
      <c r="X5" s="893"/>
      <c r="Y5" s="895" t="s">
        <v>579</v>
      </c>
      <c r="Z5" s="1088" t="s">
        <v>576</v>
      </c>
      <c r="AA5" s="1122" t="s">
        <v>577</v>
      </c>
      <c r="AB5" s="1122" t="s">
        <v>578</v>
      </c>
      <c r="AC5" s="893"/>
      <c r="AD5" s="893" t="s">
        <v>579</v>
      </c>
      <c r="AE5" s="2605" t="s">
        <v>580</v>
      </c>
      <c r="AF5" s="1122" t="s">
        <v>581</v>
      </c>
      <c r="AG5" s="895" t="s">
        <v>582</v>
      </c>
      <c r="AH5" s="2605" t="s">
        <v>583</v>
      </c>
      <c r="AI5" s="1088" t="s">
        <v>584</v>
      </c>
      <c r="AJ5" s="1088" t="s">
        <v>585</v>
      </c>
      <c r="AK5" s="1122" t="s">
        <v>586</v>
      </c>
      <c r="AL5" s="1122" t="s">
        <v>587</v>
      </c>
      <c r="AM5" s="895" t="s">
        <v>588</v>
      </c>
      <c r="AN5" s="2638" t="s">
        <v>589</v>
      </c>
      <c r="AO5" s="2650" t="s">
        <v>590</v>
      </c>
      <c r="AP5" s="2651" t="s">
        <v>591</v>
      </c>
      <c r="AQ5" s="2652" t="s">
        <v>592</v>
      </c>
      <c r="AR5" s="2652"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5" customFormat="1" ht="14.25">
      <c r="A6" s="2493" t="str">
        <f>'数据-汇总表'!C19</f>
        <v>住宅</v>
      </c>
      <c r="B6" s="2494" t="str">
        <f>IF(A6=0,"","经营性")</f>
        <v>经营性</v>
      </c>
      <c r="C6" s="2495" t="s">
        <v>463</v>
      </c>
      <c r="D6" s="2496">
        <f>SUMIF(项目基本情况!D$12:I$12,C6,项目基本情况!D$14:I$14)</f>
        <v>70</v>
      </c>
      <c r="E6" s="2497">
        <f>IF(B6="","",SUMIF(项目基本情况!D$12:I$12,C6,项目基本情况!D$13:I$13))</f>
        <v>69313</v>
      </c>
      <c r="F6" s="2498">
        <f>SUMIF(项目基本情况!D$12:I$12,C6,项目基本情况!D$15:I$15)</f>
        <v>65.3</v>
      </c>
      <c r="G6" s="2499">
        <f>IF(ISERROR(ROUND(POWER(1+H6,D6-F6)*(POWER(1+H6,F6)-1)/(POWER(1+H6,D6)-1),3)),0,ROUND(POWER(1+H6,D6-F6)*(POWER(1+H6,F6)-1)/(POWER(1+H6,D6)-1),3))</f>
        <v>0.98599999999999999</v>
      </c>
      <c r="H6" s="2500">
        <v>0.04</v>
      </c>
      <c r="I6" s="2500">
        <v>4.4999999999999998E-2</v>
      </c>
      <c r="J6" s="2585">
        <v>7.4999999999999997E-2</v>
      </c>
      <c r="K6" s="2586">
        <f>SUMIF('数据-汇总表'!C$19:C$33,A6,'数据-汇总表'!E$19:E$33)</f>
        <v>13464.84</v>
      </c>
      <c r="L6" s="2587">
        <v>4500</v>
      </c>
      <c r="M6" s="2588">
        <f t="shared" ref="M6:M14" si="0">ROUND(K6*L6/10000,0)</f>
        <v>6059</v>
      </c>
      <c r="N6" s="2589">
        <v>1</v>
      </c>
      <c r="O6" s="2588" t="str">
        <f>IF($N$5="成新度","——",ROUND(M6*N6,0))</f>
        <v>——</v>
      </c>
      <c r="P6" s="1029" t="str">
        <f>IF($N$5="成新度","——",M6-O6)</f>
        <v>——</v>
      </c>
      <c r="Q6" s="2606">
        <v>0.15</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c r="V6" s="2611"/>
      <c r="W6" s="2611"/>
      <c r="X6" s="2612"/>
      <c r="Y6" s="2627"/>
      <c r="Z6" s="2628"/>
      <c r="AA6" s="2501"/>
      <c r="AB6" s="2501"/>
      <c r="AC6" s="2612"/>
      <c r="AD6" s="2629"/>
      <c r="AE6" s="2630">
        <f ca="1">IF(AN6="",0,SUMIF(INDIRECT("'"&amp;AN6&amp;"'"&amp;"!E:E"),$AE$5,INDIRECT("'"&amp;AN6&amp;"'"&amp;"!F:F")))</f>
        <v>0</v>
      </c>
      <c r="AF6" s="2143"/>
      <c r="AG6" s="1969">
        <f>IF(AF6="",0,AE6-AF6)</f>
        <v>0</v>
      </c>
      <c r="AH6" s="2615"/>
      <c r="AI6" s="2639"/>
      <c r="AJ6" s="2143"/>
      <c r="AK6" s="2640"/>
      <c r="AL6" s="2641"/>
      <c r="AM6" s="2642"/>
      <c r="AN6" s="2643"/>
      <c r="AO6" s="1083" t="e">
        <f ca="1">SUMIF(INDIRECT("'"&amp;AN6&amp;"'"&amp;"!A:A"),"总价",INDIRECT("'"&amp;AN6&amp;"'"&amp;"!B:B"))</f>
        <v>#REF!</v>
      </c>
      <c r="AP6" s="2653">
        <f>IF(C6="住宅",K6*L6,0)</f>
        <v>60591780</v>
      </c>
      <c r="AQ6" s="1083">
        <f>ROUND($L$14*$N$14*S6/10000,0)</f>
        <v>0</v>
      </c>
      <c r="AR6" s="1083">
        <f>ROUND($L$14*(1-$N$14)*S6/10000,0)</f>
        <v>0</v>
      </c>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row>
    <row r="7" spans="1:67" s="2475" customFormat="1" ht="14.25">
      <c r="A7" s="2493" t="str">
        <f>'数据-汇总表'!C20</f>
        <v>商业</v>
      </c>
      <c r="B7" s="2494" t="str">
        <f t="shared" ref="B7:B13" si="1">IF(A7=0,"","经营性")</f>
        <v>经营性</v>
      </c>
      <c r="C7" s="2495" t="s">
        <v>466</v>
      </c>
      <c r="D7" s="2496">
        <f>SUMIF(项目基本情况!D$12:I$12,C7,项目基本情况!D$14:I$14)</f>
        <v>40</v>
      </c>
      <c r="E7" s="2497">
        <f>IF(B7="","",SUMIF(项目基本情况!D$12:I$12,C7,项目基本情况!D$13:I$13))</f>
        <v>58355</v>
      </c>
      <c r="F7" s="2498">
        <f>SUMIF(项目基本情况!D$12:I$12,C7,项目基本情况!D$15:I$15)</f>
        <v>35.28</v>
      </c>
      <c r="G7" s="2499">
        <f t="shared" ref="G7:G13" si="2">IF(ISERROR(ROUND(POWER(1+H7,D7-F7)*(POWER(1+H7,F7)-1)/(POWER(1+H7,D7)-1),3)),0,ROUND(POWER(1+H7,D7-F7)*(POWER(1+H7,F7)-1)/(POWER(1+H7,D7)-1),3))</f>
        <v>0.95699999999999996</v>
      </c>
      <c r="H7" s="2500">
        <v>0.05</v>
      </c>
      <c r="I7" s="2500">
        <v>5.5E-2</v>
      </c>
      <c r="J7" s="2585">
        <v>7.4999999999999997E-2</v>
      </c>
      <c r="K7" s="2586">
        <f>SUMIF('数据-汇总表'!C$19:C$33,A7,'数据-汇总表'!E$19:E$33)</f>
        <v>2704.89</v>
      </c>
      <c r="L7" s="2587">
        <v>3500</v>
      </c>
      <c r="M7" s="2588">
        <f t="shared" si="0"/>
        <v>947</v>
      </c>
      <c r="N7" s="2589">
        <f>N6</f>
        <v>1</v>
      </c>
      <c r="O7" s="2588" t="str">
        <f t="shared" ref="O7:O14" si="3">IF($N$5="成新度","——",ROUND(M7*N7,0))</f>
        <v>——</v>
      </c>
      <c r="P7" s="1029" t="str">
        <f t="shared" ref="P7:P14" si="4">IF($N$5="成新度","——",M7-O7)</f>
        <v>——</v>
      </c>
      <c r="Q7" s="2606">
        <v>0.2</v>
      </c>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v>3</v>
      </c>
      <c r="V7" s="2611">
        <v>0.02</v>
      </c>
      <c r="W7" s="2611">
        <v>0.1</v>
      </c>
      <c r="X7" s="2612"/>
      <c r="Y7" s="2627">
        <v>1</v>
      </c>
      <c r="Z7" s="2628"/>
      <c r="AA7" s="2501"/>
      <c r="AB7" s="2501"/>
      <c r="AC7" s="2612"/>
      <c r="AD7" s="2629"/>
      <c r="AE7" s="2630">
        <f t="shared" ref="AE7:AE13" ca="1" si="6">IF(AN7="",0,SUMIF(INDIRECT("'"&amp;AN7&amp;"'"&amp;"!E:E"),$AE$5,INDIRECT("'"&amp;AN7&amp;"'"&amp;"!F:F")))</f>
        <v>35.28</v>
      </c>
      <c r="AF7" s="2143"/>
      <c r="AG7" s="1969">
        <f t="shared" ref="AG7:AG13" si="7">IF(AF7="",0,AE7-AF7)</f>
        <v>0</v>
      </c>
      <c r="AH7" s="2615"/>
      <c r="AI7" s="2639">
        <v>365</v>
      </c>
      <c r="AJ7" s="2143"/>
      <c r="AK7" s="2644">
        <v>0.01</v>
      </c>
      <c r="AL7" s="2645">
        <v>1E-3</v>
      </c>
      <c r="AM7" s="2644">
        <f t="shared" ref="AM7:AM8" si="8">AK7</f>
        <v>0.01</v>
      </c>
      <c r="AN7" s="2643" t="s">
        <v>266</v>
      </c>
      <c r="AO7" s="1083">
        <f t="shared" ref="AO7:AO13" ca="1" si="9">SUMIF(INDIRECT("'"&amp;AN7&amp;"'"&amp;"!A:A"),"总价",INDIRECT("'"&amp;AN7&amp;"'"&amp;"!B:B"))</f>
        <v>4081</v>
      </c>
      <c r="AP7" s="2653">
        <f t="shared" ref="AP7:AP13" si="10">IF(C7="住宅",K7*L7,0)</f>
        <v>0</v>
      </c>
      <c r="AQ7" s="1083">
        <f t="shared" ref="AQ7:AQ13" si="11">ROUND($L$14*$N$14*S7/10000,0)</f>
        <v>0</v>
      </c>
      <c r="AR7" s="1083">
        <f t="shared" ref="AR7:AR13" si="12">ROUND($L$14*(1-$N$14)*S7/10000,0)</f>
        <v>0</v>
      </c>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s="2475" customFormat="1" ht="14.25">
      <c r="A8" s="2493" t="str">
        <f>'数据-汇总表'!C21</f>
        <v>仓储</v>
      </c>
      <c r="B8" s="2494" t="str">
        <f t="shared" si="1"/>
        <v>经营性</v>
      </c>
      <c r="C8" s="2495" t="s">
        <v>464</v>
      </c>
      <c r="D8" s="2496">
        <f>SUMIF(项目基本情况!D$12:I$12,C8,项目基本情况!D$14:I$14)</f>
        <v>50</v>
      </c>
      <c r="E8" s="2497">
        <f>IF(B8="","",SUMIF(项目基本情况!D$12:I$12,C8,项目基本情况!D$13:I$13))</f>
        <v>62008</v>
      </c>
      <c r="F8" s="2498">
        <f>SUMIF(项目基本情况!D$12:I$12,C8,项目基本情况!D$15:I$15)</f>
        <v>45.29</v>
      </c>
      <c r="G8" s="2499">
        <f t="shared" si="2"/>
        <v>0.97099999999999997</v>
      </c>
      <c r="H8" s="2500">
        <v>4.4999999999999998E-2</v>
      </c>
      <c r="I8" s="2500">
        <v>0.05</v>
      </c>
      <c r="J8" s="2585">
        <v>7.4999999999999997E-2</v>
      </c>
      <c r="K8" s="2586">
        <f>SUMIF('数据-汇总表'!C$19:C$33,A8,'数据-汇总表'!E$19:E$33)</f>
        <v>369.19</v>
      </c>
      <c r="L8" s="2587">
        <f>L7</f>
        <v>3500</v>
      </c>
      <c r="M8" s="2588">
        <f t="shared" si="0"/>
        <v>129</v>
      </c>
      <c r="N8" s="2589">
        <f>N7</f>
        <v>1</v>
      </c>
      <c r="O8" s="2588" t="str">
        <f t="shared" si="3"/>
        <v>——</v>
      </c>
      <c r="P8" s="1029" t="str">
        <f t="shared" si="4"/>
        <v>——</v>
      </c>
      <c r="Q8" s="2606">
        <v>0.1</v>
      </c>
      <c r="R8" s="2607">
        <f ca="1">SUMIF('数据-汇总表'!C$19:C$33,A8,'数据-汇总表'!R$19:R$27)</f>
        <v>0</v>
      </c>
      <c r="S8" s="2608">
        <f>IF('数据-汇总表'!$I$17="按面积比例",SUMIF('数据-汇总表'!C$19:C$33,A8,'数据-汇总表'!K$19:K$33),SUMIF('数据-汇总表'!C$19:C$33,A8,'数据-汇总表'!N$19:N$33))</f>
        <v>0</v>
      </c>
      <c r="T8" s="2609">
        <f t="shared" si="5"/>
        <v>0</v>
      </c>
      <c r="U8" s="2211">
        <v>1</v>
      </c>
      <c r="V8" s="2613">
        <v>1.4999999999999999E-2</v>
      </c>
      <c r="W8" s="2613">
        <v>0.1</v>
      </c>
      <c r="X8" s="2612"/>
      <c r="Y8" s="2631">
        <v>1</v>
      </c>
      <c r="Z8" s="2628"/>
      <c r="AA8" s="2501"/>
      <c r="AB8" s="2501"/>
      <c r="AC8" s="2612"/>
      <c r="AD8" s="2629"/>
      <c r="AE8" s="2630">
        <f t="shared" ca="1" si="6"/>
        <v>45.29</v>
      </c>
      <c r="AF8" s="2143"/>
      <c r="AG8" s="1969">
        <f t="shared" si="7"/>
        <v>0</v>
      </c>
      <c r="AH8" s="2646"/>
      <c r="AI8" s="2639">
        <v>365</v>
      </c>
      <c r="AJ8" s="2143"/>
      <c r="AK8" s="2644">
        <v>0.01</v>
      </c>
      <c r="AL8" s="2645">
        <v>1E-3</v>
      </c>
      <c r="AM8" s="2644">
        <f t="shared" si="8"/>
        <v>0.01</v>
      </c>
      <c r="AN8" s="2643" t="s">
        <v>3023</v>
      </c>
      <c r="AO8" s="1083">
        <f t="shared" ca="1" si="9"/>
        <v>182</v>
      </c>
      <c r="AP8" s="2653">
        <f t="shared" si="10"/>
        <v>0</v>
      </c>
      <c r="AQ8" s="1083">
        <f t="shared" si="11"/>
        <v>0</v>
      </c>
      <c r="AR8" s="1083">
        <f t="shared" si="12"/>
        <v>0</v>
      </c>
      <c r="AS8" s="2418"/>
      <c r="AT8" s="2418"/>
      <c r="AU8" s="2418"/>
      <c r="AV8" s="2418"/>
      <c r="AW8" s="2418"/>
      <c r="AX8" s="2418"/>
      <c r="AY8" s="2418"/>
      <c r="AZ8" s="2418"/>
      <c r="BA8" s="2418"/>
      <c r="BB8" s="2418"/>
      <c r="BC8" s="2418"/>
      <c r="BD8" s="2418"/>
      <c r="BE8" s="2418"/>
      <c r="BF8" s="2418"/>
      <c r="BG8" s="2418"/>
      <c r="BH8" s="2418"/>
      <c r="BI8" s="2418"/>
      <c r="BJ8" s="2418"/>
      <c r="BK8" s="2418"/>
      <c r="BL8" s="2418"/>
      <c r="BM8" s="2418"/>
      <c r="BN8" s="2418"/>
      <c r="BO8" s="2418"/>
    </row>
    <row r="9" spans="1:67" s="2475" customFormat="1" ht="14.25">
      <c r="A9" s="2493" t="str">
        <f>'数据-汇总表'!C22</f>
        <v>地下车库</v>
      </c>
      <c r="B9" s="2494" t="str">
        <f t="shared" si="1"/>
        <v>经营性</v>
      </c>
      <c r="C9" s="2495" t="s">
        <v>465</v>
      </c>
      <c r="D9" s="2496">
        <f>SUMIF(项目基本情况!D$12:I$12,C9,项目基本情况!D$14:I$14)</f>
        <v>50</v>
      </c>
      <c r="E9" s="2497">
        <f>IF(B9="","",SUMIF(项目基本情况!D$12:I$12,C9,项目基本情况!D$13:I$13))</f>
        <v>62008</v>
      </c>
      <c r="F9" s="2498">
        <f>SUMIF(项目基本情况!D$12:I$12,C9,项目基本情况!D$15:I$15)</f>
        <v>45.29</v>
      </c>
      <c r="G9" s="2499">
        <f t="shared" si="2"/>
        <v>0.97099999999999997</v>
      </c>
      <c r="H9" s="2500">
        <v>4.4999999999999998E-2</v>
      </c>
      <c r="I9" s="2500">
        <v>0.05</v>
      </c>
      <c r="J9" s="2585">
        <v>7.4999999999999997E-2</v>
      </c>
      <c r="K9" s="2586">
        <f>SUMIF('数据-汇总表'!C$19:C$33,A9,'数据-汇总表'!E$19:E$33)</f>
        <v>32774.76</v>
      </c>
      <c r="L9" s="2587">
        <f>L8</f>
        <v>3500</v>
      </c>
      <c r="M9" s="2588">
        <f t="shared" si="0"/>
        <v>11471</v>
      </c>
      <c r="N9" s="2589">
        <f>N8</f>
        <v>1</v>
      </c>
      <c r="O9" s="2588" t="str">
        <f t="shared" si="3"/>
        <v>——</v>
      </c>
      <c r="P9" s="1029" t="str">
        <f t="shared" si="4"/>
        <v>——</v>
      </c>
      <c r="Q9" s="2606">
        <v>0.05</v>
      </c>
      <c r="R9" s="2607">
        <f ca="1">SUMIF('数据-汇总表'!C$19:C$33,A9,'数据-汇总表'!R$19:R$27)</f>
        <v>0</v>
      </c>
      <c r="S9" s="2608">
        <f>IF('数据-汇总表'!$I$17="按面积比例",SUMIF('数据-汇总表'!C$19:C$33,A9,'数据-汇总表'!K$19:K$33),SUMIF('数据-汇总表'!C$19:C$33,A9,'数据-汇总表'!N$19:N$33))</f>
        <v>0</v>
      </c>
      <c r="T9" s="2609">
        <f t="shared" si="5"/>
        <v>0</v>
      </c>
      <c r="U9" s="2610">
        <v>450</v>
      </c>
      <c r="V9" s="2611">
        <v>0.02</v>
      </c>
      <c r="W9" s="2611">
        <v>0.1</v>
      </c>
      <c r="X9" s="2612"/>
      <c r="Y9" s="2627">
        <v>1</v>
      </c>
      <c r="Z9" s="2628"/>
      <c r="AA9" s="2501"/>
      <c r="AB9" s="2501"/>
      <c r="AC9" s="2612"/>
      <c r="AD9" s="2629"/>
      <c r="AE9" s="2630">
        <f t="shared" ca="1" si="6"/>
        <v>45.29</v>
      </c>
      <c r="AF9" s="2143"/>
      <c r="AG9" s="1969">
        <f t="shared" si="7"/>
        <v>0</v>
      </c>
      <c r="AH9" s="3073">
        <f>工程进度!O18+工程进度!O19</f>
        <v>1181</v>
      </c>
      <c r="AI9" s="2639">
        <v>12</v>
      </c>
      <c r="AJ9" s="2143"/>
      <c r="AK9" s="2644">
        <v>0.01</v>
      </c>
      <c r="AL9" s="2645">
        <v>1E-3</v>
      </c>
      <c r="AM9" s="2644">
        <f>AK9</f>
        <v>0.01</v>
      </c>
      <c r="AN9" s="2643" t="s">
        <v>3026</v>
      </c>
      <c r="AO9" s="1083">
        <f t="shared" ca="1" si="9"/>
        <v>7590</v>
      </c>
      <c r="AP9" s="2653">
        <f t="shared" si="10"/>
        <v>0</v>
      </c>
      <c r="AQ9" s="1083">
        <f t="shared" si="11"/>
        <v>0</v>
      </c>
      <c r="AR9" s="1083">
        <f t="shared" si="12"/>
        <v>0</v>
      </c>
      <c r="AS9" s="2418"/>
      <c r="AT9" s="2418"/>
      <c r="AU9" s="2418"/>
      <c r="AV9" s="2418"/>
      <c r="AW9" s="2418"/>
      <c r="AX9" s="2418"/>
      <c r="AY9" s="2418"/>
      <c r="AZ9" s="2418"/>
      <c r="BA9" s="2418"/>
      <c r="BB9" s="2418"/>
      <c r="BC9" s="2418"/>
      <c r="BD9" s="2418"/>
      <c r="BE9" s="2418"/>
      <c r="BF9" s="2418"/>
      <c r="BG9" s="2418"/>
      <c r="BH9" s="2418"/>
      <c r="BI9" s="2418"/>
      <c r="BJ9" s="2418"/>
      <c r="BK9" s="2418"/>
      <c r="BL9" s="2418"/>
      <c r="BM9" s="2418"/>
      <c r="BN9" s="2418"/>
      <c r="BO9" s="2418"/>
    </row>
    <row r="10" spans="1:67" s="2475" customFormat="1" ht="14.25">
      <c r="A10" s="2493" t="str">
        <f>'数据-汇总表'!C23</f>
        <v>住宅基准701</v>
      </c>
      <c r="B10" s="2494" t="str">
        <f t="shared" si="1"/>
        <v>经营性</v>
      </c>
      <c r="C10" s="2495" t="s">
        <v>463</v>
      </c>
      <c r="D10" s="2496">
        <f>SUMIF(项目基本情况!D$12:I$12,C10,项目基本情况!D$14:I$14)</f>
        <v>70</v>
      </c>
      <c r="E10" s="2497">
        <f>IF(B10="","",SUMIF(项目基本情况!D$12:I$12,C10,项目基本情况!D$13:I$13))</f>
        <v>69313</v>
      </c>
      <c r="F10" s="2498">
        <f>SUMIF(项目基本情况!D$12:I$12,C10,项目基本情况!D$15:I$15)</f>
        <v>65.3</v>
      </c>
      <c r="G10" s="2499">
        <f t="shared" si="2"/>
        <v>0.98599999999999999</v>
      </c>
      <c r="H10" s="2501">
        <f>H6</f>
        <v>0.04</v>
      </c>
      <c r="I10" s="2501">
        <f>I6</f>
        <v>4.4999999999999998E-2</v>
      </c>
      <c r="J10" s="2501">
        <f>J6</f>
        <v>7.4999999999999997E-2</v>
      </c>
      <c r="K10" s="2586">
        <f>SUMIF('数据-汇总表'!C$19:C$33,A10,'数据-汇总表'!E$19:E$33)</f>
        <v>89.53</v>
      </c>
      <c r="L10" s="2590">
        <f>L6</f>
        <v>4500</v>
      </c>
      <c r="M10" s="2588">
        <f t="shared" si="0"/>
        <v>40</v>
      </c>
      <c r="N10" s="2591">
        <f>N6</f>
        <v>1</v>
      </c>
      <c r="O10" s="2588" t="str">
        <f t="shared" si="3"/>
        <v>——</v>
      </c>
      <c r="P10" s="1029" t="str">
        <f t="shared" si="4"/>
        <v>——</v>
      </c>
      <c r="Q10" s="2606">
        <f>Q6</f>
        <v>0.15</v>
      </c>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27"/>
      <c r="Z10" s="2628"/>
      <c r="AA10" s="2501"/>
      <c r="AB10" s="2501"/>
      <c r="AC10" s="2612"/>
      <c r="AD10" s="2629"/>
      <c r="AE10" s="2630">
        <f t="shared" ca="1" si="6"/>
        <v>0</v>
      </c>
      <c r="AF10" s="2143"/>
      <c r="AG10" s="1969">
        <f t="shared" si="7"/>
        <v>0</v>
      </c>
      <c r="AH10" s="2615"/>
      <c r="AI10" s="2639"/>
      <c r="AJ10" s="2143"/>
      <c r="AK10" s="2640"/>
      <c r="AL10" s="2641"/>
      <c r="AM10" s="2642"/>
      <c r="AN10" s="2643"/>
      <c r="AO10" s="1083" t="e">
        <f t="shared" ca="1" si="9"/>
        <v>#REF!</v>
      </c>
      <c r="AP10" s="2653">
        <f t="shared" si="10"/>
        <v>402885</v>
      </c>
      <c r="AQ10" s="1083">
        <f t="shared" si="11"/>
        <v>0</v>
      </c>
      <c r="AR10" s="1083">
        <f t="shared" si="12"/>
        <v>0</v>
      </c>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row>
    <row r="11" spans="1:67" s="2475" customFormat="1" ht="14.25">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9">
        <f t="shared" si="2"/>
        <v>0</v>
      </c>
      <c r="H11" s="2501"/>
      <c r="I11" s="2501"/>
      <c r="J11" s="2501"/>
      <c r="K11" s="2586">
        <f>SUMIF('数据-汇总表'!C$19:C$33,A11,'数据-汇总表'!E$19:E$33)</f>
        <v>0</v>
      </c>
      <c r="L11" s="2592"/>
      <c r="M11" s="2588">
        <f t="shared" si="0"/>
        <v>0</v>
      </c>
      <c r="N11" s="2593"/>
      <c r="O11" s="2588" t="str">
        <f t="shared" si="3"/>
        <v>——</v>
      </c>
      <c r="P11" s="1029" t="str">
        <f t="shared" si="4"/>
        <v>——</v>
      </c>
      <c r="Q11" s="2606"/>
      <c r="R11" s="2607">
        <f ca="1">SUMIF('数据-汇总表'!C$19:C$33,A11,'数据-汇总表'!R$19:R$27)</f>
        <v>0</v>
      </c>
      <c r="S11" s="2608">
        <f>IF('数据-汇总表'!$I$17="按面积比例",SUMIF('数据-汇总表'!C$19:C$33,A11,'数据-汇总表'!K$19:K$33),SUMIF('数据-汇总表'!C$19:C$33,A11,'数据-汇总表'!N$19:N$33))</f>
        <v>0</v>
      </c>
      <c r="T11" s="2609">
        <f t="shared" si="5"/>
        <v>0</v>
      </c>
      <c r="U11" s="2615"/>
      <c r="V11" s="2501"/>
      <c r="W11" s="2501"/>
      <c r="X11" s="2612"/>
      <c r="Y11" s="2627"/>
      <c r="Z11" s="2632"/>
      <c r="AA11" s="2501"/>
      <c r="AB11" s="2501"/>
      <c r="AC11" s="2612"/>
      <c r="AD11" s="2629"/>
      <c r="AE11" s="2630">
        <f t="shared" ca="1" si="6"/>
        <v>0</v>
      </c>
      <c r="AF11" s="2143"/>
      <c r="AG11" s="1969">
        <f t="shared" si="7"/>
        <v>0</v>
      </c>
      <c r="AH11" s="2615"/>
      <c r="AI11" s="2639"/>
      <c r="AJ11" s="2143"/>
      <c r="AK11" s="2640"/>
      <c r="AL11" s="2641"/>
      <c r="AM11" s="2642"/>
      <c r="AN11" s="2643"/>
      <c r="AO11" s="1083" t="e">
        <f t="shared" ca="1" si="9"/>
        <v>#REF!</v>
      </c>
      <c r="AP11" s="2653">
        <f t="shared" si="10"/>
        <v>0</v>
      </c>
      <c r="AQ11" s="1083">
        <f t="shared" si="11"/>
        <v>0</v>
      </c>
      <c r="AR11" s="1083">
        <f t="shared" si="12"/>
        <v>0</v>
      </c>
      <c r="AS11" s="2418"/>
      <c r="AT11" s="2418"/>
      <c r="AU11" s="2418"/>
      <c r="AV11" s="2418"/>
      <c r="AW11" s="2418"/>
      <c r="AX11" s="2418"/>
      <c r="AY11" s="2418"/>
      <c r="AZ11" s="2418"/>
      <c r="BA11" s="2418"/>
      <c r="BB11" s="2418"/>
      <c r="BC11" s="2418"/>
      <c r="BD11" s="2418"/>
      <c r="BE11" s="2418"/>
      <c r="BF11" s="2418"/>
      <c r="BG11" s="2418"/>
      <c r="BH11" s="2418"/>
      <c r="BI11" s="2418"/>
      <c r="BJ11" s="2418"/>
      <c r="BK11" s="2418"/>
      <c r="BL11" s="2418"/>
      <c r="BM11" s="2418"/>
      <c r="BN11" s="2418"/>
      <c r="BO11" s="2418"/>
    </row>
    <row r="12" spans="1:67" s="2475" customFormat="1" ht="14.25">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9">
        <f t="shared" si="2"/>
        <v>0</v>
      </c>
      <c r="H12" s="2501"/>
      <c r="I12" s="2501"/>
      <c r="J12" s="2501"/>
      <c r="K12" s="2586">
        <f>SUMIF('数据-汇总表'!C$19:C$33,A12,'数据-汇总表'!E$19:E$33)</f>
        <v>0</v>
      </c>
      <c r="L12" s="2592"/>
      <c r="M12" s="2588">
        <f t="shared" si="0"/>
        <v>0</v>
      </c>
      <c r="N12" s="2593"/>
      <c r="O12" s="2588" t="str">
        <f t="shared" si="3"/>
        <v>——</v>
      </c>
      <c r="P12" s="1029" t="str">
        <f t="shared" si="4"/>
        <v>——</v>
      </c>
      <c r="Q12" s="2614"/>
      <c r="R12" s="2607">
        <f ca="1">SUMIF('数据-汇总表'!C$19:C$33,A12,'数据-汇总表'!R$19:R$27)</f>
        <v>0</v>
      </c>
      <c r="S12" s="2608">
        <f>IF('数据-汇总表'!$I$17="按面积比例",SUMIF('数据-汇总表'!C$19:C$33,A12,'数据-汇总表'!K$19:K$33),SUMIF('数据-汇总表'!C$19:C$33,A12,'数据-汇总表'!N$19:N$33))</f>
        <v>0</v>
      </c>
      <c r="T12" s="2609">
        <f t="shared" si="5"/>
        <v>0</v>
      </c>
      <c r="U12" s="2615"/>
      <c r="V12" s="2501"/>
      <c r="W12" s="2501"/>
      <c r="X12" s="2612"/>
      <c r="Y12" s="2627"/>
      <c r="Z12" s="2632"/>
      <c r="AA12" s="2501"/>
      <c r="AB12" s="2501"/>
      <c r="AC12" s="2612"/>
      <c r="AD12" s="2629"/>
      <c r="AE12" s="2630">
        <f t="shared" ca="1" si="6"/>
        <v>0</v>
      </c>
      <c r="AF12" s="2143"/>
      <c r="AG12" s="1969">
        <f t="shared" si="7"/>
        <v>0</v>
      </c>
      <c r="AH12" s="2615"/>
      <c r="AI12" s="2639"/>
      <c r="AJ12" s="2143"/>
      <c r="AK12" s="2640"/>
      <c r="AL12" s="2641"/>
      <c r="AM12" s="2642"/>
      <c r="AN12" s="2643"/>
      <c r="AO12" s="1083" t="e">
        <f t="shared" ca="1" si="9"/>
        <v>#REF!</v>
      </c>
      <c r="AP12" s="2653">
        <f t="shared" si="10"/>
        <v>0</v>
      </c>
      <c r="AQ12" s="1083">
        <f t="shared" si="11"/>
        <v>0</v>
      </c>
      <c r="AR12" s="1083">
        <f t="shared" si="12"/>
        <v>0</v>
      </c>
      <c r="AS12" s="2418"/>
      <c r="AT12" s="2418"/>
      <c r="AU12" s="2418"/>
      <c r="AV12" s="2418"/>
      <c r="AW12" s="2418"/>
      <c r="AX12" s="2418"/>
      <c r="AY12" s="2418"/>
      <c r="AZ12" s="2418"/>
      <c r="BA12" s="2418"/>
      <c r="BB12" s="2418"/>
      <c r="BC12" s="2418"/>
      <c r="BD12" s="2418"/>
      <c r="BE12" s="2418"/>
      <c r="BF12" s="2418"/>
      <c r="BG12" s="2418"/>
      <c r="BH12" s="2418"/>
      <c r="BI12" s="2418"/>
      <c r="BJ12" s="2418"/>
      <c r="BK12" s="2418"/>
      <c r="BL12" s="2418"/>
      <c r="BM12" s="2418"/>
      <c r="BN12" s="2418"/>
      <c r="BO12" s="2418"/>
    </row>
    <row r="13" spans="1:67" s="2475" customFormat="1" ht="14.25">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9">
        <f t="shared" si="2"/>
        <v>0</v>
      </c>
      <c r="H13" s="2501"/>
      <c r="I13" s="2501"/>
      <c r="J13" s="2501"/>
      <c r="K13" s="2586">
        <f>SUMIF('数据-汇总表'!C$19:C$33,A13,'数据-汇总表'!E$19:E$33)</f>
        <v>0</v>
      </c>
      <c r="L13" s="2592"/>
      <c r="M13" s="2588">
        <f t="shared" si="0"/>
        <v>0</v>
      </c>
      <c r="N13" s="2593"/>
      <c r="O13" s="2588" t="str">
        <f t="shared" si="3"/>
        <v>——</v>
      </c>
      <c r="P13" s="1029" t="str">
        <f t="shared" si="4"/>
        <v>——</v>
      </c>
      <c r="Q13" s="2614"/>
      <c r="R13" s="2607">
        <f ca="1">SUMIF('数据-汇总表'!C$19:C$33,A13,'数据-汇总表'!R$19:R$27)</f>
        <v>0</v>
      </c>
      <c r="S13" s="2608">
        <f>IF('数据-汇总表'!$I$17="按面积比例",SUMIF('数据-汇总表'!C$19:C$33,A13,'数据-汇总表'!K$19:K$33),SUMIF('数据-汇总表'!C$19:C$33,A13,'数据-汇总表'!N$19:N$33))</f>
        <v>0</v>
      </c>
      <c r="T13" s="2609">
        <f t="shared" si="5"/>
        <v>0</v>
      </c>
      <c r="U13" s="2610"/>
      <c r="V13" s="2611"/>
      <c r="W13" s="2611"/>
      <c r="X13" s="2612"/>
      <c r="Y13" s="2627"/>
      <c r="Z13" s="2628"/>
      <c r="AA13" s="2501"/>
      <c r="AB13" s="2501"/>
      <c r="AC13" s="2612"/>
      <c r="AD13" s="2629"/>
      <c r="AE13" s="2630">
        <f t="shared" ca="1" si="6"/>
        <v>0</v>
      </c>
      <c r="AF13" s="2143"/>
      <c r="AG13" s="1969">
        <f t="shared" si="7"/>
        <v>0</v>
      </c>
      <c r="AH13" s="2615"/>
      <c r="AI13" s="2639"/>
      <c r="AJ13" s="2143"/>
      <c r="AK13" s="2640"/>
      <c r="AL13" s="2641"/>
      <c r="AM13" s="2642"/>
      <c r="AN13" s="2643"/>
      <c r="AO13" s="1083" t="e">
        <f t="shared" ca="1" si="9"/>
        <v>#REF!</v>
      </c>
      <c r="AP13" s="2653">
        <f t="shared" si="10"/>
        <v>0</v>
      </c>
      <c r="AQ13" s="1083">
        <f t="shared" si="11"/>
        <v>0</v>
      </c>
      <c r="AR13" s="1083">
        <f t="shared" si="12"/>
        <v>0</v>
      </c>
      <c r="AS13" s="2418"/>
      <c r="AT13" s="2418"/>
      <c r="AU13" s="2418"/>
      <c r="AV13" s="2418"/>
      <c r="AW13" s="2418"/>
      <c r="AX13" s="2418"/>
      <c r="AY13" s="2418"/>
      <c r="AZ13" s="2418"/>
      <c r="BA13" s="2418"/>
      <c r="BB13" s="2418"/>
      <c r="BC13" s="2418"/>
      <c r="BD13" s="2418"/>
      <c r="BE13" s="2418"/>
      <c r="BF13" s="2418"/>
      <c r="BG13" s="2418"/>
      <c r="BH13" s="2418"/>
      <c r="BI13" s="2418"/>
      <c r="BJ13" s="2418"/>
      <c r="BK13" s="2418"/>
      <c r="BL13" s="2418"/>
      <c r="BM13" s="2418"/>
      <c r="BN13" s="2418"/>
      <c r="BO13" s="2418"/>
    </row>
    <row r="14" spans="1:67" s="2475" customFormat="1" ht="14.25">
      <c r="A14" s="2502" t="s">
        <v>548</v>
      </c>
      <c r="B14" s="2494" t="s">
        <v>547</v>
      </c>
      <c r="C14" s="2503" t="s">
        <v>548</v>
      </c>
      <c r="D14" s="2496"/>
      <c r="E14" s="2497"/>
      <c r="F14" s="2498"/>
      <c r="G14" s="2499"/>
      <c r="H14" s="2504"/>
      <c r="I14" s="2504"/>
      <c r="J14" s="2504"/>
      <c r="K14" s="2586">
        <f>SUMIF('数据-汇总表'!C$19:C$33,A14,'数据-汇总表'!E$19:E$33)</f>
        <v>0</v>
      </c>
      <c r="L14" s="2592"/>
      <c r="M14" s="2588">
        <f t="shared" si="0"/>
        <v>0</v>
      </c>
      <c r="N14" s="2593"/>
      <c r="O14" s="2588" t="str">
        <f t="shared" si="3"/>
        <v>——</v>
      </c>
      <c r="P14" s="1029" t="str">
        <f t="shared" si="4"/>
        <v>——</v>
      </c>
      <c r="Q14" s="2616"/>
      <c r="R14" s="2607"/>
      <c r="S14" s="2608"/>
      <c r="T14" s="2609"/>
      <c r="U14" s="2617"/>
      <c r="V14" s="2618"/>
      <c r="W14" s="2618"/>
      <c r="X14" s="2619"/>
      <c r="Y14" s="2633"/>
      <c r="Z14" s="2146"/>
      <c r="AA14" s="2634"/>
      <c r="AB14" s="2634"/>
      <c r="AC14" s="2612"/>
      <c r="AD14" s="2619"/>
      <c r="AE14" s="2630"/>
      <c r="AF14" s="1083"/>
      <c r="AG14" s="1969"/>
      <c r="AH14" s="2630"/>
      <c r="AI14" s="1074"/>
      <c r="AJ14" s="1083"/>
      <c r="AK14" s="2647"/>
      <c r="AL14" s="2648"/>
      <c r="AM14" s="2649"/>
      <c r="AN14" s="2011"/>
      <c r="AO14" s="2513"/>
      <c r="AP14" s="2513"/>
      <c r="AQ14" s="2513"/>
      <c r="AR14" s="2513"/>
      <c r="AS14" s="2418"/>
      <c r="AT14" s="2418"/>
      <c r="AU14" s="2418"/>
      <c r="AV14" s="2418"/>
      <c r="AW14" s="2418"/>
      <c r="AX14" s="2418"/>
      <c r="AY14" s="2418"/>
      <c r="AZ14" s="2418"/>
      <c r="BA14" s="2418"/>
      <c r="BB14" s="2418"/>
      <c r="BC14" s="2418"/>
      <c r="BD14" s="2418"/>
      <c r="BE14" s="2418"/>
      <c r="BF14" s="2418"/>
      <c r="BG14" s="2418"/>
      <c r="BH14" s="2418"/>
      <c r="BI14" s="2418"/>
      <c r="BJ14" s="2418"/>
      <c r="BK14" s="2418"/>
      <c r="BL14" s="2418"/>
      <c r="BM14" s="2418"/>
      <c r="BN14" s="2418"/>
      <c r="BO14" s="2418"/>
    </row>
    <row r="15" spans="1:67" s="2475" customFormat="1" ht="27">
      <c r="A15" s="2502" t="s">
        <v>549</v>
      </c>
      <c r="B15" s="2494" t="s">
        <v>547</v>
      </c>
      <c r="C15" s="2503" t="s">
        <v>594</v>
      </c>
      <c r="D15" s="2496"/>
      <c r="E15" s="2497"/>
      <c r="F15" s="2498"/>
      <c r="G15" s="2499"/>
      <c r="H15" s="2504"/>
      <c r="I15" s="2504"/>
      <c r="J15" s="2504"/>
      <c r="K15" s="2586">
        <f>SUMIF('数据-汇总表'!C$19:C$33,A15,'数据-汇总表'!E$19:E$33)</f>
        <v>0</v>
      </c>
      <c r="L15" s="2594"/>
      <c r="M15" s="2588"/>
      <c r="N15" s="2595"/>
      <c r="O15" s="2588"/>
      <c r="P15" s="1029"/>
      <c r="Q15" s="2616"/>
      <c r="R15" s="2607"/>
      <c r="S15" s="2608"/>
      <c r="T15" s="2609"/>
      <c r="U15" s="2617"/>
      <c r="V15" s="2618"/>
      <c r="W15" s="2618"/>
      <c r="X15" s="2619"/>
      <c r="Y15" s="2633"/>
      <c r="Z15" s="2146"/>
      <c r="AA15" s="2634"/>
      <c r="AB15" s="2634"/>
      <c r="AC15" s="2612"/>
      <c r="AD15" s="2619"/>
      <c r="AE15" s="2630"/>
      <c r="AF15" s="1083"/>
      <c r="AG15" s="1969"/>
      <c r="AH15" s="2630"/>
      <c r="AI15" s="1074"/>
      <c r="AJ15" s="1083"/>
      <c r="AK15" s="2647"/>
      <c r="AL15" s="2648"/>
      <c r="AM15" s="2649"/>
      <c r="AN15" s="2011"/>
      <c r="AO15" s="2513"/>
      <c r="AP15" s="2513"/>
      <c r="AQ15" s="2513"/>
      <c r="AR15" s="2513"/>
      <c r="AS15" s="2418"/>
      <c r="AT15" s="2418"/>
      <c r="AU15" s="2418"/>
      <c r="AV15" s="2418"/>
      <c r="AW15" s="2418"/>
      <c r="AX15" s="2418"/>
      <c r="AY15" s="2418"/>
      <c r="AZ15" s="2418"/>
      <c r="BA15" s="2418"/>
      <c r="BB15" s="2418"/>
      <c r="BC15" s="2418"/>
      <c r="BD15" s="2418"/>
      <c r="BE15" s="2418"/>
      <c r="BF15" s="2418"/>
      <c r="BG15" s="2418"/>
      <c r="BH15" s="2418"/>
      <c r="BI15" s="2418"/>
      <c r="BJ15" s="2418"/>
      <c r="BK15" s="2418"/>
      <c r="BL15" s="2418"/>
      <c r="BM15" s="2418"/>
      <c r="BN15" s="2418"/>
      <c r="BO15" s="2418"/>
    </row>
    <row r="16" spans="1:67" s="2475" customFormat="1" ht="15">
      <c r="A16" s="2505" t="s">
        <v>550</v>
      </c>
      <c r="B16" s="2506"/>
      <c r="C16" s="2069"/>
      <c r="D16" s="2507"/>
      <c r="E16" s="2506"/>
      <c r="F16" s="2506"/>
      <c r="G16" s="2508">
        <f>ROUND(SUMPRODUCT(G6:G13,K6:K13)/SUMPRODUCT((G6:G13&gt;0)*(K6:K13)),3)</f>
        <v>0.97399999999999998</v>
      </c>
      <c r="H16" s="2509">
        <f>ROUND(SUMPRODUCT(H6:H13,K6:K13)/SUMPRODUCT((H6:H13&gt;0)*(K6:K13)),3)</f>
        <v>4.3999999999999997E-2</v>
      </c>
      <c r="I16" s="2596"/>
      <c r="J16" s="2596"/>
      <c r="K16" s="2597">
        <f>SUM(K6:K15)</f>
        <v>49403.21</v>
      </c>
      <c r="L16" s="2598">
        <f>ROUND(M16*10000/SUM(K6:K14),0)</f>
        <v>3774</v>
      </c>
      <c r="M16" s="2598">
        <f>SUM(M6:M14)</f>
        <v>18646</v>
      </c>
      <c r="N16" s="2599">
        <f>ROUND(SUMPRODUCT(M6:M14,N6:N14)/M16,3)</f>
        <v>1</v>
      </c>
      <c r="O16" s="2598">
        <f>SUM(O6:O14)</f>
        <v>0</v>
      </c>
      <c r="P16" s="2598">
        <f>SUM(P6:P14)</f>
        <v>0</v>
      </c>
      <c r="Q16" s="2620">
        <f>ROUND(SUMPRODUCT(Q6:Q13,K6:K13)/SUMPRODUCT((Q6:Q13&gt;0)*(K6:K13)),2)</f>
        <v>0.09</v>
      </c>
      <c r="R16" s="2621">
        <f ca="1">SUM(R6:R13)</f>
        <v>0</v>
      </c>
      <c r="S16" s="2622">
        <f>SUM(S6:S13)</f>
        <v>0</v>
      </c>
      <c r="T16" s="2623">
        <f>IF(SUMIF(T6:T13,"&lt;9E307")=M14,SUMIF(T6:T13,"&lt;9E307"),"有误，请检查")</f>
        <v>0</v>
      </c>
      <c r="U16" s="2624"/>
      <c r="V16" s="2158"/>
      <c r="W16" s="2158"/>
      <c r="X16" s="2625"/>
      <c r="Y16" s="2635"/>
      <c r="Z16" s="2636"/>
      <c r="AA16" s="2158"/>
      <c r="AB16" s="2158"/>
      <c r="AC16" s="2625"/>
      <c r="AD16" s="2625"/>
      <c r="AE16" s="2624"/>
      <c r="AF16" s="2158"/>
      <c r="AG16" s="2635"/>
      <c r="AH16" s="2624"/>
      <c r="AI16" s="2636"/>
      <c r="AJ16" s="2636"/>
      <c r="AK16" s="2158"/>
      <c r="AL16" s="2158"/>
      <c r="AM16" s="2635"/>
      <c r="AN16" s="2011"/>
      <c r="AO16" s="2513"/>
      <c r="AP16" s="2513"/>
      <c r="AQ16" s="2513"/>
      <c r="AR16" s="2513"/>
      <c r="AS16" s="2418"/>
      <c r="AT16" s="2418"/>
      <c r="AU16" s="2418"/>
      <c r="AV16" s="2418"/>
      <c r="AW16" s="2418"/>
      <c r="AX16" s="2418"/>
      <c r="AY16" s="2418"/>
      <c r="AZ16" s="2418"/>
      <c r="BA16" s="2418"/>
      <c r="BB16" s="2418"/>
      <c r="BC16" s="2418"/>
      <c r="BD16" s="2418"/>
      <c r="BE16" s="2418"/>
      <c r="BF16" s="2418"/>
      <c r="BG16" s="2418"/>
      <c r="BH16" s="2418"/>
      <c r="BI16" s="2418"/>
      <c r="BJ16" s="2418"/>
      <c r="BK16" s="2418"/>
      <c r="BL16" s="2418"/>
      <c r="BM16" s="2418"/>
      <c r="BN16" s="2418"/>
      <c r="BO16" s="2418"/>
    </row>
    <row r="17" spans="1:44">
      <c r="A17" s="2424"/>
      <c r="B17" s="2510"/>
      <c r="C17" s="2011"/>
      <c r="D17" s="2511"/>
      <c r="E17" s="2511"/>
      <c r="F17" s="2011"/>
      <c r="G17" s="2011"/>
      <c r="H17" s="2011"/>
      <c r="I17" s="2011"/>
      <c r="J17" s="2011"/>
      <c r="K17" s="2600"/>
      <c r="L17" s="2600"/>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spans="1:44" ht="14.25">
      <c r="A18" s="1261" t="s">
        <v>595</v>
      </c>
      <c r="B18" s="2512"/>
      <c r="C18" s="2513"/>
      <c r="D18" s="2514"/>
      <c r="E18" s="2513"/>
      <c r="F18" s="2513"/>
      <c r="G18" s="2513"/>
      <c r="H18" s="2513"/>
      <c r="I18" s="2513"/>
      <c r="J18" s="2513"/>
      <c r="K18" s="2600"/>
      <c r="L18" s="2600"/>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row>
    <row r="19" spans="1:44" ht="14.25">
      <c r="A19" s="2515" t="s">
        <v>596</v>
      </c>
      <c r="B19" s="2516">
        <v>0</v>
      </c>
      <c r="C19" s="2517" t="s">
        <v>597</v>
      </c>
      <c r="D19" s="2514"/>
      <c r="E19" s="2513"/>
      <c r="F19" s="2513"/>
      <c r="G19" s="2513"/>
      <c r="H19" s="2513"/>
      <c r="I19" s="2513"/>
      <c r="J19" s="2513"/>
      <c r="K19" s="2600"/>
      <c r="L19" s="2600"/>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spans="1:44" ht="14.25">
      <c r="A20" s="2518" t="s">
        <v>598</v>
      </c>
      <c r="B20" s="2519">
        <v>3</v>
      </c>
      <c r="C20" s="2520" t="s">
        <v>599</v>
      </c>
      <c r="D20" s="2514"/>
      <c r="E20" s="2513"/>
      <c r="F20" s="2513"/>
      <c r="G20" s="2513"/>
      <c r="H20" s="2513"/>
      <c r="I20" s="2513"/>
      <c r="J20" s="2513"/>
      <c r="K20" s="2600"/>
      <c r="L20" s="2600"/>
      <c r="M20" s="2011"/>
      <c r="N20" s="2011"/>
      <c r="O20" s="2011"/>
      <c r="P20" s="2011"/>
      <c r="Q20" s="2011"/>
      <c r="R20" s="2011"/>
      <c r="S20" s="2011"/>
      <c r="T20" s="2011"/>
      <c r="U20" s="2011" t="s">
        <v>600</v>
      </c>
      <c r="V20" s="2011">
        <v>2183.39</v>
      </c>
      <c r="W20" s="2011">
        <v>3</v>
      </c>
      <c r="X20" s="2011">
        <f>(Z20+Z21+Z22)/3*X21</f>
        <v>2.68333333333333</v>
      </c>
      <c r="Y20" s="2011"/>
      <c r="Z20" s="2011">
        <v>1</v>
      </c>
      <c r="AA20" s="2011"/>
      <c r="AB20" s="2011"/>
      <c r="AC20" s="2011"/>
      <c r="AD20" s="2011"/>
      <c r="AE20" s="2011"/>
      <c r="AF20" s="2011"/>
      <c r="AG20" s="2011"/>
      <c r="AH20" s="2011"/>
      <c r="AI20" s="2011"/>
      <c r="AJ20" s="2011"/>
      <c r="AK20" s="2011"/>
      <c r="AL20" s="2011"/>
      <c r="AM20" s="2011"/>
      <c r="AN20" s="2011"/>
      <c r="AO20" s="2011"/>
      <c r="AP20" s="2011"/>
      <c r="AQ20" s="2011"/>
      <c r="AR20" s="2011"/>
    </row>
    <row r="21" spans="1:44" ht="14.25">
      <c r="A21" s="2521" t="s">
        <v>601</v>
      </c>
      <c r="B21" s="2522">
        <f>B20</f>
        <v>3</v>
      </c>
      <c r="C21" s="2513"/>
      <c r="D21" s="2514"/>
      <c r="E21" s="2513"/>
      <c r="F21" s="2513"/>
      <c r="G21" s="2513"/>
      <c r="H21" s="2513"/>
      <c r="I21" s="2513"/>
      <c r="J21" s="2513"/>
      <c r="K21" s="2600"/>
      <c r="L21" s="2600"/>
      <c r="M21" s="2011"/>
      <c r="N21" s="2011"/>
      <c r="O21" s="2011"/>
      <c r="P21" s="2011"/>
      <c r="Q21" s="2011"/>
      <c r="R21" s="2011"/>
      <c r="S21" s="2011"/>
      <c r="T21" s="2011"/>
      <c r="U21" s="2011" t="s">
        <v>602</v>
      </c>
      <c r="V21" s="2011">
        <v>521.5</v>
      </c>
      <c r="W21" s="2011">
        <v>1</v>
      </c>
      <c r="X21" s="2011">
        <v>3.5</v>
      </c>
      <c r="Y21" s="2011"/>
      <c r="Z21" s="2011">
        <v>0.7</v>
      </c>
      <c r="AA21" s="2011"/>
      <c r="AB21" s="2011">
        <f>(V20*X20+V21*X21)/(V20+V21)</f>
        <v>2.840785823699544</v>
      </c>
      <c r="AC21" s="2011">
        <f>ROUND(AB21/X21,2)</f>
        <v>0.81</v>
      </c>
      <c r="AD21" s="2011">
        <f ca="1">结果表商!I118</f>
        <v>20574</v>
      </c>
      <c r="AE21" s="2011"/>
      <c r="AF21" s="2011"/>
      <c r="AG21" s="2011"/>
      <c r="AH21" s="2011"/>
      <c r="AI21" s="2011"/>
      <c r="AJ21" s="2011"/>
      <c r="AK21" s="2011"/>
      <c r="AL21" s="2011"/>
      <c r="AM21" s="2011"/>
      <c r="AN21" s="2011"/>
      <c r="AO21" s="2011"/>
      <c r="AP21" s="2011"/>
      <c r="AQ21" s="2011"/>
      <c r="AR21" s="2011"/>
    </row>
    <row r="22" spans="1:44" ht="14.25">
      <c r="A22" s="2518" t="s">
        <v>603</v>
      </c>
      <c r="B22" s="2523">
        <f>B19+B20</f>
        <v>3</v>
      </c>
      <c r="C22" s="2513"/>
      <c r="D22" s="2514"/>
      <c r="E22" s="2513"/>
      <c r="F22" s="2513"/>
      <c r="G22" s="2513"/>
      <c r="H22" s="2513"/>
      <c r="I22" s="2513"/>
      <c r="J22" s="2513"/>
      <c r="K22" s="2600"/>
      <c r="L22" s="2600"/>
      <c r="M22" s="2011"/>
      <c r="N22" s="2011"/>
      <c r="O22" s="2011"/>
      <c r="P22" s="2011"/>
      <c r="Q22" s="2011"/>
      <c r="R22" s="2011"/>
      <c r="S22" s="2011"/>
      <c r="T22" s="2011"/>
      <c r="U22" s="2011" t="s">
        <v>604</v>
      </c>
      <c r="V22" s="2011">
        <v>2338.25</v>
      </c>
      <c r="W22" s="2011">
        <v>2</v>
      </c>
      <c r="X22" s="2011">
        <f>(Z20+Z21)/2*X21</f>
        <v>2.9750000000000001</v>
      </c>
      <c r="Y22" s="2011"/>
      <c r="Z22" s="2011">
        <v>0.6</v>
      </c>
      <c r="AA22" s="2011"/>
      <c r="AB22" s="2011"/>
      <c r="AC22" s="2011">
        <f>ROUND(X22/X21,2)</f>
        <v>0.85</v>
      </c>
      <c r="AD22" s="2011">
        <f ca="1">ROUND(AD21/AC21*AC22,0)</f>
        <v>21590</v>
      </c>
      <c r="AE22" s="2011"/>
      <c r="AF22" s="2011"/>
      <c r="AG22" s="2011"/>
      <c r="AH22" s="2011"/>
      <c r="AI22" s="2011"/>
      <c r="AJ22" s="2011"/>
      <c r="AK22" s="2011"/>
      <c r="AL22" s="2011"/>
      <c r="AM22" s="2011"/>
      <c r="AN22" s="2011"/>
      <c r="AO22" s="2011"/>
      <c r="AP22" s="2011"/>
      <c r="AQ22" s="2011"/>
      <c r="AR22" s="2011"/>
    </row>
    <row r="23" spans="1:44" ht="14.25">
      <c r="A23" s="2521" t="s">
        <v>605</v>
      </c>
      <c r="B23" s="2523">
        <f>B19+B21</f>
        <v>3</v>
      </c>
      <c r="C23" s="2513"/>
      <c r="D23" s="2514"/>
      <c r="E23" s="2513"/>
      <c r="F23" s="2513"/>
      <c r="G23" s="2513"/>
      <c r="H23" s="2513"/>
      <c r="I23" s="2513"/>
      <c r="J23" s="2513"/>
      <c r="K23" s="2600"/>
      <c r="L23" s="2600"/>
      <c r="M23" s="2011"/>
      <c r="N23" s="2011"/>
      <c r="O23" s="2011"/>
      <c r="P23" s="2011"/>
      <c r="Q23" s="2011"/>
      <c r="R23" s="2011"/>
      <c r="S23" s="2011"/>
      <c r="T23" s="2011"/>
      <c r="U23" s="2011"/>
      <c r="V23" s="2011">
        <f>V20+V21+V22</f>
        <v>5043.1400000000003</v>
      </c>
      <c r="W23" s="2011"/>
      <c r="X23" s="2011">
        <f>(V20*X20+V21*X21+V22*X22)/V23</f>
        <v>2.9030141770140543</v>
      </c>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spans="1:44" ht="14.25">
      <c r="A24" s="2524" t="s">
        <v>606</v>
      </c>
      <c r="B24" s="2525">
        <f>B20-B21</f>
        <v>0</v>
      </c>
      <c r="C24" s="2513"/>
      <c r="D24" s="2514"/>
      <c r="E24" s="2513"/>
      <c r="F24" s="2513"/>
      <c r="G24" s="2513"/>
      <c r="H24" s="2513"/>
      <c r="I24" s="2513"/>
      <c r="J24" s="2513"/>
      <c r="K24" s="2600"/>
      <c r="L24" s="2600"/>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spans="1:44" ht="14.25">
      <c r="A25" s="2485"/>
      <c r="B25" s="2149"/>
      <c r="C25" s="2513"/>
      <c r="D25" s="2514"/>
      <c r="E25" s="2513"/>
      <c r="F25" s="2513"/>
      <c r="G25" s="2513"/>
      <c r="H25" s="2513"/>
      <c r="I25" s="2513"/>
      <c r="J25" s="2513"/>
      <c r="K25" s="2600"/>
      <c r="L25" s="2600"/>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spans="1:44" ht="14.25">
      <c r="A26" s="2482" t="s">
        <v>607</v>
      </c>
      <c r="B26" s="2526" t="s">
        <v>608</v>
      </c>
      <c r="C26" s="2527" t="s">
        <v>609</v>
      </c>
      <c r="D26" s="2514"/>
      <c r="E26" s="2513"/>
      <c r="F26" s="2513"/>
      <c r="G26" s="2513"/>
      <c r="H26" s="2513"/>
      <c r="I26" s="2513"/>
      <c r="J26" s="2513"/>
      <c r="K26" s="2600"/>
      <c r="L26" s="2600"/>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pans="1:44" ht="27.75">
      <c r="A27" s="2528" t="s">
        <v>610</v>
      </c>
      <c r="B27" s="2529">
        <v>160</v>
      </c>
      <c r="C27" s="2530" t="s">
        <v>611</v>
      </c>
      <c r="D27" s="2531"/>
      <c r="E27" s="1028"/>
      <c r="F27" s="1028"/>
      <c r="G27" s="2513"/>
      <c r="H27" s="2513"/>
      <c r="I27" s="2513"/>
      <c r="J27" s="2513"/>
      <c r="K27" s="2600"/>
      <c r="L27" s="2600"/>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row>
    <row r="28" spans="1:44" ht="27.75">
      <c r="A28" s="2532" t="s">
        <v>612</v>
      </c>
      <c r="B28" s="2533">
        <v>200</v>
      </c>
      <c r="C28" s="2534"/>
      <c r="D28" s="2531"/>
      <c r="E28" s="1028"/>
      <c r="F28" s="1028"/>
      <c r="G28" s="2513"/>
      <c r="H28" s="2513"/>
      <c r="I28" s="2513"/>
      <c r="J28" s="2513"/>
      <c r="K28" s="2600"/>
      <c r="L28" s="2600"/>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row>
    <row r="29" spans="1:44" ht="27.75">
      <c r="A29" s="2535" t="s">
        <v>613</v>
      </c>
      <c r="B29" s="2536">
        <f ca="1">成本法!C9+成本法!C10</f>
        <v>934</v>
      </c>
      <c r="C29" s="2537" t="s">
        <v>614</v>
      </c>
      <c r="D29" s="2531"/>
      <c r="E29" s="1028"/>
      <c r="F29" s="1028"/>
      <c r="G29" s="2513"/>
      <c r="H29" s="2513"/>
      <c r="I29" s="2513"/>
      <c r="J29" s="2513"/>
      <c r="K29" s="2600"/>
      <c r="L29" s="2600"/>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row>
    <row r="30" spans="1:44" ht="27">
      <c r="A30" s="2538" t="s">
        <v>615</v>
      </c>
      <c r="B30" s="2539">
        <v>200</v>
      </c>
      <c r="C30" s="2534"/>
      <c r="D30" s="2531"/>
      <c r="E30" s="1028"/>
      <c r="F30" s="1028"/>
      <c r="G30" s="2513"/>
      <c r="H30" s="2513"/>
      <c r="I30" s="2513"/>
      <c r="J30" s="2513"/>
      <c r="K30" s="2600"/>
      <c r="L30" s="2600"/>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row>
    <row r="31" spans="1:44" ht="27">
      <c r="A31" s="2532" t="s">
        <v>616</v>
      </c>
      <c r="B31" s="2540">
        <f>B30-B32</f>
        <v>200</v>
      </c>
      <c r="C31" s="2541"/>
      <c r="D31" s="2531"/>
      <c r="E31" s="1028"/>
      <c r="F31" s="1028"/>
      <c r="G31" s="2513"/>
      <c r="H31" s="2513"/>
      <c r="I31" s="2513"/>
      <c r="J31" s="2513"/>
      <c r="K31" s="2600"/>
      <c r="L31" s="2600"/>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row>
    <row r="32" spans="1:44" ht="27">
      <c r="A32" s="2542" t="s">
        <v>617</v>
      </c>
      <c r="B32" s="2543">
        <v>0</v>
      </c>
      <c r="C32" s="2534"/>
      <c r="D32" s="2514"/>
      <c r="E32" s="2513"/>
      <c r="F32" s="2513"/>
      <c r="G32" s="2513"/>
      <c r="H32" s="2513"/>
      <c r="I32" s="2513"/>
      <c r="J32" s="2513"/>
      <c r="K32" s="2600"/>
      <c r="L32" s="2600"/>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row>
    <row r="33" spans="1:44" ht="14.25">
      <c r="A33" s="2528" t="s">
        <v>618</v>
      </c>
      <c r="B33" s="3081">
        <v>0.03</v>
      </c>
      <c r="C33" s="2544" t="s">
        <v>619</v>
      </c>
      <c r="D33" s="2514"/>
      <c r="E33" s="2513"/>
      <c r="F33" s="2513"/>
      <c r="G33" s="2513"/>
      <c r="H33" s="2513"/>
      <c r="I33" s="2513"/>
      <c r="J33" s="2513"/>
      <c r="K33" s="2600"/>
      <c r="L33" s="2600"/>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row>
    <row r="34" spans="1:44" ht="14.25">
      <c r="A34" s="2532" t="s">
        <v>620</v>
      </c>
      <c r="B34" s="3082">
        <v>0.05</v>
      </c>
      <c r="C34" s="2544" t="s">
        <v>621</v>
      </c>
      <c r="D34" s="2545" t="s">
        <v>622</v>
      </c>
      <c r="E34" s="2510"/>
      <c r="F34" s="2513"/>
      <c r="G34" s="2513"/>
      <c r="H34" s="2513"/>
      <c r="I34" s="2513"/>
      <c r="J34" s="2513"/>
      <c r="K34" s="2600"/>
      <c r="L34" s="2600"/>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row>
    <row r="35" spans="1:44" ht="14.25">
      <c r="A35" s="2532" t="s">
        <v>623</v>
      </c>
      <c r="B35" s="3083">
        <v>200</v>
      </c>
      <c r="C35" s="2544" t="s">
        <v>624</v>
      </c>
      <c r="D35" s="2531"/>
      <c r="E35" s="1028"/>
      <c r="F35" s="1028"/>
      <c r="G35" s="2513"/>
      <c r="H35" s="2513"/>
      <c r="I35" s="2513"/>
      <c r="J35" s="2513"/>
      <c r="K35" s="2600"/>
      <c r="L35" s="2600"/>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row>
    <row r="36" spans="1:44" ht="14.25">
      <c r="A36" s="2535" t="s">
        <v>625</v>
      </c>
      <c r="B36" s="2546">
        <v>1.4999999999999999E-2</v>
      </c>
      <c r="C36" s="2544" t="s">
        <v>626</v>
      </c>
      <c r="D36" s="2514"/>
      <c r="E36" s="2513"/>
      <c r="F36" s="2513"/>
      <c r="G36" s="2513"/>
      <c r="H36" s="2513"/>
      <c r="I36" s="2513"/>
      <c r="J36" s="2513"/>
      <c r="K36" s="2600"/>
      <c r="L36" s="2600"/>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spans="1:44" ht="14.25">
      <c r="A37" s="2538" t="s">
        <v>627</v>
      </c>
      <c r="B37" s="2547">
        <v>0.02</v>
      </c>
      <c r="C37" s="2544" t="s">
        <v>628</v>
      </c>
      <c r="D37" s="2514"/>
      <c r="E37" s="2513"/>
      <c r="F37" s="2513"/>
      <c r="G37" s="2513"/>
      <c r="H37" s="2513"/>
      <c r="I37" s="2513"/>
      <c r="J37" s="2513"/>
      <c r="K37" s="2600"/>
      <c r="L37" s="2600"/>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spans="1:44" ht="14.25">
      <c r="A38" s="2532" t="s">
        <v>629</v>
      </c>
      <c r="B38" s="2548">
        <v>0.02</v>
      </c>
      <c r="C38" s="2544" t="s">
        <v>628</v>
      </c>
      <c r="D38" s="2514"/>
      <c r="E38" s="2513"/>
      <c r="F38" s="2513"/>
      <c r="G38" s="2513"/>
      <c r="H38" s="2513"/>
      <c r="I38" s="2513"/>
      <c r="J38" s="2513"/>
      <c r="K38" s="2600"/>
      <c r="L38" s="2600"/>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spans="1:44" ht="14.25">
      <c r="A39" s="2542" t="s">
        <v>630</v>
      </c>
      <c r="B39" s="2549">
        <f ca="1">存贷款利率!I1</f>
        <v>1.4999999999999999E-2</v>
      </c>
      <c r="C39" s="2550"/>
      <c r="D39" s="2514"/>
      <c r="E39" s="2513"/>
      <c r="F39" s="2513"/>
      <c r="G39" s="2513"/>
      <c r="H39" s="2513"/>
      <c r="I39" s="2513"/>
      <c r="J39" s="2513"/>
      <c r="K39" s="2600"/>
      <c r="L39" s="2600"/>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spans="1:44" ht="14.25">
      <c r="A40" s="2551" t="s">
        <v>3050</v>
      </c>
      <c r="B40" s="3084">
        <v>3.4500000000000003E-2</v>
      </c>
      <c r="C40" s="2552">
        <v>5.0000000000000001E-3</v>
      </c>
      <c r="D40" s="2011"/>
      <c r="E40" s="2514"/>
      <c r="F40" s="2513"/>
      <c r="G40" s="2513"/>
      <c r="H40" s="2513"/>
      <c r="I40" s="2513"/>
      <c r="J40" s="2513"/>
      <c r="K40" s="2600"/>
      <c r="L40" s="2600"/>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spans="1:44" ht="14.25">
      <c r="A41" s="2528" t="s">
        <v>631</v>
      </c>
      <c r="B41" s="2553">
        <f>B42+B43</f>
        <v>5.5E-2</v>
      </c>
      <c r="C41" s="2541"/>
      <c r="D41" s="2011"/>
      <c r="E41" s="2514"/>
      <c r="F41" s="2513"/>
      <c r="G41" s="2513"/>
      <c r="H41" s="2513"/>
      <c r="I41" s="2513"/>
      <c r="J41" s="2513"/>
      <c r="K41" s="2600"/>
      <c r="L41" s="2600"/>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spans="1:44" ht="14.25">
      <c r="A42" s="2554" t="s">
        <v>632</v>
      </c>
      <c r="B42" s="2555">
        <v>0.05</v>
      </c>
      <c r="C42" s="2556">
        <f>IF(B2&lt;DATE(2016,5,1),0,B42)</f>
        <v>0.05</v>
      </c>
      <c r="D42" s="2514"/>
      <c r="E42" s="2513"/>
      <c r="F42" s="2513"/>
      <c r="G42" s="2513"/>
      <c r="H42" s="2513"/>
      <c r="I42" s="2513"/>
      <c r="J42" s="2513"/>
      <c r="K42" s="2600"/>
      <c r="L42" s="2600"/>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spans="1:44" ht="14.25">
      <c r="A43" s="2554" t="s">
        <v>633</v>
      </c>
      <c r="B43" s="2557">
        <f>B42*(B44+B45+B46)+B47</f>
        <v>5.0000000000000001E-3</v>
      </c>
      <c r="C43" s="2541"/>
      <c r="D43" s="2514"/>
      <c r="E43" s="2513"/>
      <c r="F43" s="2513"/>
      <c r="G43" s="2513"/>
      <c r="H43" s="2513"/>
      <c r="I43" s="2513"/>
      <c r="J43" s="2513"/>
      <c r="K43" s="2600"/>
      <c r="L43" s="2600"/>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spans="1:44" ht="14.25">
      <c r="A44" s="2558" t="s">
        <v>634</v>
      </c>
      <c r="B44" s="2559">
        <v>0.05</v>
      </c>
      <c r="C44" s="2544" t="s">
        <v>635</v>
      </c>
      <c r="D44" s="2514"/>
      <c r="E44" s="2513"/>
      <c r="F44" s="2513"/>
      <c r="G44" s="2513"/>
      <c r="H44" s="2513"/>
      <c r="I44" s="2513"/>
      <c r="J44" s="2513"/>
      <c r="K44" s="2600"/>
      <c r="L44" s="2600"/>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spans="1:44" ht="14.25">
      <c r="A45" s="2558" t="s">
        <v>636</v>
      </c>
      <c r="B45" s="2560">
        <v>0.03</v>
      </c>
      <c r="C45" s="2537" t="s">
        <v>637</v>
      </c>
      <c r="D45" s="2514"/>
      <c r="E45" s="2513"/>
      <c r="F45" s="2513"/>
      <c r="G45" s="2513"/>
      <c r="H45" s="2513"/>
      <c r="I45" s="2513"/>
      <c r="J45" s="2513"/>
      <c r="K45" s="2600"/>
      <c r="L45" s="2600"/>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spans="1:44" ht="14.25">
      <c r="A46" s="2558" t="s">
        <v>638</v>
      </c>
      <c r="B46" s="2560">
        <v>0.02</v>
      </c>
      <c r="C46" s="2537" t="s">
        <v>639</v>
      </c>
      <c r="D46" s="2514"/>
      <c r="E46" s="2513"/>
      <c r="F46" s="2513"/>
      <c r="G46" s="2513"/>
      <c r="H46" s="2513"/>
      <c r="I46" s="2513"/>
      <c r="J46" s="2513"/>
      <c r="K46" s="2600"/>
      <c r="L46" s="2600"/>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spans="1:44" ht="14.25">
      <c r="A47" s="2561" t="s">
        <v>640</v>
      </c>
      <c r="B47" s="2562">
        <v>0</v>
      </c>
      <c r="C47" s="2563" t="s">
        <v>641</v>
      </c>
      <c r="D47" s="2514"/>
      <c r="E47" s="2513"/>
      <c r="F47" s="2513"/>
      <c r="G47" s="2513"/>
      <c r="H47" s="2513"/>
      <c r="I47" s="2513"/>
      <c r="J47" s="2513"/>
      <c r="K47" s="2600"/>
      <c r="L47" s="2600"/>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spans="1:44" ht="14.25">
      <c r="A48" s="2564" t="s">
        <v>642</v>
      </c>
      <c r="B48" s="2565">
        <v>0.03</v>
      </c>
      <c r="C48" s="2537" t="s">
        <v>637</v>
      </c>
      <c r="D48" s="2514"/>
      <c r="E48" s="2513"/>
      <c r="F48" s="2513"/>
      <c r="G48" s="2513"/>
      <c r="H48" s="2513"/>
      <c r="I48" s="2513"/>
      <c r="J48" s="2513"/>
      <c r="K48" s="2600"/>
      <c r="L48" s="2600"/>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spans="1:44" ht="14.25">
      <c r="A49" s="2542" t="s">
        <v>643</v>
      </c>
      <c r="B49" s="2566">
        <v>5.0000000000000001E-4</v>
      </c>
      <c r="C49" s="2537" t="s">
        <v>644</v>
      </c>
      <c r="D49" s="2514"/>
      <c r="E49" s="2513"/>
      <c r="F49" s="2513"/>
      <c r="G49" s="2513"/>
      <c r="H49" s="2513"/>
      <c r="I49" s="2513"/>
      <c r="J49" s="2513"/>
      <c r="K49" s="2600"/>
      <c r="L49" s="2600"/>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spans="1:44" ht="14.25">
      <c r="A50" s="2567" t="s">
        <v>645</v>
      </c>
      <c r="B50" s="2568">
        <v>1.2E-2</v>
      </c>
      <c r="C50" s="1028"/>
      <c r="D50" s="2514"/>
      <c r="E50" s="2513"/>
      <c r="F50" s="2513"/>
      <c r="G50" s="2513"/>
      <c r="H50" s="2513"/>
      <c r="I50" s="2513"/>
      <c r="J50" s="2513"/>
      <c r="K50" s="2600"/>
      <c r="L50" s="2600"/>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spans="1:44" ht="14.25">
      <c r="A51" s="2535" t="s">
        <v>646</v>
      </c>
      <c r="B51" s="2569">
        <v>0.12</v>
      </c>
      <c r="C51" s="1028"/>
      <c r="D51" s="2514"/>
      <c r="E51" s="2513"/>
      <c r="F51" s="2513"/>
      <c r="G51" s="2513"/>
      <c r="H51" s="2513"/>
      <c r="I51" s="2513"/>
      <c r="J51" s="2513"/>
      <c r="K51" s="2600"/>
      <c r="L51" s="2600"/>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spans="1:44" ht="14.25">
      <c r="A52" s="2567" t="s">
        <v>647</v>
      </c>
      <c r="B52" s="2570">
        <f>SUMIF(A54:A63,B53,B54:B63)</f>
        <v>1.5</v>
      </c>
      <c r="C52" s="1028"/>
      <c r="D52" s="2514"/>
      <c r="E52" s="2513"/>
      <c r="F52" s="2513"/>
      <c r="G52" s="2513"/>
      <c r="H52" s="2513"/>
      <c r="I52" s="2513"/>
      <c r="J52" s="2513"/>
      <c r="K52" s="2600"/>
      <c r="L52" s="2600"/>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spans="1:44" ht="27">
      <c r="A53" s="2532" t="s">
        <v>648</v>
      </c>
      <c r="B53" s="2571" t="s">
        <v>273</v>
      </c>
      <c r="C53" s="1028" t="s">
        <v>649</v>
      </c>
      <c r="D53" s="2572" t="s">
        <v>650</v>
      </c>
      <c r="E53" s="2513"/>
      <c r="F53" s="2513"/>
      <c r="G53" s="2513"/>
      <c r="H53" s="2513"/>
      <c r="I53" s="2513"/>
      <c r="J53" s="2513"/>
      <c r="K53" s="2600"/>
      <c r="L53" s="2600"/>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spans="1:44" ht="14.25">
      <c r="A54" s="2573" t="s">
        <v>651</v>
      </c>
      <c r="B54" s="2574">
        <v>30</v>
      </c>
      <c r="C54" s="1028">
        <v>30</v>
      </c>
      <c r="D54" s="2514"/>
      <c r="E54" s="2513"/>
      <c r="F54" s="2513"/>
      <c r="G54" s="2513"/>
      <c r="H54" s="2513"/>
      <c r="I54" s="2513"/>
      <c r="J54" s="2513"/>
      <c r="K54" s="2600"/>
      <c r="L54" s="2600"/>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spans="1:44" ht="14.25">
      <c r="A55" s="2573" t="s">
        <v>652</v>
      </c>
      <c r="B55" s="2574">
        <v>24</v>
      </c>
      <c r="C55" s="1028">
        <v>24</v>
      </c>
      <c r="D55" s="2514"/>
      <c r="E55" s="2513"/>
      <c r="F55" s="2513"/>
      <c r="G55" s="2513"/>
      <c r="H55" s="2513"/>
      <c r="I55" s="2513"/>
      <c r="J55" s="2513"/>
      <c r="K55" s="2600"/>
      <c r="L55" s="2600"/>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spans="1:44" ht="14.25">
      <c r="A56" s="2573" t="s">
        <v>653</v>
      </c>
      <c r="B56" s="2574">
        <v>18</v>
      </c>
      <c r="C56" s="1028">
        <v>18</v>
      </c>
      <c r="D56" s="2514"/>
      <c r="E56" s="2513"/>
      <c r="F56" s="2513"/>
      <c r="G56" s="2513"/>
      <c r="H56" s="2513"/>
      <c r="I56" s="2513"/>
      <c r="J56" s="2513"/>
      <c r="K56" s="2600"/>
      <c r="L56" s="2600"/>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spans="1:44" ht="14.25">
      <c r="A57" s="2573" t="s">
        <v>654</v>
      </c>
      <c r="B57" s="2574">
        <v>12</v>
      </c>
      <c r="C57" s="1028">
        <v>12</v>
      </c>
      <c r="D57" s="2514"/>
      <c r="E57" s="2513"/>
      <c r="F57" s="2513"/>
      <c r="G57" s="2513"/>
      <c r="H57" s="2513"/>
      <c r="I57" s="2513"/>
      <c r="J57" s="2513"/>
      <c r="K57" s="2600"/>
      <c r="L57" s="2600"/>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spans="1:44" ht="14.25">
      <c r="A58" s="2573" t="s">
        <v>655</v>
      </c>
      <c r="B58" s="2574">
        <v>3</v>
      </c>
      <c r="C58" s="1028">
        <v>3</v>
      </c>
      <c r="D58" s="2514"/>
      <c r="E58" s="2513"/>
      <c r="F58" s="2513"/>
      <c r="G58" s="2513"/>
      <c r="H58" s="2513"/>
      <c r="I58" s="2513"/>
      <c r="J58" s="2513"/>
      <c r="K58" s="2600"/>
      <c r="L58" s="2600"/>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spans="1:44" ht="14.25">
      <c r="A59" s="2573" t="s">
        <v>656</v>
      </c>
      <c r="B59" s="2574">
        <v>1.5</v>
      </c>
      <c r="C59" s="1028">
        <v>1.5</v>
      </c>
      <c r="D59" s="2514"/>
      <c r="E59" s="2513"/>
      <c r="F59" s="2513"/>
      <c r="G59" s="2513"/>
      <c r="H59" s="2513"/>
      <c r="I59" s="2513"/>
      <c r="J59" s="2513"/>
      <c r="K59" s="2600"/>
      <c r="L59" s="2600"/>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spans="1:44" ht="14.25">
      <c r="A60" s="2573" t="s">
        <v>657</v>
      </c>
      <c r="B60" s="2574"/>
      <c r="C60" s="2513"/>
      <c r="D60" s="2514"/>
      <c r="E60" s="2513"/>
      <c r="F60" s="2513"/>
      <c r="G60" s="2513"/>
      <c r="H60" s="2513"/>
      <c r="I60" s="2513"/>
      <c r="J60" s="2513"/>
      <c r="K60" s="2600"/>
      <c r="L60" s="2600"/>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spans="1:44" ht="14.25">
      <c r="A61" s="2573" t="s">
        <v>658</v>
      </c>
      <c r="B61" s="2574"/>
      <c r="C61" s="2513"/>
      <c r="D61" s="2514"/>
      <c r="E61" s="2513"/>
      <c r="F61" s="2513"/>
      <c r="G61" s="2513"/>
      <c r="H61" s="2513"/>
      <c r="I61" s="2513"/>
      <c r="J61" s="2513"/>
      <c r="K61" s="2600"/>
      <c r="L61" s="2600"/>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spans="1:44" ht="14.25">
      <c r="A62" s="2573" t="s">
        <v>659</v>
      </c>
      <c r="B62" s="2574"/>
      <c r="C62" s="2513"/>
      <c r="D62" s="2514"/>
      <c r="E62" s="2513"/>
      <c r="F62" s="2513"/>
      <c r="G62" s="2513"/>
      <c r="H62" s="2513"/>
      <c r="I62" s="2513"/>
      <c r="J62" s="2513"/>
      <c r="K62" s="2600"/>
      <c r="L62" s="2600"/>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spans="1:44" ht="14.25">
      <c r="A63" s="2575" t="s">
        <v>660</v>
      </c>
      <c r="B63" s="2576"/>
      <c r="C63" s="2513"/>
      <c r="D63" s="2514"/>
      <c r="E63" s="2513"/>
      <c r="F63" s="2513"/>
      <c r="G63" s="2513"/>
      <c r="H63" s="2513"/>
      <c r="I63" s="2513"/>
      <c r="J63" s="2513"/>
      <c r="K63" s="2600"/>
      <c r="L63" s="2600"/>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pans="1:44" s="232" customFormat="1">
      <c r="A64" s="2577"/>
      <c r="B64" s="2011"/>
      <c r="C64" s="2011"/>
      <c r="D64" s="2511"/>
      <c r="E64" s="2011"/>
      <c r="F64" s="2011"/>
      <c r="G64" s="2011"/>
      <c r="H64" s="2011"/>
      <c r="I64" s="2011"/>
      <c r="J64" s="2011"/>
      <c r="K64" s="2600"/>
      <c r="L64" s="2600"/>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pans="1:44" s="232" customFormat="1">
      <c r="A65" s="2577"/>
      <c r="B65" s="2011"/>
      <c r="C65" s="2011"/>
      <c r="D65" s="2511"/>
      <c r="E65" s="2011"/>
      <c r="F65" s="2011"/>
      <c r="G65" s="2011"/>
      <c r="H65" s="2011"/>
      <c r="I65" s="2011"/>
      <c r="J65" s="2011"/>
      <c r="K65" s="2600"/>
      <c r="L65" s="2600"/>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pans="1:44" s="232" customFormat="1">
      <c r="A66" s="2577"/>
      <c r="B66" s="2011"/>
      <c r="C66" s="2011"/>
      <c r="D66" s="2511"/>
      <c r="E66" s="2011"/>
      <c r="F66" s="2011"/>
      <c r="G66" s="2011"/>
      <c r="H66" s="2011"/>
      <c r="I66" s="2011"/>
      <c r="J66" s="2011"/>
      <c r="K66" s="2600"/>
      <c r="L66" s="2600"/>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pans="1:44" s="232" customFormat="1">
      <c r="A67" s="2577"/>
      <c r="B67" s="2011"/>
      <c r="C67" s="2011"/>
      <c r="D67" s="2511"/>
      <c r="E67" s="2011"/>
      <c r="F67" s="2011"/>
      <c r="G67" s="2011"/>
      <c r="H67" s="2011"/>
      <c r="I67" s="2011"/>
      <c r="J67" s="2011"/>
      <c r="K67" s="2600"/>
      <c r="L67" s="2600"/>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pans="1:44" s="232" customFormat="1">
      <c r="A68" s="2577"/>
      <c r="B68" s="2011"/>
      <c r="C68" s="2011"/>
      <c r="D68" s="2511"/>
      <c r="E68" s="2011"/>
      <c r="F68" s="2011"/>
      <c r="G68" s="2011"/>
      <c r="H68" s="2011"/>
      <c r="I68" s="2011"/>
      <c r="J68" s="2011"/>
      <c r="K68" s="2600"/>
      <c r="L68" s="2600"/>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pans="1:44" s="232" customFormat="1">
      <c r="A69" s="2401"/>
      <c r="D69" s="2654"/>
      <c r="K69" s="324"/>
      <c r="L69" s="324"/>
    </row>
    <row r="70" spans="1:44" s="232" customFormat="1">
      <c r="A70" s="2401"/>
      <c r="D70" s="2654"/>
      <c r="K70" s="324"/>
      <c r="L70" s="324"/>
    </row>
    <row r="71" spans="1:44" s="232" customFormat="1">
      <c r="A71" s="2401"/>
      <c r="D71" s="2654"/>
      <c r="K71" s="324"/>
      <c r="L71" s="324"/>
    </row>
    <row r="72" spans="1:44" s="232" customFormat="1">
      <c r="A72" s="2401"/>
      <c r="D72" s="2654"/>
      <c r="K72" s="324"/>
      <c r="L72" s="324"/>
    </row>
    <row r="73" spans="1:44" s="232" customFormat="1">
      <c r="A73" s="2401"/>
      <c r="D73" s="2654"/>
      <c r="K73" s="324"/>
      <c r="L73" s="324"/>
    </row>
    <row r="74" spans="1:44" s="232" customFormat="1">
      <c r="A74" s="2401"/>
      <c r="D74" s="2654"/>
      <c r="K74" s="324"/>
      <c r="L74" s="324"/>
    </row>
    <row r="75" spans="1:44" s="232" customFormat="1">
      <c r="A75" s="2401"/>
      <c r="D75" s="2654"/>
      <c r="K75" s="324"/>
      <c r="L75" s="324"/>
    </row>
    <row r="76" spans="1:44" s="232" customFormat="1">
      <c r="A76" s="2401"/>
      <c r="D76" s="2654"/>
      <c r="K76" s="324"/>
      <c r="L76" s="324"/>
    </row>
    <row r="77" spans="1:44" s="232" customFormat="1">
      <c r="A77" s="2401"/>
      <c r="D77" s="2654"/>
      <c r="K77" s="324"/>
      <c r="L77" s="324"/>
    </row>
    <row r="78" spans="1:44" s="232" customFormat="1">
      <c r="A78" s="2401"/>
      <c r="D78" s="2654"/>
      <c r="K78" s="324"/>
      <c r="L78" s="324"/>
    </row>
    <row r="79" spans="1:44" s="232" customFormat="1">
      <c r="A79" s="2401"/>
      <c r="D79" s="2654"/>
      <c r="K79" s="324"/>
      <c r="L79" s="324"/>
    </row>
    <row r="80" spans="1:44" s="232" customFormat="1">
      <c r="A80" s="2401"/>
      <c r="D80" s="2654"/>
      <c r="K80" s="324"/>
      <c r="L80" s="324"/>
    </row>
    <row r="81" spans="1:12" s="232" customFormat="1">
      <c r="A81" s="2401"/>
      <c r="D81" s="2654"/>
      <c r="K81" s="324"/>
      <c r="L81" s="324"/>
    </row>
    <row r="82" spans="1:12" s="232" customFormat="1">
      <c r="A82" s="2401"/>
      <c r="D82" s="2654"/>
      <c r="K82" s="324"/>
      <c r="L82" s="324"/>
    </row>
    <row r="83" spans="1:12" s="232" customFormat="1">
      <c r="A83" s="2401"/>
      <c r="D83" s="2654"/>
      <c r="K83" s="324"/>
      <c r="L83" s="324"/>
    </row>
    <row r="84" spans="1:12" s="232" customFormat="1">
      <c r="A84" s="2401"/>
      <c r="D84" s="2654"/>
      <c r="K84" s="324"/>
      <c r="L84" s="324"/>
    </row>
    <row r="85" spans="1:12" s="232" customFormat="1">
      <c r="A85" s="2401"/>
      <c r="D85" s="2654"/>
      <c r="K85" s="324"/>
      <c r="L85" s="324"/>
    </row>
    <row r="86" spans="1:12" s="232" customFormat="1">
      <c r="A86" s="2401"/>
      <c r="D86" s="2654"/>
      <c r="K86" s="324"/>
      <c r="L86" s="324"/>
    </row>
    <row r="87" spans="1:12" s="232" customFormat="1">
      <c r="A87" s="2401"/>
      <c r="D87" s="2654"/>
      <c r="K87" s="324"/>
      <c r="L87" s="324"/>
    </row>
    <row r="88" spans="1:12" s="232" customFormat="1">
      <c r="A88" s="2401"/>
      <c r="D88" s="2654"/>
      <c r="K88" s="324"/>
      <c r="L88" s="324"/>
    </row>
    <row r="89" spans="1:12" s="232" customFormat="1">
      <c r="A89" s="2401"/>
      <c r="D89" s="2654"/>
      <c r="K89" s="324"/>
      <c r="L89" s="324"/>
    </row>
    <row r="90" spans="1:12" s="232" customFormat="1">
      <c r="A90" s="2401"/>
      <c r="D90" s="2654"/>
      <c r="K90" s="324"/>
      <c r="L90" s="324"/>
    </row>
    <row r="91" spans="1:12" s="232" customFormat="1">
      <c r="A91" s="2401"/>
      <c r="D91" s="2654"/>
      <c r="K91" s="324"/>
      <c r="L91" s="324"/>
    </row>
    <row r="92" spans="1:12" s="232" customFormat="1">
      <c r="A92" s="2401"/>
      <c r="D92" s="2654"/>
      <c r="K92" s="324"/>
      <c r="L92" s="324"/>
    </row>
    <row r="93" spans="1:12" s="232" customFormat="1">
      <c r="A93" s="2401"/>
      <c r="D93" s="2654"/>
      <c r="K93" s="324"/>
      <c r="L93" s="324"/>
    </row>
    <row r="94" spans="1:12" s="232" customFormat="1">
      <c r="A94" s="2401"/>
      <c r="D94" s="2654"/>
      <c r="K94" s="324"/>
      <c r="L94" s="324"/>
    </row>
    <row r="95" spans="1:12" s="232" customFormat="1">
      <c r="A95" s="2401"/>
      <c r="D95" s="2654"/>
      <c r="K95" s="324"/>
      <c r="L95" s="324"/>
    </row>
    <row r="96" spans="1:12" s="232" customFormat="1">
      <c r="A96" s="2401"/>
      <c r="D96" s="2654"/>
      <c r="K96" s="324"/>
      <c r="L96" s="324"/>
    </row>
    <row r="97" spans="1:12" s="232" customFormat="1">
      <c r="A97" s="2401"/>
      <c r="D97" s="2654"/>
      <c r="K97" s="324"/>
      <c r="L97" s="324"/>
    </row>
    <row r="98" spans="1:12" s="232" customFormat="1">
      <c r="A98" s="2401"/>
      <c r="D98" s="2654"/>
      <c r="K98" s="324"/>
      <c r="L98" s="324"/>
    </row>
    <row r="99" spans="1:12" s="232" customFormat="1">
      <c r="A99" s="2401"/>
      <c r="D99" s="2654"/>
      <c r="K99" s="324"/>
      <c r="L99" s="324"/>
    </row>
    <row r="100" spans="1:12" s="232" customFormat="1">
      <c r="A100" s="2401"/>
      <c r="D100" s="2654"/>
      <c r="K100" s="324"/>
      <c r="L100" s="324"/>
    </row>
    <row r="101" spans="1:12" s="232" customFormat="1">
      <c r="A101" s="2401"/>
      <c r="D101" s="2654"/>
      <c r="K101" s="324"/>
      <c r="L101" s="324"/>
    </row>
    <row r="102" spans="1:12" s="232" customFormat="1">
      <c r="A102" s="2401"/>
      <c r="D102" s="2654"/>
      <c r="K102" s="324"/>
      <c r="L102" s="324"/>
    </row>
    <row r="103" spans="1:12" s="232" customFormat="1">
      <c r="A103" s="2401"/>
      <c r="D103" s="2654"/>
      <c r="K103" s="324"/>
      <c r="L103" s="324"/>
    </row>
    <row r="104" spans="1:12" s="232" customFormat="1">
      <c r="A104" s="2401"/>
      <c r="D104" s="2654"/>
      <c r="K104" s="324"/>
      <c r="L104" s="324"/>
    </row>
    <row r="105" spans="1:12" s="232" customFormat="1">
      <c r="A105" s="2401"/>
      <c r="D105" s="2654"/>
      <c r="K105" s="324"/>
      <c r="L105" s="324"/>
    </row>
    <row r="106" spans="1:12" s="232" customFormat="1">
      <c r="A106" s="2401"/>
      <c r="D106" s="2654"/>
      <c r="K106" s="324"/>
      <c r="L106" s="324"/>
    </row>
    <row r="107" spans="1:12" s="232" customFormat="1">
      <c r="A107" s="2401"/>
      <c r="D107" s="2654"/>
      <c r="K107" s="324"/>
      <c r="L107" s="324"/>
    </row>
    <row r="108" spans="1:12" s="232" customFormat="1">
      <c r="A108" s="2401"/>
      <c r="D108" s="2654"/>
      <c r="K108" s="324"/>
      <c r="L108" s="324"/>
    </row>
    <row r="109" spans="1:12" s="232" customFormat="1">
      <c r="A109" s="2401"/>
      <c r="D109" s="2654"/>
      <c r="K109" s="324"/>
      <c r="L109" s="324"/>
    </row>
    <row r="110" spans="1:12" s="232" customFormat="1">
      <c r="A110" s="2401"/>
      <c r="D110" s="2654"/>
      <c r="K110" s="324"/>
      <c r="L110" s="324"/>
    </row>
    <row r="111" spans="1:12" s="232" customFormat="1">
      <c r="A111" s="2401"/>
      <c r="D111" s="2654"/>
      <c r="K111" s="324"/>
      <c r="L111" s="324"/>
    </row>
    <row r="112" spans="1:12" s="232" customFormat="1">
      <c r="A112" s="2401"/>
      <c r="D112" s="2654"/>
      <c r="K112" s="324"/>
      <c r="L112" s="324"/>
    </row>
    <row r="113" spans="1:12" s="232" customFormat="1">
      <c r="A113" s="2401"/>
      <c r="D113" s="2654"/>
      <c r="K113" s="324"/>
      <c r="L113" s="324"/>
    </row>
    <row r="114" spans="1:12" s="232" customFormat="1">
      <c r="A114" s="2401"/>
      <c r="D114" s="2654"/>
      <c r="K114" s="324"/>
      <c r="L114" s="324"/>
    </row>
    <row r="115" spans="1:12" s="232" customFormat="1">
      <c r="A115" s="2401"/>
      <c r="D115" s="2654"/>
      <c r="K115" s="324"/>
      <c r="L115" s="324"/>
    </row>
    <row r="116" spans="1:12" s="232" customFormat="1">
      <c r="A116" s="2401"/>
      <c r="D116" s="2654"/>
      <c r="K116" s="324"/>
      <c r="L116" s="324"/>
    </row>
    <row r="117" spans="1:12" s="232" customFormat="1">
      <c r="A117" s="2401"/>
      <c r="D117" s="2654"/>
      <c r="K117" s="324"/>
      <c r="L117" s="324"/>
    </row>
    <row r="118" spans="1:12" s="232" customFormat="1">
      <c r="A118" s="2401"/>
      <c r="D118" s="2654"/>
      <c r="K118" s="324"/>
      <c r="L118" s="324"/>
    </row>
    <row r="119" spans="1:12" s="232" customFormat="1">
      <c r="A119" s="2401"/>
      <c r="D119" s="2654"/>
      <c r="K119" s="324"/>
      <c r="L119" s="324"/>
    </row>
    <row r="120" spans="1:12" s="232" customFormat="1">
      <c r="A120" s="2401"/>
      <c r="D120" s="2654"/>
      <c r="K120" s="324"/>
      <c r="L120" s="324"/>
    </row>
    <row r="121" spans="1:12" s="232" customFormat="1">
      <c r="A121" s="2401"/>
      <c r="D121" s="2654"/>
      <c r="K121" s="324"/>
      <c r="L121" s="324"/>
    </row>
    <row r="122" spans="1:12" s="232" customFormat="1">
      <c r="A122" s="2401"/>
      <c r="D122" s="2654"/>
      <c r="K122" s="324"/>
      <c r="L122" s="324"/>
    </row>
    <row r="123" spans="1:12" s="232" customFormat="1">
      <c r="A123" s="2401"/>
      <c r="D123" s="2654"/>
      <c r="K123" s="324"/>
      <c r="L123" s="324"/>
    </row>
    <row r="124" spans="1:12" s="232" customFormat="1">
      <c r="A124" s="2401"/>
      <c r="D124" s="2654"/>
      <c r="K124" s="324"/>
      <c r="L124" s="324"/>
    </row>
    <row r="125" spans="1:12" s="232" customFormat="1">
      <c r="A125" s="2401"/>
      <c r="D125" s="2654"/>
      <c r="K125" s="324"/>
      <c r="L125" s="324"/>
    </row>
    <row r="126" spans="1:12" s="232" customFormat="1">
      <c r="A126" s="2401"/>
      <c r="D126" s="2654"/>
      <c r="K126" s="324"/>
      <c r="L126" s="324"/>
    </row>
    <row r="127" spans="1:12" s="232" customFormat="1">
      <c r="A127" s="2401"/>
      <c r="D127" s="2654"/>
      <c r="K127" s="324"/>
      <c r="L127" s="324"/>
    </row>
    <row r="128" spans="1:12" s="232" customFormat="1">
      <c r="A128" s="2401"/>
      <c r="D128" s="2654"/>
      <c r="K128" s="324"/>
      <c r="L128" s="324"/>
    </row>
    <row r="129" spans="1:12" s="232" customFormat="1">
      <c r="A129" s="2401"/>
      <c r="D129" s="2654"/>
      <c r="K129" s="324"/>
      <c r="L129" s="324"/>
    </row>
    <row r="130" spans="1:12" s="232" customFormat="1">
      <c r="A130" s="2401"/>
      <c r="D130" s="2654"/>
      <c r="K130" s="324"/>
      <c r="L130" s="324"/>
    </row>
    <row r="131" spans="1:12" s="232" customFormat="1">
      <c r="A131" s="2401"/>
      <c r="D131" s="2654"/>
      <c r="K131" s="324"/>
      <c r="L131" s="324"/>
    </row>
    <row r="132" spans="1:12" s="232" customFormat="1">
      <c r="A132" s="2401"/>
      <c r="D132" s="2654"/>
      <c r="K132" s="324"/>
      <c r="L132" s="324"/>
    </row>
    <row r="133" spans="1:12" s="232" customFormat="1">
      <c r="A133" s="2401"/>
      <c r="D133" s="2654"/>
      <c r="K133" s="324"/>
      <c r="L133" s="324"/>
    </row>
    <row r="134" spans="1:12" s="231" customFormat="1">
      <c r="A134" s="2655"/>
      <c r="D134" s="2656"/>
      <c r="K134" s="228"/>
      <c r="L134" s="228"/>
    </row>
    <row r="135" spans="1:12" s="231" customFormat="1">
      <c r="A135" s="2655"/>
      <c r="D135" s="2656"/>
      <c r="K135" s="228"/>
      <c r="L135" s="228"/>
    </row>
    <row r="136" spans="1:12" s="231" customFormat="1">
      <c r="A136" s="2655"/>
      <c r="D136" s="2656"/>
      <c r="K136" s="228"/>
      <c r="L136" s="228"/>
    </row>
    <row r="137" spans="1:12" s="231" customFormat="1">
      <c r="A137" s="2655"/>
      <c r="D137" s="2656"/>
      <c r="K137" s="228"/>
      <c r="L137" s="228"/>
    </row>
    <row r="138" spans="1:12" s="231" customFormat="1">
      <c r="A138" s="2655"/>
      <c r="D138" s="2656"/>
      <c r="K138" s="228"/>
      <c r="L138" s="228"/>
    </row>
    <row r="139" spans="1:12" s="231" customFormat="1">
      <c r="A139" s="2655"/>
      <c r="D139" s="2656"/>
      <c r="K139" s="228"/>
      <c r="L139" s="228"/>
    </row>
    <row r="140" spans="1:12" s="231" customFormat="1">
      <c r="A140" s="2655"/>
      <c r="D140" s="2656"/>
      <c r="K140" s="228"/>
      <c r="L140" s="228"/>
    </row>
    <row r="141" spans="1:12" s="231" customFormat="1">
      <c r="A141" s="2655"/>
      <c r="D141" s="2656"/>
      <c r="K141" s="228"/>
      <c r="L141" s="228"/>
    </row>
    <row r="142" spans="1:12" s="231" customFormat="1">
      <c r="A142" s="2655"/>
      <c r="D142" s="2656"/>
      <c r="K142" s="228"/>
      <c r="L142" s="228"/>
    </row>
    <row r="143" spans="1:12" s="231" customFormat="1">
      <c r="A143" s="2655"/>
      <c r="D143" s="2656"/>
      <c r="K143" s="228"/>
      <c r="L143" s="228"/>
    </row>
    <row r="144" spans="1:12" s="231" customFormat="1">
      <c r="A144" s="2655"/>
      <c r="D144" s="2656"/>
      <c r="K144" s="228"/>
      <c r="L144" s="228"/>
    </row>
    <row r="145" spans="1:12" s="231" customFormat="1">
      <c r="A145" s="2655"/>
      <c r="D145" s="2656"/>
      <c r="K145" s="228"/>
      <c r="L145" s="228"/>
    </row>
    <row r="146" spans="1:12" s="231" customFormat="1">
      <c r="A146" s="2655"/>
      <c r="D146" s="2656"/>
      <c r="K146" s="228"/>
      <c r="L146" s="228"/>
    </row>
    <row r="147" spans="1:12" s="231" customFormat="1">
      <c r="A147" s="2655"/>
      <c r="D147" s="2656"/>
      <c r="K147" s="228"/>
      <c r="L147" s="228"/>
    </row>
    <row r="148" spans="1:12" s="231" customFormat="1">
      <c r="A148" s="2655"/>
      <c r="D148" s="2656"/>
      <c r="K148" s="228"/>
      <c r="L148" s="228"/>
    </row>
    <row r="149" spans="1:12" s="231" customFormat="1">
      <c r="A149" s="2655"/>
      <c r="D149" s="2656"/>
      <c r="K149" s="228"/>
      <c r="L149" s="228"/>
    </row>
    <row r="150" spans="1:12" s="231" customFormat="1">
      <c r="A150" s="2655"/>
      <c r="D150" s="2656"/>
      <c r="K150" s="228"/>
      <c r="L150" s="228"/>
    </row>
    <row r="151" spans="1:12" s="231" customFormat="1">
      <c r="A151" s="2655"/>
      <c r="D151" s="2656"/>
      <c r="K151" s="228"/>
      <c r="L151" s="228"/>
    </row>
    <row r="152" spans="1:12" s="231" customFormat="1">
      <c r="A152" s="2655"/>
      <c r="D152" s="2656"/>
      <c r="K152" s="228"/>
      <c r="L152" s="228"/>
    </row>
    <row r="153" spans="1:12" s="231" customFormat="1">
      <c r="A153" s="2655"/>
      <c r="D153" s="2656"/>
      <c r="K153" s="228"/>
      <c r="L153" s="228"/>
    </row>
    <row r="154" spans="1:12" s="231" customFormat="1">
      <c r="A154" s="2655"/>
      <c r="D154" s="2656"/>
      <c r="K154" s="228"/>
      <c r="L154" s="228"/>
    </row>
    <row r="155" spans="1:12" s="231" customFormat="1">
      <c r="A155" s="2655"/>
      <c r="D155" s="2656"/>
      <c r="K155" s="228"/>
      <c r="L155" s="228"/>
    </row>
    <row r="156" spans="1:12" s="231" customFormat="1">
      <c r="A156" s="2655"/>
      <c r="D156" s="2656"/>
      <c r="K156" s="228"/>
      <c r="L156" s="228"/>
    </row>
    <row r="157" spans="1:12" s="231" customFormat="1">
      <c r="A157" s="2655"/>
      <c r="D157" s="2656"/>
      <c r="K157" s="228"/>
      <c r="L157" s="228"/>
    </row>
    <row r="158" spans="1:12" s="231" customFormat="1">
      <c r="A158" s="2655"/>
      <c r="D158" s="2656"/>
      <c r="K158" s="228"/>
      <c r="L158" s="228"/>
    </row>
    <row r="159" spans="1:12" s="231" customFormat="1">
      <c r="A159" s="2655"/>
      <c r="D159" s="2656"/>
      <c r="K159" s="228"/>
      <c r="L159" s="228"/>
    </row>
    <row r="160" spans="1:12" s="231" customFormat="1">
      <c r="A160" s="2655"/>
      <c r="D160" s="2656"/>
      <c r="K160" s="228"/>
      <c r="L160" s="228"/>
    </row>
    <row r="161" spans="1:12" s="231" customFormat="1">
      <c r="A161" s="2655"/>
      <c r="D161" s="2656"/>
      <c r="K161" s="228"/>
      <c r="L161" s="228"/>
    </row>
    <row r="162" spans="1:12" s="231" customFormat="1">
      <c r="A162" s="2655"/>
      <c r="D162" s="2656"/>
      <c r="K162" s="228"/>
      <c r="L162" s="228"/>
    </row>
    <row r="163" spans="1:12" s="231" customFormat="1">
      <c r="A163" s="2655"/>
      <c r="D163" s="2656"/>
      <c r="K163" s="228"/>
      <c r="L163" s="228"/>
    </row>
    <row r="164" spans="1:12" s="231" customFormat="1">
      <c r="A164" s="2655"/>
      <c r="D164" s="2656"/>
      <c r="K164" s="228"/>
      <c r="L164" s="228"/>
    </row>
    <row r="165" spans="1:12" s="231" customFormat="1">
      <c r="A165" s="2655"/>
      <c r="D165" s="2656"/>
      <c r="K165" s="228"/>
      <c r="L165" s="228"/>
    </row>
    <row r="166" spans="1:12" s="231" customFormat="1">
      <c r="A166" s="2655"/>
      <c r="D166" s="2656"/>
      <c r="K166" s="228"/>
      <c r="L166" s="228"/>
    </row>
    <row r="167" spans="1:12" s="231" customFormat="1">
      <c r="A167" s="2655"/>
      <c r="D167" s="2656"/>
      <c r="K167" s="228"/>
      <c r="L167" s="228"/>
    </row>
    <row r="168" spans="1:12" s="231" customFormat="1">
      <c r="A168" s="2655"/>
      <c r="D168" s="2656"/>
      <c r="K168" s="228"/>
      <c r="L168" s="228"/>
    </row>
    <row r="169" spans="1:12" s="231" customFormat="1">
      <c r="A169" s="2655"/>
      <c r="D169" s="2656"/>
      <c r="K169" s="228"/>
      <c r="L169" s="228"/>
    </row>
    <row r="170" spans="1:12" s="231" customFormat="1">
      <c r="A170" s="2655"/>
      <c r="D170" s="2656"/>
      <c r="K170" s="228"/>
      <c r="L170" s="228"/>
    </row>
    <row r="171" spans="1:12" s="231" customFormat="1">
      <c r="A171" s="2655"/>
      <c r="D171" s="2656"/>
      <c r="K171" s="228"/>
      <c r="L171" s="228"/>
    </row>
    <row r="172" spans="1:12" s="231" customFormat="1">
      <c r="A172" s="2655"/>
      <c r="D172" s="2656"/>
      <c r="K172" s="228"/>
      <c r="L172" s="228"/>
    </row>
    <row r="173" spans="1:12" s="231" customFormat="1">
      <c r="A173" s="2655"/>
      <c r="D173" s="2656"/>
      <c r="K173" s="228"/>
      <c r="L173" s="228"/>
    </row>
    <row r="174" spans="1:12" s="231" customFormat="1">
      <c r="A174" s="2655"/>
      <c r="D174" s="2656"/>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activeCell="I30" sqref="I30"/>
    </sheetView>
  </sheetViews>
  <sheetFormatPr defaultRowHeight="13.5"/>
  <sheetData>
    <row r="1" spans="1:7" ht="26.25" thickBot="1">
      <c r="A1" s="3095" t="s">
        <v>2250</v>
      </c>
      <c r="B1" s="3205" t="s">
        <v>3183</v>
      </c>
      <c r="C1" s="3206"/>
      <c r="D1" s="3096" t="s">
        <v>3032</v>
      </c>
      <c r="E1" s="3096" t="s">
        <v>3184</v>
      </c>
      <c r="F1" s="3097" t="s">
        <v>3185</v>
      </c>
      <c r="G1" s="3098"/>
    </row>
    <row r="2" spans="1:7" s="3107" customFormat="1" ht="15" thickBot="1">
      <c r="A2" s="3103">
        <v>115</v>
      </c>
      <c r="B2" s="3207" t="s">
        <v>3186</v>
      </c>
      <c r="C2" s="3208"/>
      <c r="D2" s="3104" t="s">
        <v>3187</v>
      </c>
      <c r="E2" s="3104" t="s">
        <v>463</v>
      </c>
      <c r="F2" s="3105">
        <v>89.53</v>
      </c>
      <c r="G2" s="3106" t="s">
        <v>3188</v>
      </c>
    </row>
    <row r="3" spans="1:7" ht="15" thickBot="1">
      <c r="A3" s="3099">
        <v>116</v>
      </c>
      <c r="B3" s="3203" t="s">
        <v>3186</v>
      </c>
      <c r="C3" s="3204"/>
      <c r="D3" s="3100" t="s">
        <v>3189</v>
      </c>
      <c r="E3" s="3100" t="s">
        <v>463</v>
      </c>
      <c r="F3" s="3101">
        <v>89.53</v>
      </c>
      <c r="G3" s="3102" t="s">
        <v>3188</v>
      </c>
    </row>
    <row r="4" spans="1:7" ht="15" thickBot="1">
      <c r="A4" s="3099">
        <v>120</v>
      </c>
      <c r="B4" s="3203" t="s">
        <v>3186</v>
      </c>
      <c r="C4" s="3204"/>
      <c r="D4" s="3100" t="s">
        <v>3190</v>
      </c>
      <c r="E4" s="3100" t="s">
        <v>463</v>
      </c>
      <c r="F4" s="3101">
        <v>81.77</v>
      </c>
      <c r="G4" s="3102" t="s">
        <v>3188</v>
      </c>
    </row>
    <row r="5" spans="1:7" ht="15" thickBot="1">
      <c r="A5" s="3099">
        <v>121</v>
      </c>
      <c r="B5" s="3203" t="s">
        <v>3186</v>
      </c>
      <c r="C5" s="3204"/>
      <c r="D5" s="3100" t="s">
        <v>3191</v>
      </c>
      <c r="E5" s="3100" t="s">
        <v>463</v>
      </c>
      <c r="F5" s="3101">
        <v>89.53</v>
      </c>
      <c r="G5" s="3102" t="s">
        <v>3188</v>
      </c>
    </row>
    <row r="6" spans="1:7" ht="15" thickBot="1">
      <c r="A6" s="3099">
        <v>156</v>
      </c>
      <c r="B6" s="3203" t="s">
        <v>3186</v>
      </c>
      <c r="C6" s="3204"/>
      <c r="D6" s="3100" t="s">
        <v>3192</v>
      </c>
      <c r="E6" s="3100" t="s">
        <v>463</v>
      </c>
      <c r="F6" s="3101">
        <v>70.12</v>
      </c>
      <c r="G6" s="3102" t="s">
        <v>3188</v>
      </c>
    </row>
    <row r="7" spans="1:7" ht="15" thickBot="1">
      <c r="A7" s="3099">
        <v>160</v>
      </c>
      <c r="B7" s="3203" t="s">
        <v>3186</v>
      </c>
      <c r="C7" s="3204"/>
      <c r="D7" s="3100" t="s">
        <v>3193</v>
      </c>
      <c r="E7" s="3100" t="s">
        <v>463</v>
      </c>
      <c r="F7" s="3101">
        <v>70.12</v>
      </c>
      <c r="G7" s="3102" t="s">
        <v>3188</v>
      </c>
    </row>
    <row r="8" spans="1:7" ht="15" thickBot="1">
      <c r="A8" s="3099">
        <v>200</v>
      </c>
      <c r="B8" s="3203" t="s">
        <v>3186</v>
      </c>
      <c r="C8" s="3204"/>
      <c r="D8" s="3100" t="s">
        <v>3194</v>
      </c>
      <c r="E8" s="3100" t="s">
        <v>463</v>
      </c>
      <c r="F8" s="3101">
        <v>119.11</v>
      </c>
      <c r="G8" s="3102" t="s">
        <v>3188</v>
      </c>
    </row>
    <row r="9" spans="1:7" ht="15" thickBot="1">
      <c r="A9" s="3099">
        <v>201</v>
      </c>
      <c r="B9" s="3203" t="s">
        <v>3186</v>
      </c>
      <c r="C9" s="3204"/>
      <c r="D9" s="3100" t="s">
        <v>3195</v>
      </c>
      <c r="E9" s="3100" t="s">
        <v>463</v>
      </c>
      <c r="F9" s="3101">
        <v>118.38</v>
      </c>
      <c r="G9" s="3102" t="s">
        <v>3188</v>
      </c>
    </row>
    <row r="10" spans="1:7" ht="15" thickBot="1">
      <c r="A10" s="3099">
        <v>202</v>
      </c>
      <c r="B10" s="3203" t="s">
        <v>3186</v>
      </c>
      <c r="C10" s="3204"/>
      <c r="D10" s="3100" t="s">
        <v>3196</v>
      </c>
      <c r="E10" s="3100" t="s">
        <v>463</v>
      </c>
      <c r="F10" s="3101">
        <v>119.11</v>
      </c>
      <c r="G10" s="3102" t="s">
        <v>3188</v>
      </c>
    </row>
    <row r="11" spans="1:7" ht="15" thickBot="1">
      <c r="A11" s="3099">
        <v>204</v>
      </c>
      <c r="B11" s="3203" t="s">
        <v>3186</v>
      </c>
      <c r="C11" s="3204"/>
      <c r="D11" s="3100" t="s">
        <v>3197</v>
      </c>
      <c r="E11" s="3100" t="s">
        <v>463</v>
      </c>
      <c r="F11" s="3101">
        <v>119.11</v>
      </c>
      <c r="G11" s="3102" t="s">
        <v>3188</v>
      </c>
    </row>
    <row r="12" spans="1:7" ht="15" thickBot="1">
      <c r="A12" s="3099">
        <v>205</v>
      </c>
      <c r="B12" s="3203" t="s">
        <v>3186</v>
      </c>
      <c r="C12" s="3204"/>
      <c r="D12" s="3100" t="s">
        <v>3198</v>
      </c>
      <c r="E12" s="3100" t="s">
        <v>463</v>
      </c>
      <c r="F12" s="3101">
        <v>118.38</v>
      </c>
      <c r="G12" s="3102" t="s">
        <v>3188</v>
      </c>
    </row>
    <row r="13" spans="1:7" ht="15" thickBot="1">
      <c r="A13" s="3099">
        <v>206</v>
      </c>
      <c r="B13" s="3203" t="s">
        <v>3186</v>
      </c>
      <c r="C13" s="3204"/>
      <c r="D13" s="3100" t="s">
        <v>3199</v>
      </c>
      <c r="E13" s="3100" t="s">
        <v>463</v>
      </c>
      <c r="F13" s="3101">
        <v>119.11</v>
      </c>
      <c r="G13" s="3102" t="s">
        <v>3188</v>
      </c>
    </row>
    <row r="14" spans="1:7" ht="15" thickBot="1">
      <c r="A14" s="3099">
        <v>209</v>
      </c>
      <c r="B14" s="3203" t="s">
        <v>3186</v>
      </c>
      <c r="C14" s="3204"/>
      <c r="D14" s="3100" t="s">
        <v>3200</v>
      </c>
      <c r="E14" s="3100" t="s">
        <v>463</v>
      </c>
      <c r="F14" s="3101">
        <v>118.38</v>
      </c>
      <c r="G14" s="3102" t="s">
        <v>3188</v>
      </c>
    </row>
    <row r="15" spans="1:7" ht="15" thickBot="1">
      <c r="A15" s="3099">
        <v>210</v>
      </c>
      <c r="B15" s="3203" t="s">
        <v>3186</v>
      </c>
      <c r="C15" s="3204"/>
      <c r="D15" s="3100" t="s">
        <v>3201</v>
      </c>
      <c r="E15" s="3100" t="s">
        <v>463</v>
      </c>
      <c r="F15" s="3101">
        <v>118.38</v>
      </c>
      <c r="G15" s="3102" t="s">
        <v>3188</v>
      </c>
    </row>
    <row r="16" spans="1:7" ht="15" thickBot="1">
      <c r="A16" s="3099">
        <v>217</v>
      </c>
      <c r="B16" s="3203" t="s">
        <v>3186</v>
      </c>
      <c r="C16" s="3204"/>
      <c r="D16" s="3100" t="s">
        <v>3202</v>
      </c>
      <c r="E16" s="3100" t="s">
        <v>463</v>
      </c>
      <c r="F16" s="3101">
        <v>118.38</v>
      </c>
      <c r="G16" s="3102" t="s">
        <v>3188</v>
      </c>
    </row>
    <row r="17" spans="1:7" ht="15" thickBot="1">
      <c r="A17" s="3099">
        <v>218</v>
      </c>
      <c r="B17" s="3203" t="s">
        <v>3186</v>
      </c>
      <c r="C17" s="3204"/>
      <c r="D17" s="3100" t="s">
        <v>3203</v>
      </c>
      <c r="E17" s="3100" t="s">
        <v>463</v>
      </c>
      <c r="F17" s="3101">
        <v>119.11</v>
      </c>
      <c r="G17" s="3102" t="s">
        <v>3188</v>
      </c>
    </row>
    <row r="18" spans="1:7" ht="15" thickBot="1">
      <c r="A18" s="3099">
        <v>219</v>
      </c>
      <c r="B18" s="3203" t="s">
        <v>3186</v>
      </c>
      <c r="C18" s="3204"/>
      <c r="D18" s="3100" t="s">
        <v>3204</v>
      </c>
      <c r="E18" s="3100" t="s">
        <v>463</v>
      </c>
      <c r="F18" s="3101">
        <v>118.38</v>
      </c>
      <c r="G18" s="3102" t="s">
        <v>3188</v>
      </c>
    </row>
    <row r="19" spans="1:7" ht="15" thickBot="1">
      <c r="A19" s="3099">
        <v>220</v>
      </c>
      <c r="B19" s="3203" t="s">
        <v>3186</v>
      </c>
      <c r="C19" s="3204"/>
      <c r="D19" s="3100" t="s">
        <v>3205</v>
      </c>
      <c r="E19" s="3100" t="s">
        <v>463</v>
      </c>
      <c r="F19" s="3101">
        <v>119.11</v>
      </c>
      <c r="G19" s="3102" t="s">
        <v>3188</v>
      </c>
    </row>
    <row r="20" spans="1:7" ht="15" thickBot="1">
      <c r="A20" s="3099">
        <v>221</v>
      </c>
      <c r="B20" s="3203" t="s">
        <v>3186</v>
      </c>
      <c r="C20" s="3204"/>
      <c r="D20" s="3100" t="s">
        <v>3206</v>
      </c>
      <c r="E20" s="3100" t="s">
        <v>463</v>
      </c>
      <c r="F20" s="3101">
        <v>118.38</v>
      </c>
      <c r="G20" s="3102" t="s">
        <v>3188</v>
      </c>
    </row>
    <row r="21" spans="1:7" ht="15" thickBot="1">
      <c r="A21" s="3099">
        <v>222</v>
      </c>
      <c r="B21" s="3203" t="s">
        <v>3186</v>
      </c>
      <c r="C21" s="3204"/>
      <c r="D21" s="3100" t="s">
        <v>3207</v>
      </c>
      <c r="E21" s="3100" t="s">
        <v>463</v>
      </c>
      <c r="F21" s="3101">
        <v>119.11</v>
      </c>
      <c r="G21" s="3102" t="s">
        <v>3188</v>
      </c>
    </row>
    <row r="22" spans="1:7" ht="15" thickBot="1">
      <c r="A22" s="3099">
        <v>224</v>
      </c>
      <c r="B22" s="3203" t="s">
        <v>3186</v>
      </c>
      <c r="C22" s="3204"/>
      <c r="D22" s="3100" t="s">
        <v>3208</v>
      </c>
      <c r="E22" s="3100" t="s">
        <v>463</v>
      </c>
      <c r="F22" s="3101">
        <v>119.11</v>
      </c>
      <c r="G22" s="3102" t="s">
        <v>3188</v>
      </c>
    </row>
    <row r="23" spans="1:7" ht="15" thickBot="1">
      <c r="A23" s="3099">
        <v>228</v>
      </c>
      <c r="B23" s="3203" t="s">
        <v>3186</v>
      </c>
      <c r="C23" s="3204"/>
      <c r="D23" s="3100" t="s">
        <v>3209</v>
      </c>
      <c r="E23" s="3100" t="s">
        <v>463</v>
      </c>
      <c r="F23" s="3101">
        <v>118.38</v>
      </c>
      <c r="G23" s="3102" t="s">
        <v>3188</v>
      </c>
    </row>
    <row r="24" spans="1:7" ht="15" thickBot="1">
      <c r="A24" s="3099">
        <v>229</v>
      </c>
      <c r="B24" s="3203" t="s">
        <v>3186</v>
      </c>
      <c r="C24" s="3204"/>
      <c r="D24" s="3100" t="s">
        <v>3210</v>
      </c>
      <c r="E24" s="3100" t="s">
        <v>463</v>
      </c>
      <c r="F24" s="3101">
        <v>119.11</v>
      </c>
      <c r="G24" s="3102" t="s">
        <v>3188</v>
      </c>
    </row>
    <row r="25" spans="1:7" ht="15" thickBot="1">
      <c r="A25" s="3099">
        <v>231</v>
      </c>
      <c r="B25" s="3203" t="s">
        <v>3186</v>
      </c>
      <c r="C25" s="3204"/>
      <c r="D25" s="3100" t="s">
        <v>3211</v>
      </c>
      <c r="E25" s="3100" t="s">
        <v>463</v>
      </c>
      <c r="F25" s="3101">
        <v>119.11</v>
      </c>
      <c r="G25" s="3102" t="s">
        <v>3188</v>
      </c>
    </row>
    <row r="26" spans="1:7" ht="15" thickBot="1">
      <c r="A26" s="3099">
        <v>233</v>
      </c>
      <c r="B26" s="3203" t="s">
        <v>3186</v>
      </c>
      <c r="C26" s="3204"/>
      <c r="D26" s="3100" t="s">
        <v>3212</v>
      </c>
      <c r="E26" s="3100" t="s">
        <v>463</v>
      </c>
      <c r="F26" s="3101">
        <v>119.11</v>
      </c>
      <c r="G26" s="3102" t="s">
        <v>3188</v>
      </c>
    </row>
    <row r="27" spans="1:7" ht="15" thickBot="1">
      <c r="A27" s="3099">
        <v>235</v>
      </c>
      <c r="B27" s="3203" t="s">
        <v>3186</v>
      </c>
      <c r="C27" s="3204"/>
      <c r="D27" s="3100" t="s">
        <v>3213</v>
      </c>
      <c r="E27" s="3100" t="s">
        <v>463</v>
      </c>
      <c r="F27" s="3101">
        <v>119.11</v>
      </c>
      <c r="G27" s="3102" t="s">
        <v>3188</v>
      </c>
    </row>
    <row r="28" spans="1:7" ht="15" thickBot="1">
      <c r="A28" s="3099">
        <v>236</v>
      </c>
      <c r="B28" s="3203" t="s">
        <v>3186</v>
      </c>
      <c r="C28" s="3204"/>
      <c r="D28" s="3100" t="s">
        <v>3214</v>
      </c>
      <c r="E28" s="3100" t="s">
        <v>463</v>
      </c>
      <c r="F28" s="3101">
        <v>119.11</v>
      </c>
      <c r="G28" s="3102" t="s">
        <v>3188</v>
      </c>
    </row>
    <row r="29" spans="1:7" ht="15" thickBot="1">
      <c r="A29" s="3099">
        <v>238</v>
      </c>
      <c r="B29" s="3203" t="s">
        <v>3186</v>
      </c>
      <c r="C29" s="3204"/>
      <c r="D29" s="3100" t="s">
        <v>3215</v>
      </c>
      <c r="E29" s="3100" t="s">
        <v>463</v>
      </c>
      <c r="F29" s="3101">
        <v>118.38</v>
      </c>
      <c r="G29" s="3102" t="s">
        <v>3188</v>
      </c>
    </row>
    <row r="30" spans="1:7" ht="15" thickBot="1">
      <c r="A30" s="3099">
        <v>239</v>
      </c>
      <c r="B30" s="3203" t="s">
        <v>3186</v>
      </c>
      <c r="C30" s="3204"/>
      <c r="D30" s="3100" t="s">
        <v>3216</v>
      </c>
      <c r="E30" s="3100" t="s">
        <v>463</v>
      </c>
      <c r="F30" s="3101">
        <v>118.38</v>
      </c>
      <c r="G30" s="3102" t="s">
        <v>3188</v>
      </c>
    </row>
    <row r="31" spans="1:7" ht="15" thickBot="1">
      <c r="A31" s="3099">
        <v>240</v>
      </c>
      <c r="B31" s="3203" t="s">
        <v>3186</v>
      </c>
      <c r="C31" s="3204"/>
      <c r="D31" s="3100" t="s">
        <v>3217</v>
      </c>
      <c r="E31" s="3100" t="s">
        <v>463</v>
      </c>
      <c r="F31" s="3101">
        <v>119.11</v>
      </c>
      <c r="G31" s="3102" t="s">
        <v>3188</v>
      </c>
    </row>
    <row r="32" spans="1:7" ht="15" thickBot="1">
      <c r="A32" s="3099">
        <v>242</v>
      </c>
      <c r="B32" s="3203" t="s">
        <v>3186</v>
      </c>
      <c r="C32" s="3204"/>
      <c r="D32" s="3100" t="s">
        <v>3218</v>
      </c>
      <c r="E32" s="3100" t="s">
        <v>463</v>
      </c>
      <c r="F32" s="3101">
        <v>118.58</v>
      </c>
      <c r="G32" s="3102" t="s">
        <v>3188</v>
      </c>
    </row>
    <row r="33" spans="1:7" ht="15" thickBot="1">
      <c r="A33" s="3099">
        <v>243</v>
      </c>
      <c r="B33" s="3203" t="s">
        <v>3186</v>
      </c>
      <c r="C33" s="3204"/>
      <c r="D33" s="3100" t="s">
        <v>3219</v>
      </c>
      <c r="E33" s="3100" t="s">
        <v>463</v>
      </c>
      <c r="F33" s="3101">
        <v>119.28</v>
      </c>
      <c r="G33" s="3102" t="s">
        <v>3188</v>
      </c>
    </row>
    <row r="34" spans="1:7" ht="15" thickBot="1">
      <c r="A34" s="3099">
        <v>244</v>
      </c>
      <c r="B34" s="3203" t="s">
        <v>3186</v>
      </c>
      <c r="C34" s="3204"/>
      <c r="D34" s="3100" t="s">
        <v>3220</v>
      </c>
      <c r="E34" s="3100" t="s">
        <v>463</v>
      </c>
      <c r="F34" s="3101">
        <v>118.58</v>
      </c>
      <c r="G34" s="3102" t="s">
        <v>3188</v>
      </c>
    </row>
    <row r="35" spans="1:7" ht="15" thickBot="1">
      <c r="A35" s="3099">
        <v>247</v>
      </c>
      <c r="B35" s="3203" t="s">
        <v>3186</v>
      </c>
      <c r="C35" s="3204"/>
      <c r="D35" s="3100" t="s">
        <v>3221</v>
      </c>
      <c r="E35" s="3100" t="s">
        <v>463</v>
      </c>
      <c r="F35" s="3101">
        <v>119.28</v>
      </c>
      <c r="G35" s="3102" t="s">
        <v>3188</v>
      </c>
    </row>
    <row r="36" spans="1:7" ht="15" thickBot="1">
      <c r="A36" s="3099">
        <v>248</v>
      </c>
      <c r="B36" s="3203" t="s">
        <v>3186</v>
      </c>
      <c r="C36" s="3204"/>
      <c r="D36" s="3100" t="s">
        <v>3222</v>
      </c>
      <c r="E36" s="3100" t="s">
        <v>463</v>
      </c>
      <c r="F36" s="3101">
        <v>118.58</v>
      </c>
      <c r="G36" s="3102" t="s">
        <v>3188</v>
      </c>
    </row>
    <row r="37" spans="1:7" ht="15" thickBot="1">
      <c r="A37" s="3099">
        <v>253</v>
      </c>
      <c r="B37" s="3203" t="s">
        <v>3186</v>
      </c>
      <c r="C37" s="3204"/>
      <c r="D37" s="3100" t="s">
        <v>3223</v>
      </c>
      <c r="E37" s="3100" t="s">
        <v>463</v>
      </c>
      <c r="F37" s="3101">
        <v>119.28</v>
      </c>
      <c r="G37" s="3102" t="s">
        <v>3188</v>
      </c>
    </row>
    <row r="38" spans="1:7" ht="15" thickBot="1">
      <c r="A38" s="3099">
        <v>254</v>
      </c>
      <c r="B38" s="3203" t="s">
        <v>3186</v>
      </c>
      <c r="C38" s="3204"/>
      <c r="D38" s="3100" t="s">
        <v>3224</v>
      </c>
      <c r="E38" s="3100" t="s">
        <v>463</v>
      </c>
      <c r="F38" s="3101">
        <v>118.58</v>
      </c>
      <c r="G38" s="3102" t="s">
        <v>3188</v>
      </c>
    </row>
    <row r="39" spans="1:7" ht="15" thickBot="1">
      <c r="A39" s="3099">
        <v>256</v>
      </c>
      <c r="B39" s="3203" t="s">
        <v>3186</v>
      </c>
      <c r="C39" s="3204"/>
      <c r="D39" s="3100" t="s">
        <v>3225</v>
      </c>
      <c r="E39" s="3100" t="s">
        <v>463</v>
      </c>
      <c r="F39" s="3101">
        <v>119.28</v>
      </c>
      <c r="G39" s="3102" t="s">
        <v>3188</v>
      </c>
    </row>
    <row r="40" spans="1:7" ht="15" thickBot="1">
      <c r="A40" s="3099">
        <v>258</v>
      </c>
      <c r="B40" s="3203" t="s">
        <v>3186</v>
      </c>
      <c r="C40" s="3204"/>
      <c r="D40" s="3100" t="s">
        <v>3226</v>
      </c>
      <c r="E40" s="3100" t="s">
        <v>463</v>
      </c>
      <c r="F40" s="3101">
        <v>119.28</v>
      </c>
      <c r="G40" s="3102" t="s">
        <v>3188</v>
      </c>
    </row>
    <row r="41" spans="1:7" ht="15" thickBot="1">
      <c r="A41" s="3099">
        <v>259</v>
      </c>
      <c r="B41" s="3203" t="s">
        <v>3186</v>
      </c>
      <c r="C41" s="3204"/>
      <c r="D41" s="3100" t="s">
        <v>3227</v>
      </c>
      <c r="E41" s="3100" t="s">
        <v>463</v>
      </c>
      <c r="F41" s="3101">
        <v>118.58</v>
      </c>
      <c r="G41" s="3102" t="s">
        <v>3188</v>
      </c>
    </row>
    <row r="42" spans="1:7" ht="15" thickBot="1">
      <c r="A42" s="3099">
        <v>263</v>
      </c>
      <c r="B42" s="3203" t="s">
        <v>3186</v>
      </c>
      <c r="C42" s="3204"/>
      <c r="D42" s="3100" t="s">
        <v>3228</v>
      </c>
      <c r="E42" s="3100" t="s">
        <v>463</v>
      </c>
      <c r="F42" s="3101">
        <v>118.58</v>
      </c>
      <c r="G42" s="3102" t="s">
        <v>3188</v>
      </c>
    </row>
    <row r="43" spans="1:7" ht="15" thickBot="1">
      <c r="A43" s="3099">
        <v>267</v>
      </c>
      <c r="B43" s="3203" t="s">
        <v>3186</v>
      </c>
      <c r="C43" s="3204"/>
      <c r="D43" s="3100" t="s">
        <v>3229</v>
      </c>
      <c r="E43" s="3100" t="s">
        <v>463</v>
      </c>
      <c r="F43" s="3101">
        <v>118.58</v>
      </c>
      <c r="G43" s="3102" t="s">
        <v>3188</v>
      </c>
    </row>
    <row r="44" spans="1:7" ht="15" thickBot="1">
      <c r="A44" s="3099">
        <v>268</v>
      </c>
      <c r="B44" s="3203" t="s">
        <v>3186</v>
      </c>
      <c r="C44" s="3204"/>
      <c r="D44" s="3100" t="s">
        <v>3230</v>
      </c>
      <c r="E44" s="3100" t="s">
        <v>463</v>
      </c>
      <c r="F44" s="3101">
        <v>119.28</v>
      </c>
      <c r="G44" s="3102" t="s">
        <v>3188</v>
      </c>
    </row>
    <row r="45" spans="1:7" ht="15" thickBot="1">
      <c r="A45" s="3099">
        <v>272</v>
      </c>
      <c r="B45" s="3203" t="s">
        <v>3186</v>
      </c>
      <c r="C45" s="3204"/>
      <c r="D45" s="3100" t="s">
        <v>3231</v>
      </c>
      <c r="E45" s="3100" t="s">
        <v>463</v>
      </c>
      <c r="F45" s="3101">
        <v>70.78</v>
      </c>
      <c r="G45" s="3102" t="s">
        <v>3188</v>
      </c>
    </row>
    <row r="46" spans="1:7" ht="15" thickBot="1">
      <c r="A46" s="3099">
        <v>285</v>
      </c>
      <c r="B46" s="3203" t="s">
        <v>3186</v>
      </c>
      <c r="C46" s="3204"/>
      <c r="D46" s="3100" t="s">
        <v>3232</v>
      </c>
      <c r="E46" s="3100" t="s">
        <v>463</v>
      </c>
      <c r="F46" s="3101">
        <v>70.209999999999994</v>
      </c>
      <c r="G46" s="3102" t="s">
        <v>3188</v>
      </c>
    </row>
    <row r="47" spans="1:7" ht="15" thickBot="1">
      <c r="A47" s="3099">
        <v>291</v>
      </c>
      <c r="B47" s="3203" t="s">
        <v>3186</v>
      </c>
      <c r="C47" s="3204"/>
      <c r="D47" s="3100" t="s">
        <v>3233</v>
      </c>
      <c r="E47" s="3100" t="s">
        <v>463</v>
      </c>
      <c r="F47" s="3101">
        <v>70.209999999999994</v>
      </c>
      <c r="G47" s="3102" t="s">
        <v>3188</v>
      </c>
    </row>
    <row r="48" spans="1:7" ht="15" thickBot="1">
      <c r="A48" s="3099">
        <v>292</v>
      </c>
      <c r="B48" s="3203" t="s">
        <v>3186</v>
      </c>
      <c r="C48" s="3204"/>
      <c r="D48" s="3100" t="s">
        <v>3234</v>
      </c>
      <c r="E48" s="3100" t="s">
        <v>463</v>
      </c>
      <c r="F48" s="3101">
        <v>70.78</v>
      </c>
      <c r="G48" s="3102" t="s">
        <v>3188</v>
      </c>
    </row>
    <row r="49" spans="1:7" ht="15" thickBot="1">
      <c r="A49" s="3099">
        <v>323</v>
      </c>
      <c r="B49" s="3203" t="s">
        <v>3186</v>
      </c>
      <c r="C49" s="3204"/>
      <c r="D49" s="3100" t="s">
        <v>3235</v>
      </c>
      <c r="E49" s="3100" t="s">
        <v>463</v>
      </c>
      <c r="F49" s="3101">
        <v>69.45</v>
      </c>
      <c r="G49" s="3102" t="s">
        <v>3188</v>
      </c>
    </row>
    <row r="50" spans="1:7" ht="15" thickBot="1">
      <c r="A50" s="3099">
        <v>324</v>
      </c>
      <c r="B50" s="3203" t="s">
        <v>3186</v>
      </c>
      <c r="C50" s="3204"/>
      <c r="D50" s="3100" t="s">
        <v>3236</v>
      </c>
      <c r="E50" s="3100" t="s">
        <v>463</v>
      </c>
      <c r="F50" s="3101">
        <v>68.48</v>
      </c>
      <c r="G50" s="3102" t="s">
        <v>3188</v>
      </c>
    </row>
    <row r="51" spans="1:7" ht="15" thickBot="1">
      <c r="A51" s="3099">
        <v>325</v>
      </c>
      <c r="B51" s="3203" t="s">
        <v>3186</v>
      </c>
      <c r="C51" s="3204"/>
      <c r="D51" s="3100" t="s">
        <v>3237</v>
      </c>
      <c r="E51" s="3100" t="s">
        <v>463</v>
      </c>
      <c r="F51" s="3101">
        <v>69.45</v>
      </c>
      <c r="G51" s="3102" t="s">
        <v>3188</v>
      </c>
    </row>
    <row r="52" spans="1:7" ht="15" thickBot="1">
      <c r="A52" s="3099">
        <v>329</v>
      </c>
      <c r="B52" s="3203" t="s">
        <v>3186</v>
      </c>
      <c r="C52" s="3204"/>
      <c r="D52" s="3100" t="s">
        <v>3238</v>
      </c>
      <c r="E52" s="3100" t="s">
        <v>463</v>
      </c>
      <c r="F52" s="3101">
        <v>69.45</v>
      </c>
      <c r="G52" s="3102" t="s">
        <v>3188</v>
      </c>
    </row>
    <row r="53" spans="1:7" ht="15" thickBot="1">
      <c r="A53" s="3099">
        <v>330</v>
      </c>
      <c r="B53" s="3203" t="s">
        <v>3186</v>
      </c>
      <c r="C53" s="3204"/>
      <c r="D53" s="3100" t="s">
        <v>3239</v>
      </c>
      <c r="E53" s="3100" t="s">
        <v>463</v>
      </c>
      <c r="F53" s="3101">
        <v>68.48</v>
      </c>
      <c r="G53" s="3102" t="s">
        <v>3188</v>
      </c>
    </row>
    <row r="54" spans="1:7" ht="15" thickBot="1">
      <c r="A54" s="3099">
        <v>332</v>
      </c>
      <c r="B54" s="3203" t="s">
        <v>3186</v>
      </c>
      <c r="C54" s="3204"/>
      <c r="D54" s="3100" t="s">
        <v>3240</v>
      </c>
      <c r="E54" s="3100" t="s">
        <v>463</v>
      </c>
      <c r="F54" s="3101">
        <v>68.48</v>
      </c>
      <c r="G54" s="3102" t="s">
        <v>3188</v>
      </c>
    </row>
    <row r="55" spans="1:7" ht="15" thickBot="1">
      <c r="A55" s="3099">
        <v>333</v>
      </c>
      <c r="B55" s="3203" t="s">
        <v>3186</v>
      </c>
      <c r="C55" s="3204"/>
      <c r="D55" s="3100" t="s">
        <v>3241</v>
      </c>
      <c r="E55" s="3100" t="s">
        <v>463</v>
      </c>
      <c r="F55" s="3101">
        <v>69.45</v>
      </c>
      <c r="G55" s="3102" t="s">
        <v>3188</v>
      </c>
    </row>
    <row r="56" spans="1:7" ht="26.25" thickBot="1">
      <c r="A56" s="3099">
        <v>335</v>
      </c>
      <c r="B56" s="3203" t="s">
        <v>3186</v>
      </c>
      <c r="C56" s="3204"/>
      <c r="D56" s="3100" t="s">
        <v>3242</v>
      </c>
      <c r="E56" s="3100" t="s">
        <v>463</v>
      </c>
      <c r="F56" s="3101">
        <v>69.45</v>
      </c>
      <c r="G56" s="3102" t="s">
        <v>3188</v>
      </c>
    </row>
    <row r="57" spans="1:7" ht="15" thickBot="1">
      <c r="A57" s="3099">
        <v>342</v>
      </c>
      <c r="B57" s="3203" t="s">
        <v>3186</v>
      </c>
      <c r="C57" s="3204"/>
      <c r="D57" s="3100" t="s">
        <v>3243</v>
      </c>
      <c r="E57" s="3100" t="s">
        <v>463</v>
      </c>
      <c r="F57" s="3101">
        <v>81.19</v>
      </c>
      <c r="G57" s="3102" t="s">
        <v>3188</v>
      </c>
    </row>
    <row r="58" spans="1:7" ht="15" thickBot="1">
      <c r="A58" s="3099">
        <v>348</v>
      </c>
      <c r="B58" s="3203" t="s">
        <v>3186</v>
      </c>
      <c r="C58" s="3204"/>
      <c r="D58" s="3100" t="s">
        <v>3244</v>
      </c>
      <c r="E58" s="3100" t="s">
        <v>463</v>
      </c>
      <c r="F58" s="3101">
        <v>89.26</v>
      </c>
      <c r="G58" s="3102" t="s">
        <v>3188</v>
      </c>
    </row>
    <row r="59" spans="1:7" ht="26.25" thickBot="1">
      <c r="A59" s="3099">
        <v>351</v>
      </c>
      <c r="B59" s="3203" t="s">
        <v>3186</v>
      </c>
      <c r="C59" s="3204"/>
      <c r="D59" s="3100" t="s">
        <v>3245</v>
      </c>
      <c r="E59" s="3100" t="s">
        <v>463</v>
      </c>
      <c r="F59" s="3101">
        <v>81.19</v>
      </c>
      <c r="G59" s="3102" t="s">
        <v>3188</v>
      </c>
    </row>
    <row r="60" spans="1:7" ht="26.25" thickBot="1">
      <c r="A60" s="3099">
        <v>353</v>
      </c>
      <c r="B60" s="3203" t="s">
        <v>3186</v>
      </c>
      <c r="C60" s="3204"/>
      <c r="D60" s="3100" t="s">
        <v>3246</v>
      </c>
      <c r="E60" s="3100" t="s">
        <v>463</v>
      </c>
      <c r="F60" s="3101">
        <v>81.19</v>
      </c>
      <c r="G60" s="3102" t="s">
        <v>3188</v>
      </c>
    </row>
    <row r="61" spans="1:7" ht="26.25" thickBot="1">
      <c r="A61" s="3099">
        <v>355</v>
      </c>
      <c r="B61" s="3203" t="s">
        <v>3186</v>
      </c>
      <c r="C61" s="3204"/>
      <c r="D61" s="3100" t="s">
        <v>3247</v>
      </c>
      <c r="E61" s="3100" t="s">
        <v>463</v>
      </c>
      <c r="F61" s="3101">
        <v>82.09</v>
      </c>
      <c r="G61" s="3102" t="s">
        <v>3188</v>
      </c>
    </row>
    <row r="62" spans="1:7" ht="26.25" thickBot="1">
      <c r="A62" s="3099">
        <v>357</v>
      </c>
      <c r="B62" s="3203" t="s">
        <v>3186</v>
      </c>
      <c r="C62" s="3204"/>
      <c r="D62" s="3100" t="s">
        <v>3248</v>
      </c>
      <c r="E62" s="3100" t="s">
        <v>463</v>
      </c>
      <c r="F62" s="3101">
        <v>81.19</v>
      </c>
      <c r="G62" s="3102" t="s">
        <v>3188</v>
      </c>
    </row>
    <row r="63" spans="1:7" ht="26.25" thickBot="1">
      <c r="A63" s="3099">
        <v>359</v>
      </c>
      <c r="B63" s="3203" t="s">
        <v>3186</v>
      </c>
      <c r="C63" s="3204"/>
      <c r="D63" s="3100" t="s">
        <v>3249</v>
      </c>
      <c r="E63" s="3100" t="s">
        <v>463</v>
      </c>
      <c r="F63" s="3101">
        <v>89.26</v>
      </c>
      <c r="G63" s="3102" t="s">
        <v>3188</v>
      </c>
    </row>
    <row r="64" spans="1:7" ht="15" thickBot="1">
      <c r="A64" s="3099">
        <v>361</v>
      </c>
      <c r="B64" s="3203" t="s">
        <v>3186</v>
      </c>
      <c r="C64" s="3204"/>
      <c r="D64" s="3100" t="s">
        <v>3250</v>
      </c>
      <c r="E64" s="3100" t="s">
        <v>463</v>
      </c>
      <c r="F64" s="3101">
        <v>81.19</v>
      </c>
      <c r="G64" s="3102" t="s">
        <v>3188</v>
      </c>
    </row>
    <row r="65" spans="1:7" ht="15" thickBot="1">
      <c r="A65" s="3099">
        <v>365</v>
      </c>
      <c r="B65" s="3203" t="s">
        <v>3186</v>
      </c>
      <c r="C65" s="3204"/>
      <c r="D65" s="3100" t="s">
        <v>3251</v>
      </c>
      <c r="E65" s="3100" t="s">
        <v>463</v>
      </c>
      <c r="F65" s="3101">
        <v>89.26</v>
      </c>
      <c r="G65" s="3102" t="s">
        <v>3188</v>
      </c>
    </row>
    <row r="66" spans="1:7" ht="15" thickBot="1">
      <c r="A66" s="3099">
        <v>367</v>
      </c>
      <c r="B66" s="3203" t="s">
        <v>3186</v>
      </c>
      <c r="C66" s="3204"/>
      <c r="D66" s="3100" t="s">
        <v>3252</v>
      </c>
      <c r="E66" s="3100" t="s">
        <v>463</v>
      </c>
      <c r="F66" s="3101">
        <v>81.19</v>
      </c>
      <c r="G66" s="3102" t="s">
        <v>3188</v>
      </c>
    </row>
    <row r="67" spans="1:7" ht="26.25" thickBot="1">
      <c r="A67" s="3099">
        <v>373</v>
      </c>
      <c r="B67" s="3203" t="s">
        <v>3186</v>
      </c>
      <c r="C67" s="3204"/>
      <c r="D67" s="3100" t="s">
        <v>3253</v>
      </c>
      <c r="E67" s="3100" t="s">
        <v>463</v>
      </c>
      <c r="F67" s="3101">
        <v>82.09</v>
      </c>
      <c r="G67" s="3102" t="s">
        <v>3188</v>
      </c>
    </row>
    <row r="68" spans="1:7" ht="26.25" thickBot="1">
      <c r="A68" s="3099">
        <v>375</v>
      </c>
      <c r="B68" s="3203" t="s">
        <v>3186</v>
      </c>
      <c r="C68" s="3204"/>
      <c r="D68" s="3100" t="s">
        <v>3254</v>
      </c>
      <c r="E68" s="3100" t="s">
        <v>463</v>
      </c>
      <c r="F68" s="3101">
        <v>81.19</v>
      </c>
      <c r="G68" s="3102" t="s">
        <v>3188</v>
      </c>
    </row>
    <row r="69" spans="1:7" ht="26.25" thickBot="1">
      <c r="A69" s="3099">
        <v>376</v>
      </c>
      <c r="B69" s="3203" t="s">
        <v>3186</v>
      </c>
      <c r="C69" s="3204"/>
      <c r="D69" s="3100" t="s">
        <v>3255</v>
      </c>
      <c r="E69" s="3100" t="s">
        <v>463</v>
      </c>
      <c r="F69" s="3101">
        <v>89.26</v>
      </c>
      <c r="G69" s="3102" t="s">
        <v>3188</v>
      </c>
    </row>
    <row r="70" spans="1:7" ht="15" thickBot="1">
      <c r="A70" s="3099">
        <v>379</v>
      </c>
      <c r="B70" s="3203" t="s">
        <v>3186</v>
      </c>
      <c r="C70" s="3204"/>
      <c r="D70" s="3100" t="s">
        <v>3256</v>
      </c>
      <c r="E70" s="3100" t="s">
        <v>463</v>
      </c>
      <c r="F70" s="3101">
        <v>81.19</v>
      </c>
      <c r="G70" s="3102" t="s">
        <v>3188</v>
      </c>
    </row>
    <row r="71" spans="1:7" ht="15" thickBot="1">
      <c r="A71" s="3099">
        <v>382</v>
      </c>
      <c r="B71" s="3203" t="s">
        <v>3186</v>
      </c>
      <c r="C71" s="3204"/>
      <c r="D71" s="3100" t="s">
        <v>3257</v>
      </c>
      <c r="E71" s="3100" t="s">
        <v>463</v>
      </c>
      <c r="F71" s="3101">
        <v>81.19</v>
      </c>
      <c r="G71" s="3102" t="s">
        <v>3188</v>
      </c>
    </row>
    <row r="72" spans="1:7" ht="15" thickBot="1">
      <c r="A72" s="3099">
        <v>386</v>
      </c>
      <c r="B72" s="3203" t="s">
        <v>3186</v>
      </c>
      <c r="C72" s="3204"/>
      <c r="D72" s="3100" t="s">
        <v>3258</v>
      </c>
      <c r="E72" s="3100" t="s">
        <v>463</v>
      </c>
      <c r="F72" s="3101">
        <v>81.19</v>
      </c>
      <c r="G72" s="3102" t="s">
        <v>3188</v>
      </c>
    </row>
    <row r="73" spans="1:7" ht="26.25" thickBot="1">
      <c r="A73" s="3099">
        <v>389</v>
      </c>
      <c r="B73" s="3203" t="s">
        <v>3186</v>
      </c>
      <c r="C73" s="3204"/>
      <c r="D73" s="3100" t="s">
        <v>3259</v>
      </c>
      <c r="E73" s="3100" t="s">
        <v>463</v>
      </c>
      <c r="F73" s="3101">
        <v>81.19</v>
      </c>
      <c r="G73" s="3102" t="s">
        <v>3188</v>
      </c>
    </row>
    <row r="74" spans="1:7" ht="26.25" thickBot="1">
      <c r="A74" s="3099">
        <v>392</v>
      </c>
      <c r="B74" s="3203" t="s">
        <v>3186</v>
      </c>
      <c r="C74" s="3204"/>
      <c r="D74" s="3100" t="s">
        <v>3260</v>
      </c>
      <c r="E74" s="3100" t="s">
        <v>463</v>
      </c>
      <c r="F74" s="3101">
        <v>89.26</v>
      </c>
      <c r="G74" s="3102" t="s">
        <v>3188</v>
      </c>
    </row>
    <row r="75" spans="1:7" ht="26.25" thickBot="1">
      <c r="A75" s="3099">
        <v>394</v>
      </c>
      <c r="B75" s="3203" t="s">
        <v>3186</v>
      </c>
      <c r="C75" s="3204"/>
      <c r="D75" s="3100" t="s">
        <v>3261</v>
      </c>
      <c r="E75" s="3100" t="s">
        <v>463</v>
      </c>
      <c r="F75" s="3101">
        <v>81.19</v>
      </c>
      <c r="G75" s="3102" t="s">
        <v>3188</v>
      </c>
    </row>
    <row r="76" spans="1:7" ht="26.25" thickBot="1">
      <c r="A76" s="3099">
        <v>396</v>
      </c>
      <c r="B76" s="3203" t="s">
        <v>3186</v>
      </c>
      <c r="C76" s="3204"/>
      <c r="D76" s="3100" t="s">
        <v>3262</v>
      </c>
      <c r="E76" s="3100" t="s">
        <v>463</v>
      </c>
      <c r="F76" s="3101">
        <v>81.19</v>
      </c>
      <c r="G76" s="3102" t="s">
        <v>3188</v>
      </c>
    </row>
    <row r="77" spans="1:7" ht="26.25" thickBot="1">
      <c r="A77" s="3099">
        <v>398</v>
      </c>
      <c r="B77" s="3203" t="s">
        <v>3186</v>
      </c>
      <c r="C77" s="3204"/>
      <c r="D77" s="3100" t="s">
        <v>3263</v>
      </c>
      <c r="E77" s="3100" t="s">
        <v>463</v>
      </c>
      <c r="F77" s="3101">
        <v>81.19</v>
      </c>
      <c r="G77" s="3102" t="s">
        <v>3188</v>
      </c>
    </row>
    <row r="78" spans="1:7" ht="15" thickBot="1">
      <c r="A78" s="3099">
        <v>400</v>
      </c>
      <c r="B78" s="3203" t="s">
        <v>3186</v>
      </c>
      <c r="C78" s="3204"/>
      <c r="D78" s="3100" t="s">
        <v>3264</v>
      </c>
      <c r="E78" s="3100" t="s">
        <v>463</v>
      </c>
      <c r="F78" s="3101">
        <v>89.88</v>
      </c>
      <c r="G78" s="3102" t="s">
        <v>3188</v>
      </c>
    </row>
    <row r="79" spans="1:7" ht="15" thickBot="1">
      <c r="A79" s="3099">
        <v>401</v>
      </c>
      <c r="B79" s="3203" t="s">
        <v>3186</v>
      </c>
      <c r="C79" s="3204"/>
      <c r="D79" s="3100" t="s">
        <v>3265</v>
      </c>
      <c r="E79" s="3100" t="s">
        <v>463</v>
      </c>
      <c r="F79" s="3101">
        <v>89.26</v>
      </c>
      <c r="G79" s="3102" t="s">
        <v>3188</v>
      </c>
    </row>
    <row r="80" spans="1:7" ht="15" thickBot="1">
      <c r="A80" s="3099">
        <v>403</v>
      </c>
      <c r="B80" s="3203" t="s">
        <v>3186</v>
      </c>
      <c r="C80" s="3204"/>
      <c r="D80" s="3100" t="s">
        <v>3266</v>
      </c>
      <c r="E80" s="3100" t="s">
        <v>463</v>
      </c>
      <c r="F80" s="3101">
        <v>89.26</v>
      </c>
      <c r="G80" s="3102" t="s">
        <v>3188</v>
      </c>
    </row>
    <row r="81" spans="1:7" ht="15" thickBot="1">
      <c r="A81" s="3099">
        <v>405</v>
      </c>
      <c r="B81" s="3203" t="s">
        <v>3186</v>
      </c>
      <c r="C81" s="3204"/>
      <c r="D81" s="3100" t="s">
        <v>3267</v>
      </c>
      <c r="E81" s="3100" t="s">
        <v>463</v>
      </c>
      <c r="F81" s="3101">
        <v>89.88</v>
      </c>
      <c r="G81" s="3102" t="s">
        <v>3188</v>
      </c>
    </row>
    <row r="82" spans="1:7" ht="15" thickBot="1">
      <c r="A82" s="3099">
        <v>406</v>
      </c>
      <c r="B82" s="3203" t="s">
        <v>3186</v>
      </c>
      <c r="C82" s="3204"/>
      <c r="D82" s="3100" t="s">
        <v>3268</v>
      </c>
      <c r="E82" s="3100" t="s">
        <v>463</v>
      </c>
      <c r="F82" s="3101">
        <v>89.26</v>
      </c>
      <c r="G82" s="3102" t="s">
        <v>3188</v>
      </c>
    </row>
    <row r="83" spans="1:7" ht="15" thickBot="1">
      <c r="A83" s="3099">
        <v>407</v>
      </c>
      <c r="B83" s="3203" t="s">
        <v>3186</v>
      </c>
      <c r="C83" s="3204"/>
      <c r="D83" s="3100" t="s">
        <v>3269</v>
      </c>
      <c r="E83" s="3100" t="s">
        <v>463</v>
      </c>
      <c r="F83" s="3101">
        <v>89.88</v>
      </c>
      <c r="G83" s="3102" t="s">
        <v>3188</v>
      </c>
    </row>
    <row r="84" spans="1:7" ht="15" thickBot="1">
      <c r="A84" s="3099">
        <v>408</v>
      </c>
      <c r="B84" s="3203" t="s">
        <v>3186</v>
      </c>
      <c r="C84" s="3204"/>
      <c r="D84" s="3100" t="s">
        <v>3270</v>
      </c>
      <c r="E84" s="3100" t="s">
        <v>463</v>
      </c>
      <c r="F84" s="3101">
        <v>89.26</v>
      </c>
      <c r="G84" s="3102" t="s">
        <v>3188</v>
      </c>
    </row>
    <row r="85" spans="1:7" ht="15" thickBot="1">
      <c r="A85" s="3099">
        <v>409</v>
      </c>
      <c r="B85" s="3203" t="s">
        <v>3186</v>
      </c>
      <c r="C85" s="3204"/>
      <c r="D85" s="3100" t="s">
        <v>3271</v>
      </c>
      <c r="E85" s="3100" t="s">
        <v>463</v>
      </c>
      <c r="F85" s="3101">
        <v>89.88</v>
      </c>
      <c r="G85" s="3102" t="s">
        <v>3188</v>
      </c>
    </row>
    <row r="86" spans="1:7" ht="15" thickBot="1">
      <c r="A86" s="3099">
        <v>410</v>
      </c>
      <c r="B86" s="3203" t="s">
        <v>3186</v>
      </c>
      <c r="C86" s="3204"/>
      <c r="D86" s="3100" t="s">
        <v>3272</v>
      </c>
      <c r="E86" s="3100" t="s">
        <v>463</v>
      </c>
      <c r="F86" s="3101">
        <v>89.88</v>
      </c>
      <c r="G86" s="3102" t="s">
        <v>3188</v>
      </c>
    </row>
    <row r="87" spans="1:7" ht="26.25" thickBot="1">
      <c r="A87" s="3099">
        <v>411</v>
      </c>
      <c r="B87" s="3203" t="s">
        <v>3186</v>
      </c>
      <c r="C87" s="3204"/>
      <c r="D87" s="3100" t="s">
        <v>3273</v>
      </c>
      <c r="E87" s="3100" t="s">
        <v>463</v>
      </c>
      <c r="F87" s="3101">
        <v>89.26</v>
      </c>
      <c r="G87" s="3102" t="s">
        <v>3188</v>
      </c>
    </row>
    <row r="88" spans="1:7" ht="26.25" thickBot="1">
      <c r="A88" s="3099">
        <v>414</v>
      </c>
      <c r="B88" s="3203" t="s">
        <v>3186</v>
      </c>
      <c r="C88" s="3204"/>
      <c r="D88" s="3100" t="s">
        <v>3274</v>
      </c>
      <c r="E88" s="3100" t="s">
        <v>463</v>
      </c>
      <c r="F88" s="3101">
        <v>89.88</v>
      </c>
      <c r="G88" s="3102" t="s">
        <v>3188</v>
      </c>
    </row>
    <row r="89" spans="1:7" ht="26.25" thickBot="1">
      <c r="A89" s="3099">
        <v>416</v>
      </c>
      <c r="B89" s="3203" t="s">
        <v>3186</v>
      </c>
      <c r="C89" s="3204"/>
      <c r="D89" s="3100" t="s">
        <v>3275</v>
      </c>
      <c r="E89" s="3100" t="s">
        <v>463</v>
      </c>
      <c r="F89" s="3101">
        <v>89.88</v>
      </c>
      <c r="G89" s="3102" t="s">
        <v>3188</v>
      </c>
    </row>
    <row r="90" spans="1:7" ht="26.25" thickBot="1">
      <c r="A90" s="3099">
        <v>418</v>
      </c>
      <c r="B90" s="3203" t="s">
        <v>3186</v>
      </c>
      <c r="C90" s="3204"/>
      <c r="D90" s="3100" t="s">
        <v>3276</v>
      </c>
      <c r="E90" s="3100" t="s">
        <v>463</v>
      </c>
      <c r="F90" s="3101">
        <v>89.88</v>
      </c>
      <c r="G90" s="3102" t="s">
        <v>3188</v>
      </c>
    </row>
    <row r="91" spans="1:7" ht="15" thickBot="1">
      <c r="A91" s="3099">
        <v>422</v>
      </c>
      <c r="B91" s="3203" t="s">
        <v>3186</v>
      </c>
      <c r="C91" s="3204"/>
      <c r="D91" s="3100" t="s">
        <v>3277</v>
      </c>
      <c r="E91" s="3100" t="s">
        <v>463</v>
      </c>
      <c r="F91" s="3101">
        <v>89.32</v>
      </c>
      <c r="G91" s="3102" t="s">
        <v>3188</v>
      </c>
    </row>
    <row r="92" spans="1:7" ht="26.25" thickBot="1">
      <c r="A92" s="3099">
        <v>439</v>
      </c>
      <c r="B92" s="3203" t="s">
        <v>3186</v>
      </c>
      <c r="C92" s="3204"/>
      <c r="D92" s="3100" t="s">
        <v>3278</v>
      </c>
      <c r="E92" s="3100" t="s">
        <v>463</v>
      </c>
      <c r="F92" s="3101">
        <v>89.94</v>
      </c>
      <c r="G92" s="3102" t="s">
        <v>3188</v>
      </c>
    </row>
    <row r="93" spans="1:7" ht="26.25" thickBot="1">
      <c r="A93" s="3099">
        <v>440</v>
      </c>
      <c r="B93" s="3203" t="s">
        <v>3186</v>
      </c>
      <c r="C93" s="3204"/>
      <c r="D93" s="3100" t="s">
        <v>3279</v>
      </c>
      <c r="E93" s="3100" t="s">
        <v>463</v>
      </c>
      <c r="F93" s="3101">
        <v>89.32</v>
      </c>
      <c r="G93" s="3102" t="s">
        <v>3188</v>
      </c>
    </row>
    <row r="94" spans="1:7" ht="26.25" thickBot="1">
      <c r="A94" s="3099">
        <v>441</v>
      </c>
      <c r="B94" s="3203" t="s">
        <v>3186</v>
      </c>
      <c r="C94" s="3204"/>
      <c r="D94" s="3100" t="s">
        <v>3280</v>
      </c>
      <c r="E94" s="3100" t="s">
        <v>463</v>
      </c>
      <c r="F94" s="3101">
        <v>89.94</v>
      </c>
      <c r="G94" s="3102" t="s">
        <v>3188</v>
      </c>
    </row>
    <row r="95" spans="1:7" ht="26.25" thickBot="1">
      <c r="A95" s="3099">
        <v>443</v>
      </c>
      <c r="B95" s="3203" t="s">
        <v>3186</v>
      </c>
      <c r="C95" s="3204"/>
      <c r="D95" s="3100" t="s">
        <v>3281</v>
      </c>
      <c r="E95" s="3100" t="s">
        <v>463</v>
      </c>
      <c r="F95" s="3101">
        <v>89.94</v>
      </c>
      <c r="G95" s="3102" t="s">
        <v>3188</v>
      </c>
    </row>
    <row r="96" spans="1:7" ht="26.25" thickBot="1">
      <c r="A96" s="3099">
        <v>444</v>
      </c>
      <c r="B96" s="3203" t="s">
        <v>3186</v>
      </c>
      <c r="C96" s="3204"/>
      <c r="D96" s="3100" t="s">
        <v>3282</v>
      </c>
      <c r="E96" s="3100" t="s">
        <v>463</v>
      </c>
      <c r="F96" s="3101">
        <v>89.32</v>
      </c>
      <c r="G96" s="3102" t="s">
        <v>3188</v>
      </c>
    </row>
    <row r="97" spans="1:7" ht="26.25" thickBot="1">
      <c r="A97" s="3099">
        <v>445</v>
      </c>
      <c r="B97" s="3203" t="s">
        <v>3186</v>
      </c>
      <c r="C97" s="3204"/>
      <c r="D97" s="3100" t="s">
        <v>3283</v>
      </c>
      <c r="E97" s="3100" t="s">
        <v>463</v>
      </c>
      <c r="F97" s="3101">
        <v>89.94</v>
      </c>
      <c r="G97" s="3102" t="s">
        <v>3188</v>
      </c>
    </row>
    <row r="98" spans="1:7" ht="26.25" thickBot="1">
      <c r="A98" s="3099">
        <v>446</v>
      </c>
      <c r="B98" s="3203" t="s">
        <v>3186</v>
      </c>
      <c r="C98" s="3204"/>
      <c r="D98" s="3100" t="s">
        <v>3284</v>
      </c>
      <c r="E98" s="3100" t="s">
        <v>463</v>
      </c>
      <c r="F98" s="3101">
        <v>89.32</v>
      </c>
      <c r="G98" s="3102" t="s">
        <v>3188</v>
      </c>
    </row>
    <row r="99" spans="1:7" ht="26.25" thickBot="1">
      <c r="A99" s="3099">
        <v>447</v>
      </c>
      <c r="B99" s="3203" t="s">
        <v>3186</v>
      </c>
      <c r="C99" s="3204"/>
      <c r="D99" s="3100" t="s">
        <v>3285</v>
      </c>
      <c r="E99" s="3100" t="s">
        <v>463</v>
      </c>
      <c r="F99" s="3101">
        <v>89.94</v>
      </c>
      <c r="G99" s="3102" t="s">
        <v>3188</v>
      </c>
    </row>
    <row r="100" spans="1:7" ht="26.25" thickBot="1">
      <c r="A100" s="3099">
        <v>448</v>
      </c>
      <c r="B100" s="3203" t="s">
        <v>3186</v>
      </c>
      <c r="C100" s="3204"/>
      <c r="D100" s="3100" t="s">
        <v>3286</v>
      </c>
      <c r="E100" s="3100" t="s">
        <v>463</v>
      </c>
      <c r="F100" s="3101">
        <v>89.32</v>
      </c>
      <c r="G100" s="3102" t="s">
        <v>3188</v>
      </c>
    </row>
    <row r="101" spans="1:7" ht="15" thickBot="1">
      <c r="A101" s="3099">
        <v>456</v>
      </c>
      <c r="B101" s="3203" t="s">
        <v>3186</v>
      </c>
      <c r="C101" s="3204"/>
      <c r="D101" s="3100" t="s">
        <v>3287</v>
      </c>
      <c r="E101" s="3100" t="s">
        <v>463</v>
      </c>
      <c r="F101" s="3101">
        <v>89.32</v>
      </c>
      <c r="G101" s="3102" t="s">
        <v>3188</v>
      </c>
    </row>
    <row r="102" spans="1:7" ht="15" thickBot="1">
      <c r="A102" s="3099">
        <v>466</v>
      </c>
      <c r="B102" s="3203" t="s">
        <v>3186</v>
      </c>
      <c r="C102" s="3204"/>
      <c r="D102" s="3100" t="s">
        <v>3288</v>
      </c>
      <c r="E102" s="3100" t="s">
        <v>463</v>
      </c>
      <c r="F102" s="3101">
        <v>89.32</v>
      </c>
      <c r="G102" s="3102" t="s">
        <v>3188</v>
      </c>
    </row>
    <row r="103" spans="1:7" ht="26.25" thickBot="1">
      <c r="A103" s="3099">
        <v>469</v>
      </c>
      <c r="B103" s="3203" t="s">
        <v>3186</v>
      </c>
      <c r="C103" s="3204"/>
      <c r="D103" s="3100" t="s">
        <v>3289</v>
      </c>
      <c r="E103" s="3100" t="s">
        <v>463</v>
      </c>
      <c r="F103" s="3101">
        <v>81.25</v>
      </c>
      <c r="G103" s="3102" t="s">
        <v>3188</v>
      </c>
    </row>
    <row r="104" spans="1:7" ht="26.25" thickBot="1">
      <c r="A104" s="3099">
        <v>470</v>
      </c>
      <c r="B104" s="3203" t="s">
        <v>3186</v>
      </c>
      <c r="C104" s="3204"/>
      <c r="D104" s="3100" t="s">
        <v>3290</v>
      </c>
      <c r="E104" s="3100" t="s">
        <v>463</v>
      </c>
      <c r="F104" s="3101">
        <v>89.32</v>
      </c>
      <c r="G104" s="3102" t="s">
        <v>3188</v>
      </c>
    </row>
    <row r="105" spans="1:7" ht="26.25" thickBot="1">
      <c r="A105" s="3099">
        <v>474</v>
      </c>
      <c r="B105" s="3203" t="s">
        <v>3186</v>
      </c>
      <c r="C105" s="3204"/>
      <c r="D105" s="3100" t="s">
        <v>3291</v>
      </c>
      <c r="E105" s="3100" t="s">
        <v>463</v>
      </c>
      <c r="F105" s="3101">
        <v>89.32</v>
      </c>
      <c r="G105" s="3102" t="s">
        <v>3188</v>
      </c>
    </row>
    <row r="106" spans="1:7" ht="15" thickBot="1">
      <c r="A106" s="3099">
        <v>481</v>
      </c>
      <c r="B106" s="3203" t="s">
        <v>3186</v>
      </c>
      <c r="C106" s="3204"/>
      <c r="D106" s="3100" t="s">
        <v>3292</v>
      </c>
      <c r="E106" s="3100" t="s">
        <v>463</v>
      </c>
      <c r="F106" s="3101">
        <v>89.32</v>
      </c>
      <c r="G106" s="3102" t="s">
        <v>3188</v>
      </c>
    </row>
    <row r="107" spans="1:7" ht="15" thickBot="1">
      <c r="A107" s="3099">
        <v>493</v>
      </c>
      <c r="B107" s="3203" t="s">
        <v>3186</v>
      </c>
      <c r="C107" s="3204"/>
      <c r="D107" s="3100" t="s">
        <v>3293</v>
      </c>
      <c r="E107" s="3100" t="s">
        <v>463</v>
      </c>
      <c r="F107" s="3101">
        <v>89.32</v>
      </c>
      <c r="G107" s="3102" t="s">
        <v>3188</v>
      </c>
    </row>
    <row r="108" spans="1:7" ht="15" thickBot="1">
      <c r="A108" s="3099">
        <v>495</v>
      </c>
      <c r="B108" s="3203" t="s">
        <v>3186</v>
      </c>
      <c r="C108" s="3204"/>
      <c r="D108" s="3100" t="s">
        <v>3294</v>
      </c>
      <c r="E108" s="3100" t="s">
        <v>463</v>
      </c>
      <c r="F108" s="3101">
        <v>89.32</v>
      </c>
      <c r="G108" s="3102" t="s">
        <v>3188</v>
      </c>
    </row>
    <row r="109" spans="1:7" ht="15" thickBot="1">
      <c r="A109" s="3099">
        <v>496</v>
      </c>
      <c r="B109" s="3203" t="s">
        <v>3186</v>
      </c>
      <c r="C109" s="3204"/>
      <c r="D109" s="3100" t="s">
        <v>3295</v>
      </c>
      <c r="E109" s="3100" t="s">
        <v>463</v>
      </c>
      <c r="F109" s="3101">
        <v>81.25</v>
      </c>
      <c r="G109" s="3102" t="s">
        <v>3188</v>
      </c>
    </row>
    <row r="110" spans="1:7" ht="26.25" thickBot="1">
      <c r="A110" s="3099">
        <v>501</v>
      </c>
      <c r="B110" s="3203" t="s">
        <v>3186</v>
      </c>
      <c r="C110" s="3204"/>
      <c r="D110" s="3100" t="s">
        <v>3296</v>
      </c>
      <c r="E110" s="3100" t="s">
        <v>463</v>
      </c>
      <c r="F110" s="3101">
        <v>82.14</v>
      </c>
      <c r="G110" s="3102" t="s">
        <v>3188</v>
      </c>
    </row>
    <row r="111" spans="1:7" ht="26.25" thickBot="1">
      <c r="A111" s="3099">
        <v>504</v>
      </c>
      <c r="B111" s="3203" t="s">
        <v>3186</v>
      </c>
      <c r="C111" s="3204"/>
      <c r="D111" s="3100" t="s">
        <v>3297</v>
      </c>
      <c r="E111" s="3100" t="s">
        <v>463</v>
      </c>
      <c r="F111" s="3101">
        <v>81.25</v>
      </c>
      <c r="G111" s="3102" t="s">
        <v>3188</v>
      </c>
    </row>
    <row r="112" spans="1:7" ht="15" thickBot="1">
      <c r="A112" s="3099">
        <v>516</v>
      </c>
      <c r="B112" s="3203" t="s">
        <v>3186</v>
      </c>
      <c r="C112" s="3204"/>
      <c r="D112" s="3100" t="s">
        <v>3298</v>
      </c>
      <c r="E112" s="3100" t="s">
        <v>463</v>
      </c>
      <c r="F112" s="3101">
        <v>89.32</v>
      </c>
      <c r="G112" s="3102" t="s">
        <v>3188</v>
      </c>
    </row>
    <row r="113" spans="1:7" ht="15" thickBot="1">
      <c r="A113" s="3099">
        <v>519</v>
      </c>
      <c r="B113" s="3203" t="s">
        <v>3186</v>
      </c>
      <c r="C113" s="3204"/>
      <c r="D113" s="3100" t="s">
        <v>3299</v>
      </c>
      <c r="E113" s="3100" t="s">
        <v>463</v>
      </c>
      <c r="F113" s="3101">
        <v>81.25</v>
      </c>
      <c r="G113" s="3102" t="s">
        <v>3188</v>
      </c>
    </row>
    <row r="114" spans="1:7" ht="15" thickBot="1">
      <c r="A114" s="3099">
        <v>523</v>
      </c>
      <c r="B114" s="3203" t="s">
        <v>3186</v>
      </c>
      <c r="C114" s="3204"/>
      <c r="D114" s="3100" t="s">
        <v>3300</v>
      </c>
      <c r="E114" s="3100" t="s">
        <v>463</v>
      </c>
      <c r="F114" s="3101">
        <v>81.25</v>
      </c>
      <c r="G114" s="3102" t="s">
        <v>3188</v>
      </c>
    </row>
    <row r="115" spans="1:7" ht="15" thickBot="1">
      <c r="A115" s="3099">
        <v>524</v>
      </c>
      <c r="B115" s="3203" t="s">
        <v>3186</v>
      </c>
      <c r="C115" s="3204"/>
      <c r="D115" s="3100" t="s">
        <v>3301</v>
      </c>
      <c r="E115" s="3100" t="s">
        <v>463</v>
      </c>
      <c r="F115" s="3101">
        <v>89.32</v>
      </c>
      <c r="G115" s="3102" t="s">
        <v>3188</v>
      </c>
    </row>
    <row r="116" spans="1:7" ht="26.25" thickBot="1">
      <c r="A116" s="3099">
        <v>532</v>
      </c>
      <c r="B116" s="3203" t="s">
        <v>3186</v>
      </c>
      <c r="C116" s="3204"/>
      <c r="D116" s="3100" t="s">
        <v>3302</v>
      </c>
      <c r="E116" s="3100" t="s">
        <v>463</v>
      </c>
      <c r="F116" s="3101">
        <v>82.14</v>
      </c>
      <c r="G116" s="3102" t="s">
        <v>3188</v>
      </c>
    </row>
    <row r="117" spans="1:7" ht="26.25" thickBot="1">
      <c r="A117" s="3099">
        <v>535</v>
      </c>
      <c r="B117" s="3203" t="s">
        <v>3186</v>
      </c>
      <c r="C117" s="3204"/>
      <c r="D117" s="3100" t="s">
        <v>3303</v>
      </c>
      <c r="E117" s="3100" t="s">
        <v>463</v>
      </c>
      <c r="F117" s="3101">
        <v>81.25</v>
      </c>
      <c r="G117" s="3102" t="s">
        <v>3188</v>
      </c>
    </row>
    <row r="118" spans="1:7" ht="15" thickBot="1">
      <c r="A118" s="3099">
        <v>541</v>
      </c>
      <c r="B118" s="3203" t="s">
        <v>3186</v>
      </c>
      <c r="C118" s="3204"/>
      <c r="D118" s="3100" t="s">
        <v>3304</v>
      </c>
      <c r="E118" s="3100" t="s">
        <v>463</v>
      </c>
      <c r="F118" s="3101">
        <v>89.32</v>
      </c>
      <c r="G118" s="3102" t="s">
        <v>3188</v>
      </c>
    </row>
    <row r="119" spans="1:7" ht="15" thickBot="1">
      <c r="A119" s="3099">
        <v>546</v>
      </c>
      <c r="B119" s="3203" t="s">
        <v>3186</v>
      </c>
      <c r="C119" s="3204"/>
      <c r="D119" s="3100" t="s">
        <v>3305</v>
      </c>
      <c r="E119" s="3100" t="s">
        <v>463</v>
      </c>
      <c r="F119" s="3101">
        <v>89.94</v>
      </c>
      <c r="G119" s="3102" t="s">
        <v>3188</v>
      </c>
    </row>
    <row r="120" spans="1:7" ht="15" thickBot="1">
      <c r="A120" s="3099">
        <v>547</v>
      </c>
      <c r="B120" s="3203" t="s">
        <v>3186</v>
      </c>
      <c r="C120" s="3204"/>
      <c r="D120" s="3100" t="s">
        <v>3306</v>
      </c>
      <c r="E120" s="3100" t="s">
        <v>463</v>
      </c>
      <c r="F120" s="3101">
        <v>89.32</v>
      </c>
      <c r="G120" s="3102" t="s">
        <v>3188</v>
      </c>
    </row>
    <row r="121" spans="1:7" ht="15" thickBot="1">
      <c r="A121" s="3099">
        <v>551</v>
      </c>
      <c r="B121" s="3203" t="s">
        <v>3186</v>
      </c>
      <c r="C121" s="3204"/>
      <c r="D121" s="3100" t="s">
        <v>3307</v>
      </c>
      <c r="E121" s="3100" t="s">
        <v>463</v>
      </c>
      <c r="F121" s="3101">
        <v>89.32</v>
      </c>
      <c r="G121" s="3102" t="s">
        <v>3188</v>
      </c>
    </row>
    <row r="122" spans="1:7" ht="15" thickBot="1">
      <c r="A122" s="3099">
        <v>572</v>
      </c>
      <c r="B122" s="3203" t="s">
        <v>3186</v>
      </c>
      <c r="C122" s="3204"/>
      <c r="D122" s="3100" t="s">
        <v>3308</v>
      </c>
      <c r="E122" s="3100" t="s">
        <v>463</v>
      </c>
      <c r="F122" s="3101">
        <v>89.14</v>
      </c>
      <c r="G122" s="3102" t="s">
        <v>3188</v>
      </c>
    </row>
    <row r="123" spans="1:7" ht="26.25" thickBot="1">
      <c r="A123" s="3099">
        <v>589</v>
      </c>
      <c r="B123" s="3203" t="s">
        <v>3186</v>
      </c>
      <c r="C123" s="3204"/>
      <c r="D123" s="3100" t="s">
        <v>3309</v>
      </c>
      <c r="E123" s="3100" t="s">
        <v>463</v>
      </c>
      <c r="F123" s="3101">
        <v>81.98</v>
      </c>
      <c r="G123" s="3102" t="s">
        <v>3188</v>
      </c>
    </row>
    <row r="124" spans="1:7" ht="15" thickBot="1">
      <c r="A124" s="3099">
        <v>596</v>
      </c>
      <c r="B124" s="3203" t="s">
        <v>3186</v>
      </c>
      <c r="C124" s="3204"/>
      <c r="D124" s="3100" t="s">
        <v>3310</v>
      </c>
      <c r="E124" s="3100" t="s">
        <v>463</v>
      </c>
      <c r="F124" s="3101">
        <v>89.14</v>
      </c>
      <c r="G124" s="3102" t="s">
        <v>3188</v>
      </c>
    </row>
    <row r="125" spans="1:7" ht="15" thickBot="1">
      <c r="A125" s="3099">
        <v>599</v>
      </c>
      <c r="B125" s="3203" t="s">
        <v>3186</v>
      </c>
      <c r="C125" s="3204"/>
      <c r="D125" s="3100" t="s">
        <v>3311</v>
      </c>
      <c r="E125" s="3100" t="s">
        <v>463</v>
      </c>
      <c r="F125" s="3101">
        <v>81.09</v>
      </c>
      <c r="G125" s="3102" t="s">
        <v>3188</v>
      </c>
    </row>
    <row r="126" spans="1:7" ht="26.25" thickBot="1">
      <c r="A126" s="3099">
        <v>609</v>
      </c>
      <c r="B126" s="3203" t="s">
        <v>3186</v>
      </c>
      <c r="C126" s="3204"/>
      <c r="D126" s="3100" t="s">
        <v>3312</v>
      </c>
      <c r="E126" s="3100" t="s">
        <v>463</v>
      </c>
      <c r="F126" s="3101">
        <v>81.98</v>
      </c>
      <c r="G126" s="3102" t="s">
        <v>3188</v>
      </c>
    </row>
    <row r="127" spans="1:7" ht="26.25" thickBot="1">
      <c r="A127" s="3099">
        <v>613</v>
      </c>
      <c r="B127" s="3203" t="s">
        <v>3186</v>
      </c>
      <c r="C127" s="3204"/>
      <c r="D127" s="3100" t="s">
        <v>3313</v>
      </c>
      <c r="E127" s="3100" t="s">
        <v>463</v>
      </c>
      <c r="F127" s="3101">
        <v>89.14</v>
      </c>
      <c r="G127" s="3102" t="s">
        <v>3188</v>
      </c>
    </row>
    <row r="128" spans="1:7" ht="15" thickBot="1">
      <c r="A128" s="3099">
        <v>619</v>
      </c>
      <c r="B128" s="3203" t="s">
        <v>3186</v>
      </c>
      <c r="C128" s="3204"/>
      <c r="D128" s="3100" t="s">
        <v>3314</v>
      </c>
      <c r="E128" s="3100" t="s">
        <v>463</v>
      </c>
      <c r="F128" s="3101">
        <v>81.09</v>
      </c>
      <c r="G128" s="3102" t="s">
        <v>3188</v>
      </c>
    </row>
    <row r="129" spans="1:7" ht="15" thickBot="1">
      <c r="A129" s="3099">
        <v>620</v>
      </c>
      <c r="B129" s="3203" t="s">
        <v>3186</v>
      </c>
      <c r="C129" s="3204"/>
      <c r="D129" s="3100" t="s">
        <v>3315</v>
      </c>
      <c r="E129" s="3100" t="s">
        <v>463</v>
      </c>
      <c r="F129" s="3101">
        <v>89.14</v>
      </c>
      <c r="G129" s="3102" t="s">
        <v>3188</v>
      </c>
    </row>
    <row r="130" spans="1:7" ht="15" thickBot="1">
      <c r="A130" s="3099">
        <v>621</v>
      </c>
      <c r="B130" s="3203" t="s">
        <v>3186</v>
      </c>
      <c r="C130" s="3204"/>
      <c r="D130" s="3100" t="s">
        <v>3316</v>
      </c>
      <c r="E130" s="3100" t="s">
        <v>463</v>
      </c>
      <c r="F130" s="3101">
        <v>81.09</v>
      </c>
      <c r="G130" s="3102" t="s">
        <v>3188</v>
      </c>
    </row>
    <row r="131" spans="1:7" ht="15" thickBot="1">
      <c r="A131" s="3099">
        <v>622</v>
      </c>
      <c r="B131" s="3203" t="s">
        <v>3186</v>
      </c>
      <c r="C131" s="3204"/>
      <c r="D131" s="3100" t="s">
        <v>3317</v>
      </c>
      <c r="E131" s="3100" t="s">
        <v>463</v>
      </c>
      <c r="F131" s="3101">
        <v>81.09</v>
      </c>
      <c r="G131" s="3102" t="s">
        <v>3188</v>
      </c>
    </row>
    <row r="132" spans="1:7" ht="26.25" thickBot="1">
      <c r="A132" s="3099">
        <v>631</v>
      </c>
      <c r="B132" s="3203" t="s">
        <v>3186</v>
      </c>
      <c r="C132" s="3204"/>
      <c r="D132" s="3100" t="s">
        <v>3318</v>
      </c>
      <c r="E132" s="3100" t="s">
        <v>463</v>
      </c>
      <c r="F132" s="3101">
        <v>81.98</v>
      </c>
      <c r="G132" s="3102" t="s">
        <v>3188</v>
      </c>
    </row>
    <row r="133" spans="1:7" ht="15" thickBot="1">
      <c r="A133" s="3099">
        <v>644</v>
      </c>
      <c r="B133" s="3203" t="s">
        <v>3186</v>
      </c>
      <c r="C133" s="3204"/>
      <c r="D133" s="3100" t="s">
        <v>3319</v>
      </c>
      <c r="E133" s="3100" t="s">
        <v>463</v>
      </c>
      <c r="F133" s="3101">
        <v>89.77</v>
      </c>
      <c r="G133" s="3102" t="s">
        <v>3188</v>
      </c>
    </row>
    <row r="134" spans="1:7" ht="26.25" thickBot="1">
      <c r="A134" s="3099">
        <v>645</v>
      </c>
      <c r="B134" s="3203" t="s">
        <v>3186</v>
      </c>
      <c r="C134" s="3204"/>
      <c r="D134" s="3100" t="s">
        <v>3320</v>
      </c>
      <c r="E134" s="3100" t="s">
        <v>463</v>
      </c>
      <c r="F134" s="3101">
        <v>89.14</v>
      </c>
      <c r="G134" s="3102" t="s">
        <v>3188</v>
      </c>
    </row>
    <row r="135" spans="1:7" ht="26.25" thickBot="1">
      <c r="A135" s="3099">
        <v>647</v>
      </c>
      <c r="B135" s="3203" t="s">
        <v>3186</v>
      </c>
      <c r="C135" s="3204"/>
      <c r="D135" s="3100" t="s">
        <v>3321</v>
      </c>
      <c r="E135" s="3100" t="s">
        <v>463</v>
      </c>
      <c r="F135" s="3101">
        <v>81.98</v>
      </c>
      <c r="G135" s="3102" t="s">
        <v>3188</v>
      </c>
    </row>
    <row r="136" spans="1:7" ht="15" thickBot="1">
      <c r="A136" s="3099">
        <v>675</v>
      </c>
      <c r="B136" s="3203" t="s">
        <v>3186</v>
      </c>
      <c r="C136" s="3204"/>
      <c r="D136" s="3100" t="s">
        <v>3322</v>
      </c>
      <c r="E136" s="3100" t="s">
        <v>463</v>
      </c>
      <c r="F136" s="3101">
        <v>82.01</v>
      </c>
      <c r="G136" s="3102" t="s">
        <v>3188</v>
      </c>
    </row>
    <row r="137" spans="1:7" ht="15" thickBot="1">
      <c r="A137" s="3099">
        <v>679</v>
      </c>
      <c r="B137" s="3203" t="s">
        <v>3186</v>
      </c>
      <c r="C137" s="3204"/>
      <c r="D137" s="3100" t="s">
        <v>3323</v>
      </c>
      <c r="E137" s="3100" t="s">
        <v>463</v>
      </c>
      <c r="F137" s="3101">
        <v>89.18</v>
      </c>
      <c r="G137" s="3102" t="s">
        <v>3188</v>
      </c>
    </row>
    <row r="138" spans="1:7" ht="15" thickBot="1">
      <c r="A138" s="3099">
        <v>683</v>
      </c>
      <c r="B138" s="3203" t="s">
        <v>3186</v>
      </c>
      <c r="C138" s="3204"/>
      <c r="D138" s="3100" t="s">
        <v>3324</v>
      </c>
      <c r="E138" s="3100" t="s">
        <v>463</v>
      </c>
      <c r="F138" s="3101">
        <v>81.12</v>
      </c>
      <c r="G138" s="3102" t="s">
        <v>3188</v>
      </c>
    </row>
    <row r="139" spans="1:7" ht="15" thickBot="1">
      <c r="A139" s="3099">
        <v>692</v>
      </c>
      <c r="B139" s="3203" t="s">
        <v>3186</v>
      </c>
      <c r="C139" s="3204"/>
      <c r="D139" s="3100" t="s">
        <v>3325</v>
      </c>
      <c r="E139" s="3100" t="s">
        <v>463</v>
      </c>
      <c r="F139" s="3101">
        <v>89.18</v>
      </c>
      <c r="G139" s="3102" t="s">
        <v>3188</v>
      </c>
    </row>
    <row r="140" spans="1:7" ht="15" thickBot="1">
      <c r="A140" s="3099">
        <v>696</v>
      </c>
      <c r="B140" s="3203" t="s">
        <v>3186</v>
      </c>
      <c r="C140" s="3204"/>
      <c r="D140" s="3100" t="s">
        <v>3326</v>
      </c>
      <c r="E140" s="3100" t="s">
        <v>463</v>
      </c>
      <c r="F140" s="3101">
        <v>89.18</v>
      </c>
      <c r="G140" s="3102" t="s">
        <v>3188</v>
      </c>
    </row>
    <row r="141" spans="1:7" ht="15" thickBot="1">
      <c r="A141" s="3099">
        <v>704</v>
      </c>
      <c r="B141" s="3203" t="s">
        <v>3186</v>
      </c>
      <c r="C141" s="3204"/>
      <c r="D141" s="3100" t="s">
        <v>3327</v>
      </c>
      <c r="E141" s="3100" t="s">
        <v>463</v>
      </c>
      <c r="F141" s="3101">
        <v>82.01</v>
      </c>
      <c r="G141" s="3102" t="s">
        <v>3188</v>
      </c>
    </row>
    <row r="142" spans="1:7" ht="15" thickBot="1">
      <c r="A142" s="3099">
        <v>728</v>
      </c>
      <c r="B142" s="3203" t="s">
        <v>3186</v>
      </c>
      <c r="C142" s="3204"/>
      <c r="D142" s="3100" t="s">
        <v>3328</v>
      </c>
      <c r="E142" s="3100" t="s">
        <v>463</v>
      </c>
      <c r="F142" s="3101">
        <v>89.18</v>
      </c>
      <c r="G142" s="3102" t="s">
        <v>3188</v>
      </c>
    </row>
    <row r="143" spans="1:7" ht="15" thickBot="1">
      <c r="A143" s="3099">
        <v>730</v>
      </c>
      <c r="B143" s="3203" t="s">
        <v>3186</v>
      </c>
      <c r="C143" s="3204"/>
      <c r="D143" s="3100" t="s">
        <v>3329</v>
      </c>
      <c r="E143" s="3100" t="s">
        <v>463</v>
      </c>
      <c r="F143" s="3101">
        <v>89.18</v>
      </c>
      <c r="G143" s="3102" t="s">
        <v>3188</v>
      </c>
    </row>
    <row r="144" spans="1:7" ht="15" thickBot="1">
      <c r="A144" s="3099">
        <v>734</v>
      </c>
      <c r="B144" s="3203" t="s">
        <v>3186</v>
      </c>
      <c r="C144" s="3204"/>
      <c r="D144" s="3100" t="s">
        <v>3330</v>
      </c>
      <c r="E144" s="3100" t="s">
        <v>463</v>
      </c>
      <c r="F144" s="3101">
        <v>82.01</v>
      </c>
      <c r="G144" s="3102" t="s">
        <v>3188</v>
      </c>
    </row>
    <row r="145" spans="1:7" ht="15" thickBot="1">
      <c r="A145" s="3099">
        <v>736</v>
      </c>
      <c r="B145" s="3203" t="s">
        <v>3186</v>
      </c>
      <c r="C145" s="3204"/>
      <c r="D145" s="3100" t="s">
        <v>3331</v>
      </c>
      <c r="E145" s="3100" t="s">
        <v>463</v>
      </c>
      <c r="F145" s="3101">
        <v>89.18</v>
      </c>
      <c r="G145" s="3102" t="s">
        <v>3188</v>
      </c>
    </row>
    <row r="146" spans="1:7" ht="15" thickBot="1">
      <c r="A146" s="3099">
        <v>740</v>
      </c>
      <c r="B146" s="3203" t="s">
        <v>3186</v>
      </c>
      <c r="C146" s="3204"/>
      <c r="D146" s="3100" t="s">
        <v>3332</v>
      </c>
      <c r="E146" s="3100" t="s">
        <v>463</v>
      </c>
      <c r="F146" s="3101">
        <v>89.18</v>
      </c>
      <c r="G146" s="3102" t="s">
        <v>3188</v>
      </c>
    </row>
    <row r="147" spans="1:7" ht="15" thickBot="1">
      <c r="A147" s="3099">
        <v>743</v>
      </c>
      <c r="B147" s="3203" t="s">
        <v>3186</v>
      </c>
      <c r="C147" s="3204"/>
      <c r="D147" s="3100" t="s">
        <v>3333</v>
      </c>
      <c r="E147" s="3100" t="s">
        <v>463</v>
      </c>
      <c r="F147" s="3101">
        <v>70.52</v>
      </c>
      <c r="G147" s="3102" t="s">
        <v>3188</v>
      </c>
    </row>
    <row r="148" spans="1:7" ht="15" thickBot="1">
      <c r="A148" s="3099">
        <v>748</v>
      </c>
      <c r="B148" s="3203" t="s">
        <v>3334</v>
      </c>
      <c r="C148" s="3204"/>
      <c r="D148" s="3100" t="s">
        <v>3335</v>
      </c>
      <c r="E148" s="3100" t="s">
        <v>463</v>
      </c>
      <c r="F148" s="3101">
        <v>54.07</v>
      </c>
      <c r="G148" s="3102" t="s">
        <v>3188</v>
      </c>
    </row>
    <row r="149" spans="1:7" ht="15" thickBot="1">
      <c r="A149" s="3099">
        <v>749</v>
      </c>
      <c r="B149" s="3203" t="s">
        <v>3334</v>
      </c>
      <c r="C149" s="3204"/>
      <c r="D149" s="3100" t="s">
        <v>3336</v>
      </c>
      <c r="E149" s="3100" t="s">
        <v>463</v>
      </c>
      <c r="F149" s="3101">
        <v>51.67</v>
      </c>
      <c r="G149" s="3102" t="s">
        <v>3188</v>
      </c>
    </row>
    <row r="150" spans="1:7" ht="15" thickBot="1">
      <c r="A150" s="3099">
        <v>750</v>
      </c>
      <c r="B150" s="3203" t="s">
        <v>3334</v>
      </c>
      <c r="C150" s="3204"/>
      <c r="D150" s="3100" t="s">
        <v>3337</v>
      </c>
      <c r="E150" s="3100" t="s">
        <v>463</v>
      </c>
      <c r="F150" s="3101">
        <v>51.47</v>
      </c>
      <c r="G150" s="3102" t="s">
        <v>3188</v>
      </c>
    </row>
    <row r="151" spans="1:7" ht="15" thickBot="1">
      <c r="A151" s="3099">
        <v>751</v>
      </c>
      <c r="B151" s="3203" t="s">
        <v>3334</v>
      </c>
      <c r="C151" s="3204"/>
      <c r="D151" s="3100" t="s">
        <v>3338</v>
      </c>
      <c r="E151" s="3100" t="s">
        <v>463</v>
      </c>
      <c r="F151" s="3101">
        <v>49.68</v>
      </c>
      <c r="G151" s="3102" t="s">
        <v>3188</v>
      </c>
    </row>
    <row r="152" spans="1:7" ht="15" thickBot="1">
      <c r="A152" s="3099">
        <v>752</v>
      </c>
      <c r="B152" s="3203" t="s">
        <v>3334</v>
      </c>
      <c r="C152" s="3204"/>
      <c r="D152" s="3100" t="s">
        <v>3339</v>
      </c>
      <c r="E152" s="3100" t="s">
        <v>463</v>
      </c>
      <c r="F152" s="3101">
        <v>76.73</v>
      </c>
      <c r="G152" s="3102" t="s">
        <v>3188</v>
      </c>
    </row>
    <row r="153" spans="1:7" ht="15" thickBot="1">
      <c r="A153" s="3099">
        <v>753</v>
      </c>
      <c r="B153" s="3203" t="s">
        <v>3334</v>
      </c>
      <c r="C153" s="3204"/>
      <c r="D153" s="3100" t="s">
        <v>3340</v>
      </c>
      <c r="E153" s="3100" t="s">
        <v>463</v>
      </c>
      <c r="F153" s="3101">
        <v>54.07</v>
      </c>
      <c r="G153" s="3102" t="s">
        <v>3188</v>
      </c>
    </row>
    <row r="154" spans="1:7" ht="15" thickBot="1">
      <c r="A154" s="3099">
        <v>754</v>
      </c>
      <c r="B154" s="3203" t="s">
        <v>3334</v>
      </c>
      <c r="C154" s="3204"/>
      <c r="D154" s="3100" t="s">
        <v>3341</v>
      </c>
      <c r="E154" s="3100" t="s">
        <v>463</v>
      </c>
      <c r="F154" s="3101">
        <v>51.67</v>
      </c>
      <c r="G154" s="3102" t="s">
        <v>3188</v>
      </c>
    </row>
    <row r="155" spans="1:7" ht="15" thickBot="1">
      <c r="A155" s="3099">
        <v>756</v>
      </c>
      <c r="B155" s="3203" t="s">
        <v>3334</v>
      </c>
      <c r="C155" s="3204"/>
      <c r="D155" s="3100" t="s">
        <v>3342</v>
      </c>
      <c r="E155" s="3100" t="s">
        <v>463</v>
      </c>
      <c r="F155" s="3101">
        <v>49.79</v>
      </c>
      <c r="G155" s="3102" t="s">
        <v>3188</v>
      </c>
    </row>
    <row r="156" spans="1:7" ht="15" thickBot="1">
      <c r="A156" s="3099">
        <v>757</v>
      </c>
      <c r="B156" s="3203" t="s">
        <v>3334</v>
      </c>
      <c r="C156" s="3204"/>
      <c r="D156" s="3100" t="s">
        <v>3343</v>
      </c>
      <c r="E156" s="3100" t="s">
        <v>463</v>
      </c>
      <c r="F156" s="3101">
        <v>49.88</v>
      </c>
      <c r="G156" s="3102" t="s">
        <v>3188</v>
      </c>
    </row>
    <row r="157" spans="1:7" ht="15" thickBot="1">
      <c r="A157" s="3099">
        <v>758</v>
      </c>
      <c r="B157" s="3203" t="s">
        <v>3334</v>
      </c>
      <c r="C157" s="3204"/>
      <c r="D157" s="3100" t="s">
        <v>3344</v>
      </c>
      <c r="E157" s="3100" t="s">
        <v>463</v>
      </c>
      <c r="F157" s="3101">
        <v>49.27</v>
      </c>
      <c r="G157" s="3102" t="s">
        <v>3188</v>
      </c>
    </row>
    <row r="158" spans="1:7" ht="15" thickBot="1">
      <c r="A158" s="3099">
        <v>760</v>
      </c>
      <c r="B158" s="3203" t="s">
        <v>3334</v>
      </c>
      <c r="C158" s="3204"/>
      <c r="D158" s="3100" t="s">
        <v>3345</v>
      </c>
      <c r="E158" s="3100" t="s">
        <v>463</v>
      </c>
      <c r="F158" s="3101">
        <v>51.67</v>
      </c>
      <c r="G158" s="3102" t="s">
        <v>3188</v>
      </c>
    </row>
    <row r="159" spans="1:7" ht="15" thickBot="1">
      <c r="A159" s="3099">
        <v>763</v>
      </c>
      <c r="B159" s="3203" t="s">
        <v>3334</v>
      </c>
      <c r="C159" s="3204"/>
      <c r="D159" s="3100" t="s">
        <v>3346</v>
      </c>
      <c r="E159" s="3100" t="s">
        <v>463</v>
      </c>
      <c r="F159" s="3101">
        <v>49.27</v>
      </c>
      <c r="G159" s="3102" t="s">
        <v>3188</v>
      </c>
    </row>
    <row r="160" spans="1:7" ht="15" thickBot="1">
      <c r="A160" s="3099">
        <v>765</v>
      </c>
      <c r="B160" s="3203" t="s">
        <v>3334</v>
      </c>
      <c r="C160" s="3204"/>
      <c r="D160" s="3100" t="s">
        <v>3347</v>
      </c>
      <c r="E160" s="3100" t="s">
        <v>463</v>
      </c>
      <c r="F160" s="3101">
        <v>51.67</v>
      </c>
      <c r="G160" s="3102" t="s">
        <v>3188</v>
      </c>
    </row>
    <row r="161" spans="1:7" ht="15" thickBot="1">
      <c r="A161" s="3099">
        <v>766</v>
      </c>
      <c r="B161" s="3203" t="s">
        <v>3334</v>
      </c>
      <c r="C161" s="3204"/>
      <c r="D161" s="3100" t="s">
        <v>3348</v>
      </c>
      <c r="E161" s="3100" t="s">
        <v>463</v>
      </c>
      <c r="F161" s="3101">
        <v>49.79</v>
      </c>
      <c r="G161" s="3102" t="s">
        <v>3188</v>
      </c>
    </row>
    <row r="162" spans="1:7" ht="15" thickBot="1">
      <c r="A162" s="3099">
        <v>768</v>
      </c>
      <c r="B162" s="3203" t="s">
        <v>3334</v>
      </c>
      <c r="C162" s="3204"/>
      <c r="D162" s="3100" t="s">
        <v>3349</v>
      </c>
      <c r="E162" s="3100" t="s">
        <v>463</v>
      </c>
      <c r="F162" s="3101">
        <v>49.27</v>
      </c>
      <c r="G162" s="3102" t="s">
        <v>3188</v>
      </c>
    </row>
    <row r="163" spans="1:7" ht="15" thickBot="1">
      <c r="A163" s="3099">
        <v>769</v>
      </c>
      <c r="B163" s="3203" t="s">
        <v>3334</v>
      </c>
      <c r="C163" s="3204"/>
      <c r="D163" s="3100" t="s">
        <v>3350</v>
      </c>
      <c r="E163" s="3100" t="s">
        <v>463</v>
      </c>
      <c r="F163" s="3101">
        <v>54.07</v>
      </c>
      <c r="G163" s="3102" t="s">
        <v>3188</v>
      </c>
    </row>
    <row r="164" spans="1:7" ht="15" thickBot="1">
      <c r="A164" s="3099">
        <v>770</v>
      </c>
      <c r="B164" s="3203" t="s">
        <v>3334</v>
      </c>
      <c r="C164" s="3204"/>
      <c r="D164" s="3100" t="s">
        <v>3351</v>
      </c>
      <c r="E164" s="3100" t="s">
        <v>463</v>
      </c>
      <c r="F164" s="3101">
        <v>51.67</v>
      </c>
      <c r="G164" s="3102" t="s">
        <v>3188</v>
      </c>
    </row>
    <row r="165" spans="1:7" ht="15" thickBot="1">
      <c r="A165" s="3099">
        <v>773</v>
      </c>
      <c r="B165" s="3203" t="s">
        <v>3334</v>
      </c>
      <c r="C165" s="3204"/>
      <c r="D165" s="3100" t="s">
        <v>3352</v>
      </c>
      <c r="E165" s="3100" t="s">
        <v>463</v>
      </c>
      <c r="F165" s="3101">
        <v>49.27</v>
      </c>
      <c r="G165" s="3102" t="s">
        <v>3188</v>
      </c>
    </row>
    <row r="166" spans="1:7" ht="15" thickBot="1">
      <c r="A166" s="3099">
        <v>774</v>
      </c>
      <c r="B166" s="3203" t="s">
        <v>3334</v>
      </c>
      <c r="C166" s="3204"/>
      <c r="D166" s="3100" t="s">
        <v>3353</v>
      </c>
      <c r="E166" s="3100" t="s">
        <v>463</v>
      </c>
      <c r="F166" s="3101">
        <v>54.07</v>
      </c>
      <c r="G166" s="3102" t="s">
        <v>3188</v>
      </c>
    </row>
    <row r="167" spans="1:7" ht="15" thickBot="1">
      <c r="A167" s="3099">
        <v>775</v>
      </c>
      <c r="B167" s="3203" t="s">
        <v>3334</v>
      </c>
      <c r="C167" s="3204"/>
      <c r="D167" s="3100" t="s">
        <v>3354</v>
      </c>
      <c r="E167" s="3100" t="s">
        <v>463</v>
      </c>
      <c r="F167" s="3101">
        <v>51.67</v>
      </c>
      <c r="G167" s="3102" t="s">
        <v>3188</v>
      </c>
    </row>
    <row r="168" spans="1:7" ht="15" thickBot="1">
      <c r="A168" s="3099">
        <v>778</v>
      </c>
      <c r="B168" s="3203" t="s">
        <v>3334</v>
      </c>
      <c r="C168" s="3204"/>
      <c r="D168" s="3100" t="s">
        <v>3355</v>
      </c>
      <c r="E168" s="3100" t="s">
        <v>463</v>
      </c>
      <c r="F168" s="3101">
        <v>49.27</v>
      </c>
      <c r="G168" s="3102" t="s">
        <v>3188</v>
      </c>
    </row>
    <row r="169" spans="1:7" ht="15" thickBot="1">
      <c r="A169" s="3099">
        <v>779</v>
      </c>
      <c r="B169" s="3203" t="s">
        <v>3334</v>
      </c>
      <c r="C169" s="3204"/>
      <c r="D169" s="3100" t="s">
        <v>3356</v>
      </c>
      <c r="E169" s="3100" t="s">
        <v>463</v>
      </c>
      <c r="F169" s="3101">
        <v>54.07</v>
      </c>
      <c r="G169" s="3102" t="s">
        <v>3188</v>
      </c>
    </row>
    <row r="170" spans="1:7" ht="15" thickBot="1">
      <c r="A170" s="3099">
        <v>783</v>
      </c>
      <c r="B170" s="3203" t="s">
        <v>3334</v>
      </c>
      <c r="C170" s="3204"/>
      <c r="D170" s="3100" t="s">
        <v>3357</v>
      </c>
      <c r="E170" s="3100" t="s">
        <v>463</v>
      </c>
      <c r="F170" s="3101">
        <v>49.27</v>
      </c>
      <c r="G170" s="3102" t="s">
        <v>3188</v>
      </c>
    </row>
    <row r="171" spans="1:7" ht="15" thickBot="1">
      <c r="A171" s="3099">
        <v>785</v>
      </c>
      <c r="B171" s="3203" t="s">
        <v>3334</v>
      </c>
      <c r="C171" s="3204"/>
      <c r="D171" s="3100" t="s">
        <v>3358</v>
      </c>
      <c r="E171" s="3100" t="s">
        <v>463</v>
      </c>
      <c r="F171" s="3101">
        <v>51.67</v>
      </c>
      <c r="G171" s="3102" t="s">
        <v>3188</v>
      </c>
    </row>
    <row r="172" spans="1:7" ht="15" thickBot="1">
      <c r="A172" s="3099">
        <v>787</v>
      </c>
      <c r="B172" s="3203" t="s">
        <v>3334</v>
      </c>
      <c r="C172" s="3204"/>
      <c r="D172" s="3100" t="s">
        <v>3359</v>
      </c>
      <c r="E172" s="3100" t="s">
        <v>463</v>
      </c>
      <c r="F172" s="3101">
        <v>49.88</v>
      </c>
      <c r="G172" s="3102" t="s">
        <v>3188</v>
      </c>
    </row>
    <row r="173" spans="1:7" ht="15" thickBot="1">
      <c r="A173" s="3099">
        <v>788</v>
      </c>
      <c r="B173" s="3203" t="s">
        <v>3334</v>
      </c>
      <c r="C173" s="3204"/>
      <c r="D173" s="3100" t="s">
        <v>3360</v>
      </c>
      <c r="E173" s="3100" t="s">
        <v>463</v>
      </c>
      <c r="F173" s="3101">
        <v>49.27</v>
      </c>
      <c r="G173" s="3102" t="s">
        <v>3188</v>
      </c>
    </row>
    <row r="174" spans="1:7" ht="15" thickBot="1">
      <c r="A174" s="3099">
        <v>789</v>
      </c>
      <c r="B174" s="3203" t="s">
        <v>3334</v>
      </c>
      <c r="C174" s="3204"/>
      <c r="D174" s="3100" t="s">
        <v>3361</v>
      </c>
      <c r="E174" s="3100" t="s">
        <v>463</v>
      </c>
      <c r="F174" s="3101">
        <v>54.07</v>
      </c>
      <c r="G174" s="3102" t="s">
        <v>3188</v>
      </c>
    </row>
    <row r="175" spans="1:7" ht="15" thickBot="1">
      <c r="A175" s="3099">
        <v>790</v>
      </c>
      <c r="B175" s="3203" t="s">
        <v>3334</v>
      </c>
      <c r="C175" s="3204"/>
      <c r="D175" s="3100" t="s">
        <v>3362</v>
      </c>
      <c r="E175" s="3100" t="s">
        <v>463</v>
      </c>
      <c r="F175" s="3101">
        <v>51.67</v>
      </c>
      <c r="G175" s="3102" t="s">
        <v>3188</v>
      </c>
    </row>
    <row r="176" spans="1:7" ht="15" thickBot="1">
      <c r="A176" s="3099">
        <v>793</v>
      </c>
      <c r="B176" s="3203" t="s">
        <v>3334</v>
      </c>
      <c r="C176" s="3204"/>
      <c r="D176" s="3100" t="s">
        <v>3363</v>
      </c>
      <c r="E176" s="3100" t="s">
        <v>463</v>
      </c>
      <c r="F176" s="3101">
        <v>49.27</v>
      </c>
      <c r="G176" s="3102" t="s">
        <v>3188</v>
      </c>
    </row>
    <row r="177" spans="1:7" ht="15" thickBot="1">
      <c r="A177" s="3099">
        <v>794</v>
      </c>
      <c r="B177" s="3203" t="s">
        <v>3334</v>
      </c>
      <c r="C177" s="3204"/>
      <c r="D177" s="3100" t="s">
        <v>3364</v>
      </c>
      <c r="E177" s="3100" t="s">
        <v>463</v>
      </c>
      <c r="F177" s="3101">
        <v>54.07</v>
      </c>
      <c r="G177" s="3102" t="s">
        <v>3188</v>
      </c>
    </row>
    <row r="178" spans="1:7" ht="15" thickBot="1">
      <c r="A178" s="3099">
        <v>795</v>
      </c>
      <c r="B178" s="3203" t="s">
        <v>3334</v>
      </c>
      <c r="C178" s="3204"/>
      <c r="D178" s="3100" t="s">
        <v>3365</v>
      </c>
      <c r="E178" s="3100" t="s">
        <v>463</v>
      </c>
      <c r="F178" s="3101">
        <v>51.67</v>
      </c>
      <c r="G178" s="3102" t="s">
        <v>3188</v>
      </c>
    </row>
    <row r="179" spans="1:7" ht="15" thickBot="1">
      <c r="A179" s="3099">
        <v>796</v>
      </c>
      <c r="B179" s="3203" t="s">
        <v>3334</v>
      </c>
      <c r="C179" s="3204"/>
      <c r="D179" s="3100" t="s">
        <v>3366</v>
      </c>
      <c r="E179" s="3100" t="s">
        <v>463</v>
      </c>
      <c r="F179" s="3101">
        <v>51.76</v>
      </c>
      <c r="G179" s="3102" t="s">
        <v>3188</v>
      </c>
    </row>
    <row r="180" spans="1:7" ht="15" thickBot="1">
      <c r="A180" s="3099">
        <v>799</v>
      </c>
      <c r="B180" s="3203" t="s">
        <v>3334</v>
      </c>
      <c r="C180" s="3204"/>
      <c r="D180" s="3100" t="s">
        <v>3367</v>
      </c>
      <c r="E180" s="3100" t="s">
        <v>463</v>
      </c>
      <c r="F180" s="3101">
        <v>49.27</v>
      </c>
      <c r="G180" s="3102" t="s">
        <v>3188</v>
      </c>
    </row>
    <row r="181" spans="1:7" ht="15" thickBot="1">
      <c r="A181" s="3099">
        <v>800</v>
      </c>
      <c r="B181" s="3203" t="s">
        <v>3334</v>
      </c>
      <c r="C181" s="3204"/>
      <c r="D181" s="3100" t="s">
        <v>3368</v>
      </c>
      <c r="E181" s="3100" t="s">
        <v>463</v>
      </c>
      <c r="F181" s="3101">
        <v>54.07</v>
      </c>
      <c r="G181" s="3102" t="s">
        <v>3188</v>
      </c>
    </row>
    <row r="182" spans="1:7" ht="15" thickBot="1">
      <c r="A182" s="3099">
        <v>801</v>
      </c>
      <c r="B182" s="3203" t="s">
        <v>3334</v>
      </c>
      <c r="C182" s="3204"/>
      <c r="D182" s="3100" t="s">
        <v>3369</v>
      </c>
      <c r="E182" s="3100" t="s">
        <v>463</v>
      </c>
      <c r="F182" s="3101">
        <v>51.67</v>
      </c>
      <c r="G182" s="3102" t="s">
        <v>3188</v>
      </c>
    </row>
    <row r="183" spans="1:7" ht="15" thickBot="1">
      <c r="A183" s="3099">
        <v>803</v>
      </c>
      <c r="B183" s="3203" t="s">
        <v>3334</v>
      </c>
      <c r="C183" s="3204"/>
      <c r="D183" s="3100" t="s">
        <v>3370</v>
      </c>
      <c r="E183" s="3100" t="s">
        <v>463</v>
      </c>
      <c r="F183" s="3101">
        <v>49.88</v>
      </c>
      <c r="G183" s="3102" t="s">
        <v>3188</v>
      </c>
    </row>
    <row r="184" spans="1:7" ht="15" thickBot="1">
      <c r="A184" s="3099">
        <v>804</v>
      </c>
      <c r="B184" s="3203" t="s">
        <v>3334</v>
      </c>
      <c r="C184" s="3204"/>
      <c r="D184" s="3100" t="s">
        <v>3371</v>
      </c>
      <c r="E184" s="3100" t="s">
        <v>463</v>
      </c>
      <c r="F184" s="3101">
        <v>49.27</v>
      </c>
      <c r="G184" s="3102" t="s">
        <v>3188</v>
      </c>
    </row>
    <row r="185" spans="1:7" ht="15" thickBot="1">
      <c r="A185" s="3099">
        <v>805</v>
      </c>
      <c r="B185" s="3203" t="s">
        <v>3334</v>
      </c>
      <c r="C185" s="3204"/>
      <c r="D185" s="3100" t="s">
        <v>3372</v>
      </c>
      <c r="E185" s="3100" t="s">
        <v>463</v>
      </c>
      <c r="F185" s="3101">
        <v>54.07</v>
      </c>
      <c r="G185" s="3102" t="s">
        <v>3188</v>
      </c>
    </row>
    <row r="186" spans="1:7" ht="15" thickBot="1">
      <c r="A186" s="3099">
        <v>806</v>
      </c>
      <c r="B186" s="3203" t="s">
        <v>3334</v>
      </c>
      <c r="C186" s="3204"/>
      <c r="D186" s="3100" t="s">
        <v>3373</v>
      </c>
      <c r="E186" s="3100" t="s">
        <v>463</v>
      </c>
      <c r="F186" s="3101">
        <v>51.67</v>
      </c>
      <c r="G186" s="3102" t="s">
        <v>3188</v>
      </c>
    </row>
    <row r="187" spans="1:7" ht="15" thickBot="1">
      <c r="A187" s="3099">
        <v>807</v>
      </c>
      <c r="B187" s="3203" t="s">
        <v>3334</v>
      </c>
      <c r="C187" s="3204"/>
      <c r="D187" s="3100" t="s">
        <v>3374</v>
      </c>
      <c r="E187" s="3100" t="s">
        <v>463</v>
      </c>
      <c r="F187" s="3101">
        <v>49.79</v>
      </c>
      <c r="G187" s="3102" t="s">
        <v>3188</v>
      </c>
    </row>
    <row r="188" spans="1:7" ht="15" thickBot="1">
      <c r="A188" s="3099">
        <v>808</v>
      </c>
      <c r="B188" s="3203" t="s">
        <v>3334</v>
      </c>
      <c r="C188" s="3204"/>
      <c r="D188" s="3100" t="s">
        <v>3375</v>
      </c>
      <c r="E188" s="3100" t="s">
        <v>463</v>
      </c>
      <c r="F188" s="3101">
        <v>49.88</v>
      </c>
      <c r="G188" s="3102" t="s">
        <v>3188</v>
      </c>
    </row>
    <row r="189" spans="1:7" ht="15" thickBot="1">
      <c r="A189" s="3099">
        <v>809</v>
      </c>
      <c r="B189" s="3203" t="s">
        <v>3334</v>
      </c>
      <c r="C189" s="3204"/>
      <c r="D189" s="3100" t="s">
        <v>3376</v>
      </c>
      <c r="E189" s="3100" t="s">
        <v>463</v>
      </c>
      <c r="F189" s="3101">
        <v>49.27</v>
      </c>
      <c r="G189" s="3102" t="s">
        <v>3188</v>
      </c>
    </row>
    <row r="190" spans="1:7" ht="15" thickBot="1">
      <c r="A190" s="3099">
        <v>810</v>
      </c>
      <c r="B190" s="3203" t="s">
        <v>3334</v>
      </c>
      <c r="C190" s="3204"/>
      <c r="D190" s="3100" t="s">
        <v>3377</v>
      </c>
      <c r="E190" s="3100" t="s">
        <v>463</v>
      </c>
      <c r="F190" s="3101">
        <v>54.07</v>
      </c>
      <c r="G190" s="3102" t="s">
        <v>3188</v>
      </c>
    </row>
    <row r="191" spans="1:7" ht="15" thickBot="1">
      <c r="A191" s="3099">
        <v>811</v>
      </c>
      <c r="B191" s="3203" t="s">
        <v>3334</v>
      </c>
      <c r="C191" s="3204"/>
      <c r="D191" s="3100" t="s">
        <v>3378</v>
      </c>
      <c r="E191" s="3100" t="s">
        <v>463</v>
      </c>
      <c r="F191" s="3101">
        <v>51.67</v>
      </c>
      <c r="G191" s="3102" t="s">
        <v>3188</v>
      </c>
    </row>
    <row r="192" spans="1:7" ht="15" thickBot="1">
      <c r="A192" s="3099">
        <v>815</v>
      </c>
      <c r="B192" s="3203" t="s">
        <v>3334</v>
      </c>
      <c r="C192" s="3204"/>
      <c r="D192" s="3100" t="s">
        <v>3379</v>
      </c>
      <c r="E192" s="3100" t="s">
        <v>463</v>
      </c>
      <c r="F192" s="3101">
        <v>49.27</v>
      </c>
      <c r="G192" s="3102" t="s">
        <v>3188</v>
      </c>
    </row>
    <row r="193" spans="1:7" ht="15" thickBot="1">
      <c r="A193" s="3099">
        <v>816</v>
      </c>
      <c r="B193" s="3203" t="s">
        <v>3334</v>
      </c>
      <c r="C193" s="3204"/>
      <c r="D193" s="3100" t="s">
        <v>3380</v>
      </c>
      <c r="E193" s="3100" t="s">
        <v>463</v>
      </c>
      <c r="F193" s="3101">
        <v>54.07</v>
      </c>
      <c r="G193" s="3102" t="s">
        <v>3188</v>
      </c>
    </row>
    <row r="194" spans="1:7" ht="15" thickBot="1">
      <c r="A194" s="3099">
        <v>817</v>
      </c>
      <c r="B194" s="3203" t="s">
        <v>3334</v>
      </c>
      <c r="C194" s="3204"/>
      <c r="D194" s="3100" t="s">
        <v>3381</v>
      </c>
      <c r="E194" s="3100" t="s">
        <v>463</v>
      </c>
      <c r="F194" s="3101">
        <v>51.67</v>
      </c>
      <c r="G194" s="3102" t="s">
        <v>3188</v>
      </c>
    </row>
    <row r="195" spans="1:7" ht="15" thickBot="1">
      <c r="A195" s="3099">
        <v>818</v>
      </c>
      <c r="B195" s="3203" t="s">
        <v>3334</v>
      </c>
      <c r="C195" s="3204"/>
      <c r="D195" s="3100" t="s">
        <v>3382</v>
      </c>
      <c r="E195" s="3100" t="s">
        <v>463</v>
      </c>
      <c r="F195" s="3101">
        <v>51.76</v>
      </c>
      <c r="G195" s="3102" t="s">
        <v>3188</v>
      </c>
    </row>
    <row r="196" spans="1:7" ht="15" thickBot="1">
      <c r="A196" s="3099">
        <v>819</v>
      </c>
      <c r="B196" s="3203" t="s">
        <v>3334</v>
      </c>
      <c r="C196" s="3204"/>
      <c r="D196" s="3100" t="s">
        <v>3383</v>
      </c>
      <c r="E196" s="3100" t="s">
        <v>463</v>
      </c>
      <c r="F196" s="3101">
        <v>49.79</v>
      </c>
      <c r="G196" s="3102" t="s">
        <v>3188</v>
      </c>
    </row>
    <row r="197" spans="1:7" ht="15" thickBot="1">
      <c r="A197" s="3099">
        <v>820</v>
      </c>
      <c r="B197" s="3203" t="s">
        <v>3334</v>
      </c>
      <c r="C197" s="3204"/>
      <c r="D197" s="3100" t="s">
        <v>3384</v>
      </c>
      <c r="E197" s="3100" t="s">
        <v>463</v>
      </c>
      <c r="F197" s="3101">
        <v>49.88</v>
      </c>
      <c r="G197" s="3102" t="s">
        <v>3188</v>
      </c>
    </row>
    <row r="198" spans="1:7" ht="15" thickBot="1">
      <c r="A198" s="3099">
        <v>821</v>
      </c>
      <c r="B198" s="3203" t="s">
        <v>3334</v>
      </c>
      <c r="C198" s="3204"/>
      <c r="D198" s="3100" t="s">
        <v>3385</v>
      </c>
      <c r="E198" s="3100" t="s">
        <v>463</v>
      </c>
      <c r="F198" s="3101">
        <v>49.27</v>
      </c>
      <c r="G198" s="3102" t="s">
        <v>3188</v>
      </c>
    </row>
    <row r="199" spans="1:7" ht="15" thickBot="1">
      <c r="A199" s="3099">
        <v>822</v>
      </c>
      <c r="B199" s="3203" t="s">
        <v>3334</v>
      </c>
      <c r="C199" s="3204"/>
      <c r="D199" s="3100" t="s">
        <v>3386</v>
      </c>
      <c r="E199" s="3100" t="s">
        <v>463</v>
      </c>
      <c r="F199" s="3101">
        <v>54.07</v>
      </c>
      <c r="G199" s="3102" t="s">
        <v>3188</v>
      </c>
    </row>
    <row r="200" spans="1:7" ht="15" thickBot="1">
      <c r="A200" s="3099">
        <v>823</v>
      </c>
      <c r="B200" s="3203" t="s">
        <v>3334</v>
      </c>
      <c r="C200" s="3204"/>
      <c r="D200" s="3100" t="s">
        <v>3387</v>
      </c>
      <c r="E200" s="3100" t="s">
        <v>463</v>
      </c>
      <c r="F200" s="3101">
        <v>51.67</v>
      </c>
      <c r="G200" s="3102" t="s">
        <v>3188</v>
      </c>
    </row>
    <row r="201" spans="1:7" ht="15" thickBot="1">
      <c r="A201" s="3099">
        <v>827</v>
      </c>
      <c r="B201" s="3203" t="s">
        <v>3334</v>
      </c>
      <c r="C201" s="3204"/>
      <c r="D201" s="3100" t="s">
        <v>3388</v>
      </c>
      <c r="E201" s="3100" t="s">
        <v>463</v>
      </c>
      <c r="F201" s="3101">
        <v>49.27</v>
      </c>
      <c r="G201" s="3102" t="s">
        <v>3188</v>
      </c>
    </row>
    <row r="202" spans="1:7" ht="15" thickBot="1">
      <c r="A202" s="3099">
        <v>828</v>
      </c>
      <c r="B202" s="3203" t="s">
        <v>3334</v>
      </c>
      <c r="C202" s="3204"/>
      <c r="D202" s="3100" t="s">
        <v>3389</v>
      </c>
      <c r="E202" s="3100" t="s">
        <v>463</v>
      </c>
      <c r="F202" s="3101">
        <v>76.95</v>
      </c>
      <c r="G202" s="3102" t="s">
        <v>3188</v>
      </c>
    </row>
    <row r="203" spans="1:7" ht="15" thickBot="1">
      <c r="A203" s="3099">
        <v>829</v>
      </c>
      <c r="B203" s="3203" t="s">
        <v>3334</v>
      </c>
      <c r="C203" s="3204"/>
      <c r="D203" s="3100" t="s">
        <v>3390</v>
      </c>
      <c r="E203" s="3100" t="s">
        <v>463</v>
      </c>
      <c r="F203" s="3101">
        <v>49.78</v>
      </c>
      <c r="G203" s="3102" t="s">
        <v>3188</v>
      </c>
    </row>
    <row r="204" spans="1:7" ht="15" thickBot="1">
      <c r="A204" s="3099">
        <v>830</v>
      </c>
      <c r="B204" s="3203" t="s">
        <v>3334</v>
      </c>
      <c r="C204" s="3204"/>
      <c r="D204" s="3100" t="s">
        <v>3391</v>
      </c>
      <c r="E204" s="3100" t="s">
        <v>463</v>
      </c>
      <c r="F204" s="3101">
        <v>49.17</v>
      </c>
      <c r="G204" s="3102" t="s">
        <v>3188</v>
      </c>
    </row>
    <row r="205" spans="1:7" ht="15" thickBot="1">
      <c r="A205" s="3099">
        <v>831</v>
      </c>
      <c r="B205" s="3203" t="s">
        <v>3334</v>
      </c>
      <c r="C205" s="3204"/>
      <c r="D205" s="3100" t="s">
        <v>3392</v>
      </c>
      <c r="E205" s="3100" t="s">
        <v>463</v>
      </c>
      <c r="F205" s="3101">
        <v>49.34</v>
      </c>
      <c r="G205" s="3102" t="s">
        <v>3188</v>
      </c>
    </row>
    <row r="206" spans="1:7" ht="15" thickBot="1">
      <c r="A206" s="3099">
        <v>834</v>
      </c>
      <c r="B206" s="3203" t="s">
        <v>3334</v>
      </c>
      <c r="C206" s="3204"/>
      <c r="D206" s="3100" t="s">
        <v>3393</v>
      </c>
      <c r="E206" s="3100" t="s">
        <v>463</v>
      </c>
      <c r="F206" s="3101">
        <v>49.17</v>
      </c>
      <c r="G206" s="3102" t="s">
        <v>3188</v>
      </c>
    </row>
    <row r="207" spans="1:7" ht="15" thickBot="1">
      <c r="A207" s="3099">
        <v>837</v>
      </c>
      <c r="B207" s="3203" t="s">
        <v>3334</v>
      </c>
      <c r="C207" s="3204"/>
      <c r="D207" s="3100" t="s">
        <v>3394</v>
      </c>
      <c r="E207" s="3100" t="s">
        <v>463</v>
      </c>
      <c r="F207" s="3101">
        <v>49.17</v>
      </c>
      <c r="G207" s="3102" t="s">
        <v>3188</v>
      </c>
    </row>
    <row r="208" spans="1:7" ht="15" thickBot="1">
      <c r="A208" s="3099">
        <v>838</v>
      </c>
      <c r="B208" s="3203" t="s">
        <v>3334</v>
      </c>
      <c r="C208" s="3204"/>
      <c r="D208" s="3100" t="s">
        <v>3395</v>
      </c>
      <c r="E208" s="3100" t="s">
        <v>463</v>
      </c>
      <c r="F208" s="3101">
        <v>49.34</v>
      </c>
      <c r="G208" s="3102" t="s">
        <v>3188</v>
      </c>
    </row>
    <row r="209" spans="1:7" ht="15" thickBot="1">
      <c r="A209" s="3099">
        <v>839</v>
      </c>
      <c r="B209" s="3203" t="s">
        <v>3334</v>
      </c>
      <c r="C209" s="3204"/>
      <c r="D209" s="3100" t="s">
        <v>3396</v>
      </c>
      <c r="E209" s="3100" t="s">
        <v>463</v>
      </c>
      <c r="F209" s="3101">
        <v>49.88</v>
      </c>
      <c r="G209" s="3102" t="s">
        <v>3188</v>
      </c>
    </row>
    <row r="210" spans="1:7" ht="15" thickBot="1">
      <c r="A210" s="3099">
        <v>841</v>
      </c>
      <c r="B210" s="3203" t="s">
        <v>3334</v>
      </c>
      <c r="C210" s="3204"/>
      <c r="D210" s="3100" t="s">
        <v>3397</v>
      </c>
      <c r="E210" s="3100" t="s">
        <v>463</v>
      </c>
      <c r="F210" s="3101">
        <v>49.17</v>
      </c>
      <c r="G210" s="3102" t="s">
        <v>3188</v>
      </c>
    </row>
    <row r="211" spans="1:7" ht="15" thickBot="1">
      <c r="A211" s="3099">
        <v>842</v>
      </c>
      <c r="B211" s="3203" t="s">
        <v>3334</v>
      </c>
      <c r="C211" s="3204"/>
      <c r="D211" s="3100" t="s">
        <v>3398</v>
      </c>
      <c r="E211" s="3100" t="s">
        <v>463</v>
      </c>
      <c r="F211" s="3101">
        <v>49.34</v>
      </c>
      <c r="G211" s="3102" t="s">
        <v>3188</v>
      </c>
    </row>
    <row r="212" spans="1:7" ht="15" thickBot="1">
      <c r="A212" s="3099">
        <v>843</v>
      </c>
      <c r="B212" s="3203" t="s">
        <v>3334</v>
      </c>
      <c r="C212" s="3204"/>
      <c r="D212" s="3100" t="s">
        <v>3399</v>
      </c>
      <c r="E212" s="3100" t="s">
        <v>463</v>
      </c>
      <c r="F212" s="3101">
        <v>49.17</v>
      </c>
      <c r="G212" s="3102" t="s">
        <v>3188</v>
      </c>
    </row>
    <row r="213" spans="1:7" ht="15" thickBot="1">
      <c r="A213" s="3099">
        <v>844</v>
      </c>
      <c r="B213" s="3203" t="s">
        <v>3334</v>
      </c>
      <c r="C213" s="3204"/>
      <c r="D213" s="3100" t="s">
        <v>3400</v>
      </c>
      <c r="E213" s="3100" t="s">
        <v>463</v>
      </c>
      <c r="F213" s="3101">
        <v>49.34</v>
      </c>
      <c r="G213" s="3102" t="s">
        <v>3188</v>
      </c>
    </row>
    <row r="214" spans="1:7" ht="15" thickBot="1">
      <c r="A214" s="3099">
        <v>846</v>
      </c>
      <c r="B214" s="3203" t="s">
        <v>3334</v>
      </c>
      <c r="C214" s="3204"/>
      <c r="D214" s="3100" t="s">
        <v>3401</v>
      </c>
      <c r="E214" s="3100" t="s">
        <v>463</v>
      </c>
      <c r="F214" s="3101">
        <v>49.17</v>
      </c>
      <c r="G214" s="3102" t="s">
        <v>3188</v>
      </c>
    </row>
    <row r="215" spans="1:7" ht="15" thickBot="1">
      <c r="A215" s="3099">
        <v>847</v>
      </c>
      <c r="B215" s="3203" t="s">
        <v>3334</v>
      </c>
      <c r="C215" s="3204"/>
      <c r="D215" s="3100" t="s">
        <v>3402</v>
      </c>
      <c r="E215" s="3100" t="s">
        <v>463</v>
      </c>
      <c r="F215" s="3101">
        <v>49.34</v>
      </c>
      <c r="G215" s="3102" t="s">
        <v>3188</v>
      </c>
    </row>
    <row r="216" spans="1:7" ht="15" thickBot="1">
      <c r="A216" s="3099">
        <v>850</v>
      </c>
      <c r="B216" s="3203" t="s">
        <v>3334</v>
      </c>
      <c r="C216" s="3204"/>
      <c r="D216" s="3100" t="s">
        <v>3403</v>
      </c>
      <c r="E216" s="3100" t="s">
        <v>463</v>
      </c>
      <c r="F216" s="3101">
        <v>49.17</v>
      </c>
      <c r="G216" s="3102" t="s">
        <v>3188</v>
      </c>
    </row>
    <row r="217" spans="1:7" ht="15" thickBot="1">
      <c r="A217" s="3099">
        <v>851</v>
      </c>
      <c r="B217" s="3203" t="s">
        <v>3334</v>
      </c>
      <c r="C217" s="3204"/>
      <c r="D217" s="3100" t="s">
        <v>3404</v>
      </c>
      <c r="E217" s="3100" t="s">
        <v>463</v>
      </c>
      <c r="F217" s="3101">
        <v>49.17</v>
      </c>
      <c r="G217" s="3102" t="s">
        <v>3188</v>
      </c>
    </row>
    <row r="218" spans="1:7" ht="15" thickBot="1">
      <c r="A218" s="3099">
        <v>852</v>
      </c>
      <c r="B218" s="3203" t="s">
        <v>3334</v>
      </c>
      <c r="C218" s="3204"/>
      <c r="D218" s="3100" t="s">
        <v>3405</v>
      </c>
      <c r="E218" s="3100" t="s">
        <v>463</v>
      </c>
      <c r="F218" s="3101">
        <v>49.34</v>
      </c>
      <c r="G218" s="3102" t="s">
        <v>3188</v>
      </c>
    </row>
    <row r="219" spans="1:7" ht="15" thickBot="1">
      <c r="A219" s="3099">
        <v>854</v>
      </c>
      <c r="B219" s="3203" t="s">
        <v>3334</v>
      </c>
      <c r="C219" s="3204"/>
      <c r="D219" s="3100" t="s">
        <v>3406</v>
      </c>
      <c r="E219" s="3100" t="s">
        <v>463</v>
      </c>
      <c r="F219" s="3101">
        <v>49.17</v>
      </c>
      <c r="G219" s="3102" t="s">
        <v>3188</v>
      </c>
    </row>
    <row r="220" spans="1:7" ht="15" thickBot="1">
      <c r="A220" s="3099">
        <v>855</v>
      </c>
      <c r="B220" s="3203" t="s">
        <v>3334</v>
      </c>
      <c r="C220" s="3204"/>
      <c r="D220" s="3100" t="s">
        <v>3407</v>
      </c>
      <c r="E220" s="3100" t="s">
        <v>463</v>
      </c>
      <c r="F220" s="3101">
        <v>49.34</v>
      </c>
      <c r="G220" s="3102" t="s">
        <v>3188</v>
      </c>
    </row>
    <row r="221" spans="1:7" ht="15" thickBot="1">
      <c r="A221" s="3099">
        <v>857</v>
      </c>
      <c r="B221" s="3203" t="s">
        <v>3334</v>
      </c>
      <c r="C221" s="3204"/>
      <c r="D221" s="3100" t="s">
        <v>3408</v>
      </c>
      <c r="E221" s="3100" t="s">
        <v>463</v>
      </c>
      <c r="F221" s="3101">
        <v>49.17</v>
      </c>
      <c r="G221" s="3102" t="s">
        <v>3188</v>
      </c>
    </row>
    <row r="222" spans="1:7" ht="15" thickBot="1">
      <c r="A222" s="3099">
        <v>858</v>
      </c>
      <c r="B222" s="3203" t="s">
        <v>3334</v>
      </c>
      <c r="C222" s="3204"/>
      <c r="D222" s="3100" t="s">
        <v>3409</v>
      </c>
      <c r="E222" s="3100" t="s">
        <v>463</v>
      </c>
      <c r="F222" s="3101">
        <v>49.34</v>
      </c>
      <c r="G222" s="3102" t="s">
        <v>3188</v>
      </c>
    </row>
    <row r="223" spans="1:7" ht="15" thickBot="1">
      <c r="A223" s="3099">
        <v>859</v>
      </c>
      <c r="B223" s="3203" t="s">
        <v>3334</v>
      </c>
      <c r="C223" s="3204"/>
      <c r="D223" s="3100" t="s">
        <v>3410</v>
      </c>
      <c r="E223" s="3100" t="s">
        <v>463</v>
      </c>
      <c r="F223" s="3101">
        <v>49.17</v>
      </c>
      <c r="G223" s="3102" t="s">
        <v>3188</v>
      </c>
    </row>
    <row r="224" spans="1:7" ht="15" thickBot="1">
      <c r="A224" s="3099">
        <v>860</v>
      </c>
      <c r="B224" s="3203" t="s">
        <v>3334</v>
      </c>
      <c r="C224" s="3204"/>
      <c r="D224" s="3100" t="s">
        <v>3411</v>
      </c>
      <c r="E224" s="3100" t="s">
        <v>463</v>
      </c>
      <c r="F224" s="3101">
        <v>49.34</v>
      </c>
      <c r="G224" s="3102" t="s">
        <v>3188</v>
      </c>
    </row>
    <row r="225" spans="1:7" ht="15" thickBot="1">
      <c r="A225" s="3099">
        <v>864</v>
      </c>
      <c r="B225" s="3203" t="s">
        <v>3334</v>
      </c>
      <c r="C225" s="3204"/>
      <c r="D225" s="3100" t="s">
        <v>3412</v>
      </c>
      <c r="E225" s="3100" t="s">
        <v>463</v>
      </c>
      <c r="F225" s="3101">
        <v>49.34</v>
      </c>
      <c r="G225" s="3102" t="s">
        <v>3188</v>
      </c>
    </row>
    <row r="226" spans="1:7" ht="15" thickBot="1">
      <c r="A226" s="3099">
        <v>865</v>
      </c>
      <c r="B226" s="3203" t="s">
        <v>3334</v>
      </c>
      <c r="C226" s="3204"/>
      <c r="D226" s="3100" t="s">
        <v>3413</v>
      </c>
      <c r="E226" s="3100" t="s">
        <v>463</v>
      </c>
      <c r="F226" s="3101">
        <v>49.17</v>
      </c>
      <c r="G226" s="3102" t="s">
        <v>3188</v>
      </c>
    </row>
    <row r="227" spans="1:7" ht="15" thickBot="1">
      <c r="A227" s="3099">
        <v>866</v>
      </c>
      <c r="B227" s="3203" t="s">
        <v>3334</v>
      </c>
      <c r="C227" s="3204"/>
      <c r="D227" s="3100" t="s">
        <v>3414</v>
      </c>
      <c r="E227" s="3100" t="s">
        <v>463</v>
      </c>
      <c r="F227" s="3101">
        <v>49.34</v>
      </c>
      <c r="G227" s="3102" t="s">
        <v>3188</v>
      </c>
    </row>
    <row r="228" spans="1:7" ht="15" thickBot="1">
      <c r="A228" s="3099">
        <v>869</v>
      </c>
      <c r="B228" s="3203" t="s">
        <v>3334</v>
      </c>
      <c r="C228" s="3204"/>
      <c r="D228" s="3100" t="s">
        <v>3415</v>
      </c>
      <c r="E228" s="3100" t="s">
        <v>463</v>
      </c>
      <c r="F228" s="3101">
        <v>49.17</v>
      </c>
      <c r="G228" s="3102" t="s">
        <v>3188</v>
      </c>
    </row>
    <row r="229" spans="1:7" ht="15" thickBot="1">
      <c r="A229" s="3099">
        <v>870</v>
      </c>
      <c r="B229" s="3203" t="s">
        <v>3334</v>
      </c>
      <c r="C229" s="3204"/>
      <c r="D229" s="3100" t="s">
        <v>3416</v>
      </c>
      <c r="E229" s="3100" t="s">
        <v>463</v>
      </c>
      <c r="F229" s="3101">
        <v>49.34</v>
      </c>
      <c r="G229" s="3102" t="s">
        <v>3188</v>
      </c>
    </row>
    <row r="230" spans="1:7" ht="15" thickBot="1">
      <c r="A230" s="3099">
        <v>872</v>
      </c>
      <c r="B230" s="3203" t="s">
        <v>3334</v>
      </c>
      <c r="C230" s="3204"/>
      <c r="D230" s="3100" t="s">
        <v>3417</v>
      </c>
      <c r="E230" s="3100" t="s">
        <v>463</v>
      </c>
      <c r="F230" s="3101">
        <v>49.17</v>
      </c>
      <c r="G230" s="3102" t="s">
        <v>3188</v>
      </c>
    </row>
    <row r="231" spans="1:7" ht="15" thickBot="1">
      <c r="A231" s="3099">
        <v>873</v>
      </c>
      <c r="B231" s="3203" t="s">
        <v>3334</v>
      </c>
      <c r="C231" s="3204"/>
      <c r="D231" s="3100" t="s">
        <v>3418</v>
      </c>
      <c r="E231" s="3100" t="s">
        <v>463</v>
      </c>
      <c r="F231" s="3101">
        <v>76.63</v>
      </c>
      <c r="G231" s="3102" t="s">
        <v>3188</v>
      </c>
    </row>
    <row r="232" spans="1:7" ht="15" thickBot="1">
      <c r="A232" s="3099">
        <v>874</v>
      </c>
      <c r="B232" s="3203" t="s">
        <v>3334</v>
      </c>
      <c r="C232" s="3204"/>
      <c r="D232" s="3100" t="s">
        <v>3419</v>
      </c>
      <c r="E232" s="3100" t="s">
        <v>463</v>
      </c>
      <c r="F232" s="3101">
        <v>51.76</v>
      </c>
      <c r="G232" s="3102" t="s">
        <v>3188</v>
      </c>
    </row>
    <row r="233" spans="1:7" ht="15" thickBot="1">
      <c r="A233" s="3099">
        <v>875</v>
      </c>
      <c r="B233" s="3203" t="s">
        <v>3334</v>
      </c>
      <c r="C233" s="3204"/>
      <c r="D233" s="3100" t="s">
        <v>3420</v>
      </c>
      <c r="E233" s="3100" t="s">
        <v>463</v>
      </c>
      <c r="F233" s="3101">
        <v>51.67</v>
      </c>
      <c r="G233" s="3102" t="s">
        <v>3188</v>
      </c>
    </row>
    <row r="234" spans="1:7" ht="15" thickBot="1">
      <c r="A234" s="3099">
        <v>876</v>
      </c>
      <c r="B234" s="3203" t="s">
        <v>3334</v>
      </c>
      <c r="C234" s="3204"/>
      <c r="D234" s="3100" t="s">
        <v>3421</v>
      </c>
      <c r="E234" s="3100" t="s">
        <v>463</v>
      </c>
      <c r="F234" s="3101">
        <v>49.17</v>
      </c>
      <c r="G234" s="3102" t="s">
        <v>3188</v>
      </c>
    </row>
    <row r="235" spans="1:7" ht="15" thickBot="1">
      <c r="A235" s="3099">
        <v>877</v>
      </c>
      <c r="B235" s="3203" t="s">
        <v>3334</v>
      </c>
      <c r="C235" s="3204"/>
      <c r="D235" s="3100" t="s">
        <v>3422</v>
      </c>
      <c r="E235" s="3100" t="s">
        <v>463</v>
      </c>
      <c r="F235" s="3101">
        <v>49.88</v>
      </c>
      <c r="G235" s="3102" t="s">
        <v>3188</v>
      </c>
    </row>
    <row r="236" spans="1:7" ht="15" thickBot="1">
      <c r="A236" s="3099">
        <v>878</v>
      </c>
      <c r="B236" s="3203" t="s">
        <v>3334</v>
      </c>
      <c r="C236" s="3204"/>
      <c r="D236" s="3100" t="s">
        <v>3423</v>
      </c>
      <c r="E236" s="3100" t="s">
        <v>463</v>
      </c>
      <c r="F236" s="3101">
        <v>49.79</v>
      </c>
      <c r="G236" s="3102" t="s">
        <v>3188</v>
      </c>
    </row>
    <row r="237" spans="1:7" ht="15" thickBot="1">
      <c r="A237" s="3099">
        <v>879</v>
      </c>
      <c r="B237" s="3203" t="s">
        <v>3334</v>
      </c>
      <c r="C237" s="3204"/>
      <c r="D237" s="3100" t="s">
        <v>3424</v>
      </c>
      <c r="E237" s="3100" t="s">
        <v>463</v>
      </c>
      <c r="F237" s="3101">
        <v>51.76</v>
      </c>
      <c r="G237" s="3102" t="s">
        <v>3188</v>
      </c>
    </row>
    <row r="238" spans="1:7" ht="15" thickBot="1">
      <c r="A238" s="3099">
        <v>881</v>
      </c>
      <c r="B238" s="3203" t="s">
        <v>3334</v>
      </c>
      <c r="C238" s="3204"/>
      <c r="D238" s="3100" t="s">
        <v>3425</v>
      </c>
      <c r="E238" s="3100" t="s">
        <v>463</v>
      </c>
      <c r="F238" s="3101">
        <v>51.67</v>
      </c>
      <c r="G238" s="3102" t="s">
        <v>3188</v>
      </c>
    </row>
    <row r="239" spans="1:7" ht="15" thickBot="1">
      <c r="A239" s="3099">
        <v>882</v>
      </c>
      <c r="B239" s="3203" t="s">
        <v>3334</v>
      </c>
      <c r="C239" s="3204"/>
      <c r="D239" s="3100" t="s">
        <v>3426</v>
      </c>
      <c r="E239" s="3100" t="s">
        <v>463</v>
      </c>
      <c r="F239" s="3101">
        <v>54.07</v>
      </c>
      <c r="G239" s="3102" t="s">
        <v>3188</v>
      </c>
    </row>
    <row r="240" spans="1:7" ht="15" thickBot="1">
      <c r="A240" s="3099">
        <v>883</v>
      </c>
      <c r="B240" s="3203" t="s">
        <v>3334</v>
      </c>
      <c r="C240" s="3204"/>
      <c r="D240" s="3100" t="s">
        <v>3427</v>
      </c>
      <c r="E240" s="3100" t="s">
        <v>463</v>
      </c>
      <c r="F240" s="3101">
        <v>51.76</v>
      </c>
      <c r="G240" s="3102" t="s">
        <v>3188</v>
      </c>
    </row>
    <row r="241" spans="1:7" ht="15" thickBot="1">
      <c r="A241" s="3099">
        <v>884</v>
      </c>
      <c r="B241" s="3203" t="s">
        <v>3334</v>
      </c>
      <c r="C241" s="3204"/>
      <c r="D241" s="3100" t="s">
        <v>3428</v>
      </c>
      <c r="E241" s="3100" t="s">
        <v>463</v>
      </c>
      <c r="F241" s="3101">
        <v>49.17</v>
      </c>
      <c r="G241" s="3102" t="s">
        <v>3188</v>
      </c>
    </row>
    <row r="242" spans="1:7" ht="15" thickBot="1">
      <c r="A242" s="3099">
        <v>888</v>
      </c>
      <c r="B242" s="3203" t="s">
        <v>3334</v>
      </c>
      <c r="C242" s="3204"/>
      <c r="D242" s="3100" t="s">
        <v>3429</v>
      </c>
      <c r="E242" s="3100" t="s">
        <v>463</v>
      </c>
      <c r="F242" s="3101">
        <v>49.17</v>
      </c>
      <c r="G242" s="3102" t="s">
        <v>3188</v>
      </c>
    </row>
    <row r="243" spans="1:7" ht="15" thickBot="1">
      <c r="A243" s="3099">
        <v>889</v>
      </c>
      <c r="B243" s="3203" t="s">
        <v>3334</v>
      </c>
      <c r="C243" s="3204"/>
      <c r="D243" s="3100" t="s">
        <v>3430</v>
      </c>
      <c r="E243" s="3100" t="s">
        <v>463</v>
      </c>
      <c r="F243" s="3101">
        <v>51.67</v>
      </c>
      <c r="G243" s="3102" t="s">
        <v>3188</v>
      </c>
    </row>
    <row r="244" spans="1:7" ht="15" thickBot="1">
      <c r="A244" s="3099">
        <v>891</v>
      </c>
      <c r="B244" s="3203" t="s">
        <v>3334</v>
      </c>
      <c r="C244" s="3204"/>
      <c r="D244" s="3100" t="s">
        <v>3431</v>
      </c>
      <c r="E244" s="3100" t="s">
        <v>463</v>
      </c>
      <c r="F244" s="3101">
        <v>51.67</v>
      </c>
      <c r="G244" s="3102" t="s">
        <v>3188</v>
      </c>
    </row>
    <row r="245" spans="1:7" ht="15" thickBot="1">
      <c r="A245" s="3099">
        <v>894</v>
      </c>
      <c r="B245" s="3203" t="s">
        <v>3334</v>
      </c>
      <c r="C245" s="3204"/>
      <c r="D245" s="3100" t="s">
        <v>3432</v>
      </c>
      <c r="E245" s="3100" t="s">
        <v>463</v>
      </c>
      <c r="F245" s="3101">
        <v>51.67</v>
      </c>
      <c r="G245" s="3102" t="s">
        <v>3188</v>
      </c>
    </row>
    <row r="246" spans="1:7" ht="15" thickBot="1">
      <c r="A246" s="3099">
        <v>895</v>
      </c>
      <c r="B246" s="3203" t="s">
        <v>3334</v>
      </c>
      <c r="C246" s="3204"/>
      <c r="D246" s="3100" t="s">
        <v>3433</v>
      </c>
      <c r="E246" s="3100" t="s">
        <v>463</v>
      </c>
      <c r="F246" s="3101">
        <v>49.17</v>
      </c>
      <c r="G246" s="3102" t="s">
        <v>3188</v>
      </c>
    </row>
    <row r="247" spans="1:7" ht="15" thickBot="1">
      <c r="A247" s="3099">
        <v>896</v>
      </c>
      <c r="B247" s="3203" t="s">
        <v>3334</v>
      </c>
      <c r="C247" s="3204"/>
      <c r="D247" s="3100" t="s">
        <v>3434</v>
      </c>
      <c r="E247" s="3100" t="s">
        <v>463</v>
      </c>
      <c r="F247" s="3101">
        <v>51.76</v>
      </c>
      <c r="G247" s="3102" t="s">
        <v>3188</v>
      </c>
    </row>
    <row r="248" spans="1:7" ht="15" thickBot="1">
      <c r="A248" s="3099">
        <v>897</v>
      </c>
      <c r="B248" s="3203" t="s">
        <v>3334</v>
      </c>
      <c r="C248" s="3204"/>
      <c r="D248" s="3100" t="s">
        <v>3435</v>
      </c>
      <c r="E248" s="3100" t="s">
        <v>463</v>
      </c>
      <c r="F248" s="3101">
        <v>51.67</v>
      </c>
      <c r="G248" s="3102" t="s">
        <v>3188</v>
      </c>
    </row>
    <row r="249" spans="1:7" ht="15" thickBot="1">
      <c r="A249" s="3099">
        <v>898</v>
      </c>
      <c r="B249" s="3203" t="s">
        <v>3334</v>
      </c>
      <c r="C249" s="3204"/>
      <c r="D249" s="3100" t="s">
        <v>3436</v>
      </c>
      <c r="E249" s="3100" t="s">
        <v>463</v>
      </c>
      <c r="F249" s="3101">
        <v>49.17</v>
      </c>
      <c r="G249" s="3102" t="s">
        <v>3188</v>
      </c>
    </row>
    <row r="250" spans="1:7" ht="15" thickBot="1">
      <c r="A250" s="3099">
        <v>900</v>
      </c>
      <c r="B250" s="3203" t="s">
        <v>3334</v>
      </c>
      <c r="C250" s="3204"/>
      <c r="D250" s="3100" t="s">
        <v>3437</v>
      </c>
      <c r="E250" s="3100" t="s">
        <v>463</v>
      </c>
      <c r="F250" s="3101">
        <v>49.79</v>
      </c>
      <c r="G250" s="3102" t="s">
        <v>3188</v>
      </c>
    </row>
    <row r="251" spans="1:7" ht="15" thickBot="1">
      <c r="A251" s="3099">
        <v>901</v>
      </c>
      <c r="B251" s="3203" t="s">
        <v>3334</v>
      </c>
      <c r="C251" s="3204"/>
      <c r="D251" s="3100" t="s">
        <v>3438</v>
      </c>
      <c r="E251" s="3100" t="s">
        <v>463</v>
      </c>
      <c r="F251" s="3101">
        <v>51.76</v>
      </c>
      <c r="G251" s="3102" t="s">
        <v>3188</v>
      </c>
    </row>
    <row r="252" spans="1:7" ht="15" thickBot="1">
      <c r="A252" s="3099">
        <v>902</v>
      </c>
      <c r="B252" s="3203" t="s">
        <v>3334</v>
      </c>
      <c r="C252" s="3204"/>
      <c r="D252" s="3100" t="s">
        <v>3439</v>
      </c>
      <c r="E252" s="3100" t="s">
        <v>463</v>
      </c>
      <c r="F252" s="3101">
        <v>51.67</v>
      </c>
      <c r="G252" s="3102" t="s">
        <v>3188</v>
      </c>
    </row>
    <row r="253" spans="1:7" ht="15" thickBot="1">
      <c r="A253" s="3099">
        <v>903</v>
      </c>
      <c r="B253" s="3203" t="s">
        <v>3334</v>
      </c>
      <c r="C253" s="3204"/>
      <c r="D253" s="3100" t="s">
        <v>3440</v>
      </c>
      <c r="E253" s="3100" t="s">
        <v>463</v>
      </c>
      <c r="F253" s="3101">
        <v>49.79</v>
      </c>
      <c r="G253" s="3102" t="s">
        <v>3188</v>
      </c>
    </row>
    <row r="254" spans="1:7" ht="15" thickBot="1">
      <c r="A254" s="3099">
        <v>904</v>
      </c>
      <c r="B254" s="3203" t="s">
        <v>3334</v>
      </c>
      <c r="C254" s="3204"/>
      <c r="D254" s="3100" t="s">
        <v>3441</v>
      </c>
      <c r="E254" s="3100" t="s">
        <v>463</v>
      </c>
      <c r="F254" s="3101">
        <v>51.76</v>
      </c>
      <c r="G254" s="3102" t="s">
        <v>3188</v>
      </c>
    </row>
    <row r="255" spans="1:7" ht="15" thickBot="1">
      <c r="A255" s="3099">
        <v>905</v>
      </c>
      <c r="B255" s="3203" t="s">
        <v>3334</v>
      </c>
      <c r="C255" s="3204"/>
      <c r="D255" s="3100" t="s">
        <v>3442</v>
      </c>
      <c r="E255" s="3100" t="s">
        <v>463</v>
      </c>
      <c r="F255" s="3101">
        <v>51.67</v>
      </c>
      <c r="G255" s="3102" t="s">
        <v>3188</v>
      </c>
    </row>
    <row r="256" spans="1:7" ht="15" thickBot="1">
      <c r="A256" s="3099">
        <v>907</v>
      </c>
      <c r="B256" s="3203" t="s">
        <v>3334</v>
      </c>
      <c r="C256" s="3204"/>
      <c r="D256" s="3100" t="s">
        <v>3443</v>
      </c>
      <c r="E256" s="3100" t="s">
        <v>463</v>
      </c>
      <c r="F256" s="3101">
        <v>49.17</v>
      </c>
      <c r="G256" s="3102" t="s">
        <v>3188</v>
      </c>
    </row>
    <row r="257" spans="1:7" ht="15" thickBot="1">
      <c r="A257" s="3099">
        <v>909</v>
      </c>
      <c r="B257" s="3203" t="s">
        <v>3334</v>
      </c>
      <c r="C257" s="3204"/>
      <c r="D257" s="3100" t="s">
        <v>3444</v>
      </c>
      <c r="E257" s="3100" t="s">
        <v>463</v>
      </c>
      <c r="F257" s="3101">
        <v>51.76</v>
      </c>
      <c r="G257" s="3102" t="s">
        <v>3188</v>
      </c>
    </row>
    <row r="258" spans="1:7" ht="15" thickBot="1">
      <c r="A258" s="3099">
        <v>910</v>
      </c>
      <c r="B258" s="3203" t="s">
        <v>3334</v>
      </c>
      <c r="C258" s="3204"/>
      <c r="D258" s="3100" t="s">
        <v>3445</v>
      </c>
      <c r="E258" s="3100" t="s">
        <v>463</v>
      </c>
      <c r="F258" s="3101">
        <v>51.67</v>
      </c>
      <c r="G258" s="3102" t="s">
        <v>3188</v>
      </c>
    </row>
    <row r="259" spans="1:7" ht="15" thickBot="1">
      <c r="A259" s="3099">
        <v>911</v>
      </c>
      <c r="B259" s="3203" t="s">
        <v>3334</v>
      </c>
      <c r="C259" s="3204"/>
      <c r="D259" s="3100" t="s">
        <v>3446</v>
      </c>
      <c r="E259" s="3100" t="s">
        <v>463</v>
      </c>
      <c r="F259" s="3101">
        <v>54.07</v>
      </c>
      <c r="G259" s="3102" t="s">
        <v>3188</v>
      </c>
    </row>
    <row r="260" spans="1:7" ht="15" thickBot="1">
      <c r="A260" s="3099">
        <v>912</v>
      </c>
      <c r="B260" s="3203" t="s">
        <v>3334</v>
      </c>
      <c r="C260" s="3204"/>
      <c r="D260" s="3100" t="s">
        <v>3447</v>
      </c>
      <c r="E260" s="3100" t="s">
        <v>463</v>
      </c>
      <c r="F260" s="3101">
        <v>49.17</v>
      </c>
      <c r="G260" s="3102" t="s">
        <v>3188</v>
      </c>
    </row>
    <row r="261" spans="1:7" ht="15" thickBot="1">
      <c r="A261" s="3099">
        <v>914</v>
      </c>
      <c r="B261" s="3203" t="s">
        <v>3334</v>
      </c>
      <c r="C261" s="3204"/>
      <c r="D261" s="3100" t="s">
        <v>3448</v>
      </c>
      <c r="E261" s="3100" t="s">
        <v>463</v>
      </c>
      <c r="F261" s="3101">
        <v>51.67</v>
      </c>
      <c r="G261" s="3102" t="s">
        <v>3188</v>
      </c>
    </row>
    <row r="262" spans="1:7" ht="15" thickBot="1">
      <c r="A262" s="3099">
        <v>915</v>
      </c>
      <c r="B262" s="3203" t="s">
        <v>3334</v>
      </c>
      <c r="C262" s="3204"/>
      <c r="D262" s="3100" t="s">
        <v>3449</v>
      </c>
      <c r="E262" s="3100" t="s">
        <v>463</v>
      </c>
      <c r="F262" s="3101">
        <v>50.54</v>
      </c>
      <c r="G262" s="3102" t="s">
        <v>3188</v>
      </c>
    </row>
    <row r="263" spans="1:7" ht="15" thickBot="1">
      <c r="A263" s="3099">
        <v>916</v>
      </c>
      <c r="B263" s="3203" t="s">
        <v>3334</v>
      </c>
      <c r="C263" s="3204"/>
      <c r="D263" s="3100" t="s">
        <v>3450</v>
      </c>
      <c r="E263" s="3100" t="s">
        <v>463</v>
      </c>
      <c r="F263" s="3101">
        <v>50.28</v>
      </c>
      <c r="G263" s="3102" t="s">
        <v>3188</v>
      </c>
    </row>
    <row r="264" spans="1:7" ht="15" thickBot="1">
      <c r="A264" s="3099">
        <v>917</v>
      </c>
      <c r="B264" s="3203" t="s">
        <v>3334</v>
      </c>
      <c r="C264" s="3204"/>
      <c r="D264" s="3100" t="s">
        <v>3451</v>
      </c>
      <c r="E264" s="3100" t="s">
        <v>463</v>
      </c>
      <c r="F264" s="3101">
        <v>64.44</v>
      </c>
      <c r="G264" s="3102" t="s">
        <v>3188</v>
      </c>
    </row>
    <row r="265" spans="1:7" ht="15" thickBot="1">
      <c r="A265" s="3099">
        <v>918</v>
      </c>
      <c r="B265" s="3203" t="s">
        <v>3334</v>
      </c>
      <c r="C265" s="3204"/>
      <c r="D265" s="3100" t="s">
        <v>3452</v>
      </c>
      <c r="E265" s="3100" t="s">
        <v>463</v>
      </c>
      <c r="F265" s="3101">
        <v>64.44</v>
      </c>
      <c r="G265" s="3102" t="s">
        <v>3188</v>
      </c>
    </row>
    <row r="266" spans="1:7" ht="15" thickBot="1">
      <c r="A266" s="3099">
        <v>919</v>
      </c>
      <c r="B266" s="3203" t="s">
        <v>3334</v>
      </c>
      <c r="C266" s="3204"/>
      <c r="D266" s="3100" t="s">
        <v>3453</v>
      </c>
      <c r="E266" s="3100" t="s">
        <v>463</v>
      </c>
      <c r="F266" s="3101">
        <v>50.26</v>
      </c>
      <c r="G266" s="3102" t="s">
        <v>3188</v>
      </c>
    </row>
    <row r="267" spans="1:7" ht="15" thickBot="1">
      <c r="A267" s="3099">
        <v>920</v>
      </c>
      <c r="B267" s="3203" t="s">
        <v>3334</v>
      </c>
      <c r="C267" s="3204"/>
      <c r="D267" s="3100" t="s">
        <v>3454</v>
      </c>
      <c r="E267" s="3100" t="s">
        <v>463</v>
      </c>
      <c r="F267" s="3101">
        <v>50.21</v>
      </c>
      <c r="G267" s="3102" t="s">
        <v>3188</v>
      </c>
    </row>
    <row r="268" spans="1:7" ht="15" thickBot="1">
      <c r="A268" s="3099">
        <v>921</v>
      </c>
      <c r="B268" s="3203" t="s">
        <v>3334</v>
      </c>
      <c r="C268" s="3204"/>
      <c r="D268" s="3100" t="s">
        <v>3455</v>
      </c>
      <c r="E268" s="3100" t="s">
        <v>463</v>
      </c>
      <c r="F268" s="3101">
        <v>49.34</v>
      </c>
      <c r="G268" s="3102" t="s">
        <v>3188</v>
      </c>
    </row>
    <row r="269" spans="1:7" ht="15" thickBot="1">
      <c r="A269" s="3099">
        <v>922</v>
      </c>
      <c r="B269" s="3203" t="s">
        <v>3334</v>
      </c>
      <c r="C269" s="3204"/>
      <c r="D269" s="3100" t="s">
        <v>3456</v>
      </c>
      <c r="E269" s="3100" t="s">
        <v>463</v>
      </c>
      <c r="F269" s="3101">
        <v>50.54</v>
      </c>
      <c r="G269" s="3102" t="s">
        <v>3188</v>
      </c>
    </row>
    <row r="270" spans="1:7" ht="15" thickBot="1">
      <c r="A270" s="3099">
        <v>923</v>
      </c>
      <c r="B270" s="3203" t="s">
        <v>3334</v>
      </c>
      <c r="C270" s="3204"/>
      <c r="D270" s="3100" t="s">
        <v>3457</v>
      </c>
      <c r="E270" s="3100" t="s">
        <v>463</v>
      </c>
      <c r="F270" s="3101">
        <v>50.28</v>
      </c>
      <c r="G270" s="3102" t="s">
        <v>3188</v>
      </c>
    </row>
    <row r="271" spans="1:7" ht="15" thickBot="1">
      <c r="A271" s="3099">
        <v>924</v>
      </c>
      <c r="B271" s="3203" t="s">
        <v>3334</v>
      </c>
      <c r="C271" s="3204"/>
      <c r="D271" s="3100" t="s">
        <v>3458</v>
      </c>
      <c r="E271" s="3100" t="s">
        <v>463</v>
      </c>
      <c r="F271" s="3101">
        <v>64.44</v>
      </c>
      <c r="G271" s="3102" t="s">
        <v>3188</v>
      </c>
    </row>
    <row r="272" spans="1:7" ht="15" thickBot="1">
      <c r="A272" s="3099">
        <v>925</v>
      </c>
      <c r="B272" s="3203" t="s">
        <v>3334</v>
      </c>
      <c r="C272" s="3204"/>
      <c r="D272" s="3100" t="s">
        <v>3459</v>
      </c>
      <c r="E272" s="3100" t="s">
        <v>463</v>
      </c>
      <c r="F272" s="3101">
        <v>64.44</v>
      </c>
      <c r="G272" s="3102" t="s">
        <v>3188</v>
      </c>
    </row>
    <row r="273" spans="1:7" ht="15" thickBot="1">
      <c r="A273" s="3099">
        <v>926</v>
      </c>
      <c r="B273" s="3203" t="s">
        <v>3334</v>
      </c>
      <c r="C273" s="3204"/>
      <c r="D273" s="3100" t="s">
        <v>3460</v>
      </c>
      <c r="E273" s="3100" t="s">
        <v>463</v>
      </c>
      <c r="F273" s="3101">
        <v>50.26</v>
      </c>
      <c r="G273" s="3102" t="s">
        <v>3188</v>
      </c>
    </row>
    <row r="274" spans="1:7" ht="15" thickBot="1">
      <c r="A274" s="3099">
        <v>927</v>
      </c>
      <c r="B274" s="3203" t="s">
        <v>3334</v>
      </c>
      <c r="C274" s="3204"/>
      <c r="D274" s="3100" t="s">
        <v>3461</v>
      </c>
      <c r="E274" s="3100" t="s">
        <v>463</v>
      </c>
      <c r="F274" s="3101">
        <v>50.21</v>
      </c>
      <c r="G274" s="3102" t="s">
        <v>3188</v>
      </c>
    </row>
    <row r="275" spans="1:7" ht="15" thickBot="1">
      <c r="A275" s="3099">
        <v>928</v>
      </c>
      <c r="B275" s="3203" t="s">
        <v>3334</v>
      </c>
      <c r="C275" s="3204"/>
      <c r="D275" s="3100" t="s">
        <v>3462</v>
      </c>
      <c r="E275" s="3100" t="s">
        <v>463</v>
      </c>
      <c r="F275" s="3101">
        <v>49.48</v>
      </c>
      <c r="G275" s="3102" t="s">
        <v>3188</v>
      </c>
    </row>
    <row r="276" spans="1:7" ht="15" thickBot="1">
      <c r="A276" s="3099">
        <v>929</v>
      </c>
      <c r="B276" s="3203" t="s">
        <v>3334</v>
      </c>
      <c r="C276" s="3204"/>
      <c r="D276" s="3100" t="s">
        <v>3463</v>
      </c>
      <c r="E276" s="3100" t="s">
        <v>463</v>
      </c>
      <c r="F276" s="3101">
        <v>50.72</v>
      </c>
      <c r="G276" s="3102" t="s">
        <v>3188</v>
      </c>
    </row>
    <row r="277" spans="1:7" ht="15" thickBot="1">
      <c r="A277" s="3099">
        <v>930</v>
      </c>
      <c r="B277" s="3203" t="s">
        <v>3334</v>
      </c>
      <c r="C277" s="3204"/>
      <c r="D277" s="3100" t="s">
        <v>3464</v>
      </c>
      <c r="E277" s="3100" t="s">
        <v>463</v>
      </c>
      <c r="F277" s="3101">
        <v>50.28</v>
      </c>
      <c r="G277" s="3102" t="s">
        <v>3188</v>
      </c>
    </row>
    <row r="278" spans="1:7" ht="15" thickBot="1">
      <c r="A278" s="3099">
        <v>931</v>
      </c>
      <c r="B278" s="3203" t="s">
        <v>3334</v>
      </c>
      <c r="C278" s="3204"/>
      <c r="D278" s="3100" t="s">
        <v>3465</v>
      </c>
      <c r="E278" s="3100" t="s">
        <v>463</v>
      </c>
      <c r="F278" s="3101">
        <v>64.44</v>
      </c>
      <c r="G278" s="3102" t="s">
        <v>3188</v>
      </c>
    </row>
    <row r="279" spans="1:7" ht="15" thickBot="1">
      <c r="A279" s="3099">
        <v>932</v>
      </c>
      <c r="B279" s="3203" t="s">
        <v>3334</v>
      </c>
      <c r="C279" s="3204"/>
      <c r="D279" s="3100" t="s">
        <v>3466</v>
      </c>
      <c r="E279" s="3100" t="s">
        <v>463</v>
      </c>
      <c r="F279" s="3101">
        <v>64.44</v>
      </c>
      <c r="G279" s="3102" t="s">
        <v>3188</v>
      </c>
    </row>
    <row r="280" spans="1:7" ht="15" thickBot="1">
      <c r="A280" s="3099">
        <v>933</v>
      </c>
      <c r="B280" s="3203" t="s">
        <v>3334</v>
      </c>
      <c r="C280" s="3204"/>
      <c r="D280" s="3100" t="s">
        <v>3467</v>
      </c>
      <c r="E280" s="3100" t="s">
        <v>463</v>
      </c>
      <c r="F280" s="3101">
        <v>50.26</v>
      </c>
      <c r="G280" s="3102" t="s">
        <v>3188</v>
      </c>
    </row>
    <row r="281" spans="1:7" ht="15" thickBot="1">
      <c r="A281" s="3099">
        <v>934</v>
      </c>
      <c r="B281" s="3203" t="s">
        <v>3334</v>
      </c>
      <c r="C281" s="3204"/>
      <c r="D281" s="3100" t="s">
        <v>3468</v>
      </c>
      <c r="E281" s="3100" t="s">
        <v>463</v>
      </c>
      <c r="F281" s="3101">
        <v>50.21</v>
      </c>
      <c r="G281" s="3102" t="s">
        <v>3188</v>
      </c>
    </row>
    <row r="282" spans="1:7" ht="15" thickBot="1">
      <c r="A282" s="3099">
        <v>935</v>
      </c>
      <c r="B282" s="3203" t="s">
        <v>3334</v>
      </c>
      <c r="C282" s="3204"/>
      <c r="D282" s="3100" t="s">
        <v>3469</v>
      </c>
      <c r="E282" s="3100" t="s">
        <v>463</v>
      </c>
      <c r="F282" s="3101">
        <v>49.5</v>
      </c>
      <c r="G282" s="3102" t="s">
        <v>3188</v>
      </c>
    </row>
    <row r="283" spans="1:7" ht="15" thickBot="1">
      <c r="A283" s="3099">
        <v>936</v>
      </c>
      <c r="B283" s="3203" t="s">
        <v>3334</v>
      </c>
      <c r="C283" s="3204"/>
      <c r="D283" s="3100" t="s">
        <v>3470</v>
      </c>
      <c r="E283" s="3100" t="s">
        <v>463</v>
      </c>
      <c r="F283" s="3101">
        <v>50.72</v>
      </c>
      <c r="G283" s="3102" t="s">
        <v>3188</v>
      </c>
    </row>
    <row r="284" spans="1:7" ht="15" thickBot="1">
      <c r="A284" s="3099">
        <v>937</v>
      </c>
      <c r="B284" s="3203" t="s">
        <v>3334</v>
      </c>
      <c r="C284" s="3204"/>
      <c r="D284" s="3100" t="s">
        <v>3471</v>
      </c>
      <c r="E284" s="3100" t="s">
        <v>463</v>
      </c>
      <c r="F284" s="3101">
        <v>50.28</v>
      </c>
      <c r="G284" s="3102" t="s">
        <v>3188</v>
      </c>
    </row>
    <row r="285" spans="1:7" ht="15" thickBot="1">
      <c r="A285" s="3099">
        <v>938</v>
      </c>
      <c r="B285" s="3203" t="s">
        <v>3334</v>
      </c>
      <c r="C285" s="3204"/>
      <c r="D285" s="3100" t="s">
        <v>3472</v>
      </c>
      <c r="E285" s="3100" t="s">
        <v>463</v>
      </c>
      <c r="F285" s="3101">
        <v>64.44</v>
      </c>
      <c r="G285" s="3102" t="s">
        <v>3188</v>
      </c>
    </row>
    <row r="286" spans="1:7" ht="15" thickBot="1">
      <c r="A286" s="3099">
        <v>939</v>
      </c>
      <c r="B286" s="3203" t="s">
        <v>3334</v>
      </c>
      <c r="C286" s="3204"/>
      <c r="D286" s="3100" t="s">
        <v>3473</v>
      </c>
      <c r="E286" s="3100" t="s">
        <v>463</v>
      </c>
      <c r="F286" s="3101">
        <v>64.44</v>
      </c>
      <c r="G286" s="3102" t="s">
        <v>3188</v>
      </c>
    </row>
    <row r="287" spans="1:7" ht="15" thickBot="1">
      <c r="A287" s="3099">
        <v>940</v>
      </c>
      <c r="B287" s="3203" t="s">
        <v>3334</v>
      </c>
      <c r="C287" s="3204"/>
      <c r="D287" s="3100" t="s">
        <v>3474</v>
      </c>
      <c r="E287" s="3100" t="s">
        <v>463</v>
      </c>
      <c r="F287" s="3101">
        <v>50.26</v>
      </c>
      <c r="G287" s="3102" t="s">
        <v>3188</v>
      </c>
    </row>
    <row r="288" spans="1:7" ht="15" thickBot="1">
      <c r="A288" s="3099">
        <v>941</v>
      </c>
      <c r="B288" s="3203" t="s">
        <v>3334</v>
      </c>
      <c r="C288" s="3204"/>
      <c r="D288" s="3100" t="s">
        <v>3475</v>
      </c>
      <c r="E288" s="3100" t="s">
        <v>463</v>
      </c>
      <c r="F288" s="3101">
        <v>50.21</v>
      </c>
      <c r="G288" s="3102" t="s">
        <v>3188</v>
      </c>
    </row>
    <row r="289" spans="1:7" ht="15" thickBot="1">
      <c r="A289" s="3099">
        <v>942</v>
      </c>
      <c r="B289" s="3203" t="s">
        <v>3334</v>
      </c>
      <c r="C289" s="3204"/>
      <c r="D289" s="3100" t="s">
        <v>3476</v>
      </c>
      <c r="E289" s="3100" t="s">
        <v>463</v>
      </c>
      <c r="F289" s="3101">
        <v>49.5</v>
      </c>
      <c r="G289" s="3102" t="s">
        <v>3188</v>
      </c>
    </row>
    <row r="290" spans="1:7" ht="15" thickBot="1">
      <c r="A290" s="3099">
        <v>943</v>
      </c>
      <c r="B290" s="3203" t="s">
        <v>3334</v>
      </c>
      <c r="C290" s="3204"/>
      <c r="D290" s="3100" t="s">
        <v>3477</v>
      </c>
      <c r="E290" s="3100" t="s">
        <v>463</v>
      </c>
      <c r="F290" s="3101">
        <v>50.72</v>
      </c>
      <c r="G290" s="3102" t="s">
        <v>3188</v>
      </c>
    </row>
    <row r="291" spans="1:7" ht="15" thickBot="1">
      <c r="A291" s="3099">
        <v>944</v>
      </c>
      <c r="B291" s="3203" t="s">
        <v>3334</v>
      </c>
      <c r="C291" s="3204"/>
      <c r="D291" s="3100" t="s">
        <v>3478</v>
      </c>
      <c r="E291" s="3100" t="s">
        <v>463</v>
      </c>
      <c r="F291" s="3101">
        <v>50.28</v>
      </c>
      <c r="G291" s="3102" t="s">
        <v>3188</v>
      </c>
    </row>
    <row r="292" spans="1:7" ht="15" thickBot="1">
      <c r="A292" s="3099">
        <v>945</v>
      </c>
      <c r="B292" s="3203" t="s">
        <v>3334</v>
      </c>
      <c r="C292" s="3204"/>
      <c r="D292" s="3100" t="s">
        <v>3479</v>
      </c>
      <c r="E292" s="3100" t="s">
        <v>463</v>
      </c>
      <c r="F292" s="3101">
        <v>64.44</v>
      </c>
      <c r="G292" s="3102" t="s">
        <v>3188</v>
      </c>
    </row>
    <row r="293" spans="1:7" ht="15" thickBot="1">
      <c r="A293" s="3099">
        <v>946</v>
      </c>
      <c r="B293" s="3203" t="s">
        <v>3334</v>
      </c>
      <c r="C293" s="3204"/>
      <c r="D293" s="3100" t="s">
        <v>3480</v>
      </c>
      <c r="E293" s="3100" t="s">
        <v>463</v>
      </c>
      <c r="F293" s="3101">
        <v>50.26</v>
      </c>
      <c r="G293" s="3102" t="s">
        <v>3188</v>
      </c>
    </row>
    <row r="294" spans="1:7" ht="15" thickBot="1">
      <c r="A294" s="3099">
        <v>947</v>
      </c>
      <c r="B294" s="3203" t="s">
        <v>3334</v>
      </c>
      <c r="C294" s="3204"/>
      <c r="D294" s="3100" t="s">
        <v>3481</v>
      </c>
      <c r="E294" s="3100" t="s">
        <v>463</v>
      </c>
      <c r="F294" s="3101">
        <v>50.21</v>
      </c>
      <c r="G294" s="3102" t="s">
        <v>3188</v>
      </c>
    </row>
    <row r="295" spans="1:7" ht="15" thickBot="1">
      <c r="A295" s="3099">
        <v>948</v>
      </c>
      <c r="B295" s="3203" t="s">
        <v>3334</v>
      </c>
      <c r="C295" s="3204"/>
      <c r="D295" s="3100" t="s">
        <v>3482</v>
      </c>
      <c r="E295" s="3100" t="s">
        <v>463</v>
      </c>
      <c r="F295" s="3101">
        <v>49.5</v>
      </c>
      <c r="G295" s="3102" t="s">
        <v>3188</v>
      </c>
    </row>
    <row r="296" spans="1:7" ht="15" thickBot="1">
      <c r="A296" s="3099">
        <v>949</v>
      </c>
      <c r="B296" s="3203" t="s">
        <v>3334</v>
      </c>
      <c r="C296" s="3204"/>
      <c r="D296" s="3100" t="s">
        <v>3483</v>
      </c>
      <c r="E296" s="3100" t="s">
        <v>463</v>
      </c>
      <c r="F296" s="3101">
        <v>50.72</v>
      </c>
      <c r="G296" s="3102" t="s">
        <v>3188</v>
      </c>
    </row>
    <row r="297" spans="1:7" ht="15" thickBot="1">
      <c r="A297" s="3099">
        <v>950</v>
      </c>
      <c r="B297" s="3203" t="s">
        <v>3334</v>
      </c>
      <c r="C297" s="3204"/>
      <c r="D297" s="3100" t="s">
        <v>3484</v>
      </c>
      <c r="E297" s="3100" t="s">
        <v>463</v>
      </c>
      <c r="F297" s="3101">
        <v>50.28</v>
      </c>
      <c r="G297" s="3102" t="s">
        <v>3188</v>
      </c>
    </row>
    <row r="298" spans="1:7" ht="15" thickBot="1">
      <c r="A298" s="3099">
        <v>951</v>
      </c>
      <c r="B298" s="3203" t="s">
        <v>3334</v>
      </c>
      <c r="C298" s="3204"/>
      <c r="D298" s="3100" t="s">
        <v>3485</v>
      </c>
      <c r="E298" s="3100" t="s">
        <v>463</v>
      </c>
      <c r="F298" s="3101">
        <v>64.44</v>
      </c>
      <c r="G298" s="3102" t="s">
        <v>3188</v>
      </c>
    </row>
    <row r="299" spans="1:7" ht="15" thickBot="1">
      <c r="A299" s="3099">
        <v>952</v>
      </c>
      <c r="B299" s="3203" t="s">
        <v>3334</v>
      </c>
      <c r="C299" s="3204"/>
      <c r="D299" s="3100" t="s">
        <v>3486</v>
      </c>
      <c r="E299" s="3100" t="s">
        <v>463</v>
      </c>
      <c r="F299" s="3101">
        <v>64.44</v>
      </c>
      <c r="G299" s="3102" t="s">
        <v>3188</v>
      </c>
    </row>
    <row r="300" spans="1:7" ht="15" thickBot="1">
      <c r="A300" s="3099">
        <v>953</v>
      </c>
      <c r="B300" s="3203" t="s">
        <v>3334</v>
      </c>
      <c r="C300" s="3204"/>
      <c r="D300" s="3100" t="s">
        <v>3487</v>
      </c>
      <c r="E300" s="3100" t="s">
        <v>463</v>
      </c>
      <c r="F300" s="3101">
        <v>50.26</v>
      </c>
      <c r="G300" s="3102" t="s">
        <v>3188</v>
      </c>
    </row>
    <row r="301" spans="1:7" ht="15" thickBot="1">
      <c r="A301" s="3099">
        <v>954</v>
      </c>
      <c r="B301" s="3203" t="s">
        <v>3334</v>
      </c>
      <c r="C301" s="3204"/>
      <c r="D301" s="3100" t="s">
        <v>3488</v>
      </c>
      <c r="E301" s="3100" t="s">
        <v>463</v>
      </c>
      <c r="F301" s="3101">
        <v>50.21</v>
      </c>
      <c r="G301" s="3102" t="s">
        <v>3188</v>
      </c>
    </row>
    <row r="302" spans="1:7" ht="15" thickBot="1">
      <c r="A302" s="3099">
        <v>955</v>
      </c>
      <c r="B302" s="3203" t="s">
        <v>3334</v>
      </c>
      <c r="C302" s="3204"/>
      <c r="D302" s="3100" t="s">
        <v>3489</v>
      </c>
      <c r="E302" s="3100" t="s">
        <v>463</v>
      </c>
      <c r="F302" s="3101">
        <v>49.5</v>
      </c>
      <c r="G302" s="3102" t="s">
        <v>3188</v>
      </c>
    </row>
    <row r="303" spans="1:7" ht="15" thickBot="1">
      <c r="A303" s="3099">
        <v>956</v>
      </c>
      <c r="B303" s="3203" t="s">
        <v>3334</v>
      </c>
      <c r="C303" s="3204"/>
      <c r="D303" s="3100" t="s">
        <v>3490</v>
      </c>
      <c r="E303" s="3100" t="s">
        <v>463</v>
      </c>
      <c r="F303" s="3101">
        <v>50.72</v>
      </c>
      <c r="G303" s="3102" t="s">
        <v>3188</v>
      </c>
    </row>
    <row r="304" spans="1:7" ht="15" thickBot="1">
      <c r="A304" s="3099">
        <v>957</v>
      </c>
      <c r="B304" s="3203" t="s">
        <v>3334</v>
      </c>
      <c r="C304" s="3204"/>
      <c r="D304" s="3100" t="s">
        <v>3491</v>
      </c>
      <c r="E304" s="3100" t="s">
        <v>463</v>
      </c>
      <c r="F304" s="3101">
        <v>50.28</v>
      </c>
      <c r="G304" s="3102" t="s">
        <v>3188</v>
      </c>
    </row>
    <row r="305" spans="1:7" ht="15" thickBot="1">
      <c r="A305" s="3099">
        <v>958</v>
      </c>
      <c r="B305" s="3203" t="s">
        <v>3334</v>
      </c>
      <c r="C305" s="3204"/>
      <c r="D305" s="3100" t="s">
        <v>3492</v>
      </c>
      <c r="E305" s="3100" t="s">
        <v>463</v>
      </c>
      <c r="F305" s="3101">
        <v>64.44</v>
      </c>
      <c r="G305" s="3102" t="s">
        <v>3188</v>
      </c>
    </row>
    <row r="306" spans="1:7" ht="15" thickBot="1">
      <c r="A306" s="3099">
        <v>959</v>
      </c>
      <c r="B306" s="3203" t="s">
        <v>3334</v>
      </c>
      <c r="C306" s="3204"/>
      <c r="D306" s="3100" t="s">
        <v>3493</v>
      </c>
      <c r="E306" s="3100" t="s">
        <v>463</v>
      </c>
      <c r="F306" s="3101">
        <v>50.26</v>
      </c>
      <c r="G306" s="3102" t="s">
        <v>3188</v>
      </c>
    </row>
    <row r="307" spans="1:7" ht="15" thickBot="1">
      <c r="A307" s="3099">
        <v>960</v>
      </c>
      <c r="B307" s="3203" t="s">
        <v>3334</v>
      </c>
      <c r="C307" s="3204"/>
      <c r="D307" s="3100" t="s">
        <v>3494</v>
      </c>
      <c r="E307" s="3100" t="s">
        <v>463</v>
      </c>
      <c r="F307" s="3101">
        <v>50.21</v>
      </c>
      <c r="G307" s="3102" t="s">
        <v>3188</v>
      </c>
    </row>
    <row r="308" spans="1:7" ht="15" thickBot="1">
      <c r="A308" s="3099">
        <v>961</v>
      </c>
      <c r="B308" s="3203" t="s">
        <v>3334</v>
      </c>
      <c r="C308" s="3204"/>
      <c r="D308" s="3100" t="s">
        <v>3495</v>
      </c>
      <c r="E308" s="3100" t="s">
        <v>463</v>
      </c>
      <c r="F308" s="3101">
        <v>49.5</v>
      </c>
      <c r="G308" s="3102" t="s">
        <v>3188</v>
      </c>
    </row>
    <row r="309" spans="1:7" ht="15" thickBot="1">
      <c r="A309" s="3099">
        <v>962</v>
      </c>
      <c r="B309" s="3203" t="s">
        <v>3334</v>
      </c>
      <c r="C309" s="3204"/>
      <c r="D309" s="3100" t="s">
        <v>3496</v>
      </c>
      <c r="E309" s="3100" t="s">
        <v>463</v>
      </c>
      <c r="F309" s="3101">
        <v>50.72</v>
      </c>
      <c r="G309" s="3102" t="s">
        <v>3188</v>
      </c>
    </row>
    <row r="310" spans="1:7" ht="15" thickBot="1">
      <c r="A310" s="3099">
        <v>963</v>
      </c>
      <c r="B310" s="3203" t="s">
        <v>3334</v>
      </c>
      <c r="C310" s="3204"/>
      <c r="D310" s="3100" t="s">
        <v>3497</v>
      </c>
      <c r="E310" s="3100" t="s">
        <v>463</v>
      </c>
      <c r="F310" s="3101">
        <v>50.28</v>
      </c>
      <c r="G310" s="3102" t="s">
        <v>3188</v>
      </c>
    </row>
    <row r="311" spans="1:7" ht="15" thickBot="1">
      <c r="A311" s="3099">
        <v>964</v>
      </c>
      <c r="B311" s="3203" t="s">
        <v>3334</v>
      </c>
      <c r="C311" s="3204"/>
      <c r="D311" s="3100" t="s">
        <v>3498</v>
      </c>
      <c r="E311" s="3100" t="s">
        <v>463</v>
      </c>
      <c r="F311" s="3101">
        <v>64.44</v>
      </c>
      <c r="G311" s="3102" t="s">
        <v>3188</v>
      </c>
    </row>
    <row r="312" spans="1:7" ht="15" thickBot="1">
      <c r="A312" s="3099">
        <v>965</v>
      </c>
      <c r="B312" s="3203" t="s">
        <v>3334</v>
      </c>
      <c r="C312" s="3204"/>
      <c r="D312" s="3100" t="s">
        <v>3499</v>
      </c>
      <c r="E312" s="3100" t="s">
        <v>463</v>
      </c>
      <c r="F312" s="3101">
        <v>64.44</v>
      </c>
      <c r="G312" s="3102" t="s">
        <v>3188</v>
      </c>
    </row>
    <row r="313" spans="1:7" ht="15" thickBot="1">
      <c r="A313" s="3099">
        <v>966</v>
      </c>
      <c r="B313" s="3203" t="s">
        <v>3334</v>
      </c>
      <c r="C313" s="3204"/>
      <c r="D313" s="3100" t="s">
        <v>3500</v>
      </c>
      <c r="E313" s="3100" t="s">
        <v>463</v>
      </c>
      <c r="F313" s="3101">
        <v>50.26</v>
      </c>
      <c r="G313" s="3102" t="s">
        <v>3188</v>
      </c>
    </row>
    <row r="314" spans="1:7" ht="15" thickBot="1">
      <c r="A314" s="3099">
        <v>967</v>
      </c>
      <c r="B314" s="3203" t="s">
        <v>3334</v>
      </c>
      <c r="C314" s="3204"/>
      <c r="D314" s="3100" t="s">
        <v>3501</v>
      </c>
      <c r="E314" s="3100" t="s">
        <v>463</v>
      </c>
      <c r="F314" s="3101">
        <v>50.21</v>
      </c>
      <c r="G314" s="3102" t="s">
        <v>3188</v>
      </c>
    </row>
    <row r="315" spans="1:7" ht="15" thickBot="1">
      <c r="A315" s="3099">
        <v>968</v>
      </c>
      <c r="B315" s="3203" t="s">
        <v>3334</v>
      </c>
      <c r="C315" s="3204"/>
      <c r="D315" s="3100" t="s">
        <v>3502</v>
      </c>
      <c r="E315" s="3100" t="s">
        <v>463</v>
      </c>
      <c r="F315" s="3101">
        <v>49.5</v>
      </c>
      <c r="G315" s="3102" t="s">
        <v>3188</v>
      </c>
    </row>
    <row r="316" spans="1:7" ht="15" thickBot="1">
      <c r="A316" s="3099">
        <v>969</v>
      </c>
      <c r="B316" s="3203" t="s">
        <v>3334</v>
      </c>
      <c r="C316" s="3204"/>
      <c r="D316" s="3100" t="s">
        <v>3503</v>
      </c>
      <c r="E316" s="3100" t="s">
        <v>463</v>
      </c>
      <c r="F316" s="3101">
        <v>50.72</v>
      </c>
      <c r="G316" s="3102" t="s">
        <v>3188</v>
      </c>
    </row>
    <row r="317" spans="1:7" ht="15" thickBot="1">
      <c r="A317" s="3099">
        <v>970</v>
      </c>
      <c r="B317" s="3203" t="s">
        <v>3334</v>
      </c>
      <c r="C317" s="3204"/>
      <c r="D317" s="3100" t="s">
        <v>3504</v>
      </c>
      <c r="E317" s="3100" t="s">
        <v>463</v>
      </c>
      <c r="F317" s="3101">
        <v>50.28</v>
      </c>
      <c r="G317" s="3102" t="s">
        <v>3188</v>
      </c>
    </row>
    <row r="318" spans="1:7" ht="15" thickBot="1">
      <c r="A318" s="3099">
        <v>971</v>
      </c>
      <c r="B318" s="3203" t="s">
        <v>3334</v>
      </c>
      <c r="C318" s="3204"/>
      <c r="D318" s="3100" t="s">
        <v>3505</v>
      </c>
      <c r="E318" s="3100" t="s">
        <v>463</v>
      </c>
      <c r="F318" s="3101">
        <v>64.44</v>
      </c>
      <c r="G318" s="3102" t="s">
        <v>3188</v>
      </c>
    </row>
    <row r="319" spans="1:7" ht="15" thickBot="1">
      <c r="A319" s="3099">
        <v>972</v>
      </c>
      <c r="B319" s="3203" t="s">
        <v>3334</v>
      </c>
      <c r="C319" s="3204"/>
      <c r="D319" s="3100" t="s">
        <v>3506</v>
      </c>
      <c r="E319" s="3100" t="s">
        <v>463</v>
      </c>
      <c r="F319" s="3101">
        <v>64.44</v>
      </c>
      <c r="G319" s="3102" t="s">
        <v>3188</v>
      </c>
    </row>
    <row r="320" spans="1:7" ht="15" thickBot="1">
      <c r="A320" s="3099">
        <v>973</v>
      </c>
      <c r="B320" s="3203" t="s">
        <v>3334</v>
      </c>
      <c r="C320" s="3204"/>
      <c r="D320" s="3100" t="s">
        <v>3507</v>
      </c>
      <c r="E320" s="3100" t="s">
        <v>463</v>
      </c>
      <c r="F320" s="3101">
        <v>50.26</v>
      </c>
      <c r="G320" s="3102" t="s">
        <v>3188</v>
      </c>
    </row>
    <row r="321" spans="1:7" ht="15" thickBot="1">
      <c r="A321" s="3099">
        <v>974</v>
      </c>
      <c r="B321" s="3203" t="s">
        <v>3334</v>
      </c>
      <c r="C321" s="3204"/>
      <c r="D321" s="3100" t="s">
        <v>3508</v>
      </c>
      <c r="E321" s="3100" t="s">
        <v>463</v>
      </c>
      <c r="F321" s="3101">
        <v>50.21</v>
      </c>
      <c r="G321" s="3102" t="s">
        <v>3188</v>
      </c>
    </row>
    <row r="322" spans="1:7" ht="15" thickBot="1">
      <c r="A322" s="3099">
        <v>975</v>
      </c>
      <c r="B322" s="3203" t="s">
        <v>3334</v>
      </c>
      <c r="C322" s="3204"/>
      <c r="D322" s="3100" t="s">
        <v>3509</v>
      </c>
      <c r="E322" s="3100" t="s">
        <v>463</v>
      </c>
      <c r="F322" s="3101">
        <v>49.5</v>
      </c>
      <c r="G322" s="3102" t="s">
        <v>3188</v>
      </c>
    </row>
    <row r="323" spans="1:7" ht="15" thickBot="1">
      <c r="A323" s="3099">
        <v>976</v>
      </c>
      <c r="B323" s="3203" t="s">
        <v>3334</v>
      </c>
      <c r="C323" s="3204"/>
      <c r="D323" s="3100" t="s">
        <v>3510</v>
      </c>
      <c r="E323" s="3100" t="s">
        <v>463</v>
      </c>
      <c r="F323" s="3101">
        <v>50.72</v>
      </c>
      <c r="G323" s="3102" t="s">
        <v>3188</v>
      </c>
    </row>
    <row r="324" spans="1:7" ht="15" thickBot="1">
      <c r="A324" s="3099">
        <v>977</v>
      </c>
      <c r="B324" s="3203" t="s">
        <v>3334</v>
      </c>
      <c r="C324" s="3204"/>
      <c r="D324" s="3100" t="s">
        <v>3511</v>
      </c>
      <c r="E324" s="3100" t="s">
        <v>463</v>
      </c>
      <c r="F324" s="3101">
        <v>50.28</v>
      </c>
      <c r="G324" s="3102" t="s">
        <v>3188</v>
      </c>
    </row>
    <row r="325" spans="1:7" ht="15" thickBot="1">
      <c r="A325" s="3099">
        <v>978</v>
      </c>
      <c r="B325" s="3203" t="s">
        <v>3334</v>
      </c>
      <c r="C325" s="3204"/>
      <c r="D325" s="3100" t="s">
        <v>3512</v>
      </c>
      <c r="E325" s="3100" t="s">
        <v>463</v>
      </c>
      <c r="F325" s="3101">
        <v>64.44</v>
      </c>
      <c r="G325" s="3102" t="s">
        <v>3188</v>
      </c>
    </row>
    <row r="326" spans="1:7" ht="15" thickBot="1">
      <c r="A326" s="3099">
        <v>979</v>
      </c>
      <c r="B326" s="3203" t="s">
        <v>3334</v>
      </c>
      <c r="C326" s="3204"/>
      <c r="D326" s="3100" t="s">
        <v>3513</v>
      </c>
      <c r="E326" s="3100" t="s">
        <v>463</v>
      </c>
      <c r="F326" s="3101">
        <v>64.44</v>
      </c>
      <c r="G326" s="3102" t="s">
        <v>3188</v>
      </c>
    </row>
    <row r="327" spans="1:7" ht="15" thickBot="1">
      <c r="A327" s="3099">
        <v>980</v>
      </c>
      <c r="B327" s="3203" t="s">
        <v>3334</v>
      </c>
      <c r="C327" s="3204"/>
      <c r="D327" s="3100" t="s">
        <v>3514</v>
      </c>
      <c r="E327" s="3100" t="s">
        <v>463</v>
      </c>
      <c r="F327" s="3101">
        <v>50.26</v>
      </c>
      <c r="G327" s="3102" t="s">
        <v>3188</v>
      </c>
    </row>
    <row r="328" spans="1:7" ht="15" thickBot="1">
      <c r="A328" s="3099">
        <v>981</v>
      </c>
      <c r="B328" s="3203" t="s">
        <v>3334</v>
      </c>
      <c r="C328" s="3204"/>
      <c r="D328" s="3100" t="s">
        <v>3515</v>
      </c>
      <c r="E328" s="3100" t="s">
        <v>463</v>
      </c>
      <c r="F328" s="3101">
        <v>50.21</v>
      </c>
      <c r="G328" s="3102" t="s">
        <v>3188</v>
      </c>
    </row>
    <row r="329" spans="1:7" ht="15" thickBot="1">
      <c r="A329" s="3099">
        <v>982</v>
      </c>
      <c r="B329" s="3203" t="s">
        <v>3334</v>
      </c>
      <c r="C329" s="3204"/>
      <c r="D329" s="3100" t="s">
        <v>3516</v>
      </c>
      <c r="E329" s="3100" t="s">
        <v>463</v>
      </c>
      <c r="F329" s="3101">
        <v>49.5</v>
      </c>
      <c r="G329" s="3102" t="s">
        <v>3188</v>
      </c>
    </row>
    <row r="330" spans="1:7" ht="15" thickBot="1">
      <c r="A330" s="3099">
        <v>983</v>
      </c>
      <c r="B330" s="3203" t="s">
        <v>3334</v>
      </c>
      <c r="C330" s="3204"/>
      <c r="D330" s="3100" t="s">
        <v>3517</v>
      </c>
      <c r="E330" s="3100" t="s">
        <v>463</v>
      </c>
      <c r="F330" s="3101">
        <v>50.72</v>
      </c>
      <c r="G330" s="3102" t="s">
        <v>3188</v>
      </c>
    </row>
    <row r="331" spans="1:7" ht="15" thickBot="1">
      <c r="A331" s="3099">
        <v>984</v>
      </c>
      <c r="B331" s="3203" t="s">
        <v>3334</v>
      </c>
      <c r="C331" s="3204"/>
      <c r="D331" s="3100" t="s">
        <v>3518</v>
      </c>
      <c r="E331" s="3100" t="s">
        <v>463</v>
      </c>
      <c r="F331" s="3101">
        <v>50.28</v>
      </c>
      <c r="G331" s="3102" t="s">
        <v>3188</v>
      </c>
    </row>
    <row r="332" spans="1:7" ht="15" thickBot="1">
      <c r="A332" s="3099">
        <v>985</v>
      </c>
      <c r="B332" s="3203" t="s">
        <v>3334</v>
      </c>
      <c r="C332" s="3204"/>
      <c r="D332" s="3100" t="s">
        <v>3519</v>
      </c>
      <c r="E332" s="3100" t="s">
        <v>463</v>
      </c>
      <c r="F332" s="3101">
        <v>64.44</v>
      </c>
      <c r="G332" s="3102" t="s">
        <v>3188</v>
      </c>
    </row>
    <row r="333" spans="1:7" ht="15" thickBot="1">
      <c r="A333" s="3099">
        <v>986</v>
      </c>
      <c r="B333" s="3203" t="s">
        <v>3334</v>
      </c>
      <c r="C333" s="3204"/>
      <c r="D333" s="3100" t="s">
        <v>3520</v>
      </c>
      <c r="E333" s="3100" t="s">
        <v>463</v>
      </c>
      <c r="F333" s="3101">
        <v>64.44</v>
      </c>
      <c r="G333" s="3102" t="s">
        <v>3188</v>
      </c>
    </row>
    <row r="334" spans="1:7" ht="15" thickBot="1">
      <c r="A334" s="3099">
        <v>987</v>
      </c>
      <c r="B334" s="3203" t="s">
        <v>3334</v>
      </c>
      <c r="C334" s="3204"/>
      <c r="D334" s="3100" t="s">
        <v>3521</v>
      </c>
      <c r="E334" s="3100" t="s">
        <v>463</v>
      </c>
      <c r="F334" s="3101">
        <v>50.26</v>
      </c>
      <c r="G334" s="3102" t="s">
        <v>3188</v>
      </c>
    </row>
    <row r="335" spans="1:7" ht="15" thickBot="1">
      <c r="A335" s="3099">
        <v>988</v>
      </c>
      <c r="B335" s="3203" t="s">
        <v>3334</v>
      </c>
      <c r="C335" s="3204"/>
      <c r="D335" s="3100" t="s">
        <v>3522</v>
      </c>
      <c r="E335" s="3100" t="s">
        <v>463</v>
      </c>
      <c r="F335" s="3101">
        <v>50.21</v>
      </c>
      <c r="G335" s="3102" t="s">
        <v>3188</v>
      </c>
    </row>
    <row r="336" spans="1:7" ht="15" thickBot="1">
      <c r="A336" s="3099">
        <v>989</v>
      </c>
      <c r="B336" s="3203" t="s">
        <v>3334</v>
      </c>
      <c r="C336" s="3204"/>
      <c r="D336" s="3100" t="s">
        <v>3523</v>
      </c>
      <c r="E336" s="3100" t="s">
        <v>463</v>
      </c>
      <c r="F336" s="3101">
        <v>49.5</v>
      </c>
      <c r="G336" s="3102" t="s">
        <v>3188</v>
      </c>
    </row>
    <row r="337" spans="1:7" ht="15" thickBot="1">
      <c r="A337" s="3099">
        <v>990</v>
      </c>
      <c r="B337" s="3203" t="s">
        <v>3334</v>
      </c>
      <c r="C337" s="3204"/>
      <c r="D337" s="3100" t="s">
        <v>3524</v>
      </c>
      <c r="E337" s="3100" t="s">
        <v>463</v>
      </c>
      <c r="F337" s="3101">
        <v>50.72</v>
      </c>
      <c r="G337" s="3102" t="s">
        <v>3188</v>
      </c>
    </row>
    <row r="338" spans="1:7" ht="15" thickBot="1">
      <c r="A338" s="3099">
        <v>991</v>
      </c>
      <c r="B338" s="3203" t="s">
        <v>3334</v>
      </c>
      <c r="C338" s="3204"/>
      <c r="D338" s="3100" t="s">
        <v>3525</v>
      </c>
      <c r="E338" s="3100" t="s">
        <v>463</v>
      </c>
      <c r="F338" s="3101">
        <v>50.28</v>
      </c>
      <c r="G338" s="3102" t="s">
        <v>3188</v>
      </c>
    </row>
    <row r="339" spans="1:7" ht="15" thickBot="1">
      <c r="A339" s="3099">
        <v>992</v>
      </c>
      <c r="B339" s="3203" t="s">
        <v>3334</v>
      </c>
      <c r="C339" s="3204"/>
      <c r="D339" s="3100" t="s">
        <v>3526</v>
      </c>
      <c r="E339" s="3100" t="s">
        <v>463</v>
      </c>
      <c r="F339" s="3101">
        <v>64.44</v>
      </c>
      <c r="G339" s="3102" t="s">
        <v>3188</v>
      </c>
    </row>
    <row r="340" spans="1:7" ht="15" thickBot="1">
      <c r="A340" s="3099">
        <v>993</v>
      </c>
      <c r="B340" s="3203" t="s">
        <v>3334</v>
      </c>
      <c r="C340" s="3204"/>
      <c r="D340" s="3100" t="s">
        <v>3527</v>
      </c>
      <c r="E340" s="3100" t="s">
        <v>463</v>
      </c>
      <c r="F340" s="3101">
        <v>64.44</v>
      </c>
      <c r="G340" s="3102" t="s">
        <v>3188</v>
      </c>
    </row>
    <row r="341" spans="1:7" ht="15" thickBot="1">
      <c r="A341" s="3099">
        <v>994</v>
      </c>
      <c r="B341" s="3203" t="s">
        <v>3334</v>
      </c>
      <c r="C341" s="3204"/>
      <c r="D341" s="3100" t="s">
        <v>3528</v>
      </c>
      <c r="E341" s="3100" t="s">
        <v>463</v>
      </c>
      <c r="F341" s="3101">
        <v>50.26</v>
      </c>
      <c r="G341" s="3102" t="s">
        <v>3188</v>
      </c>
    </row>
    <row r="342" spans="1:7" ht="15" thickBot="1">
      <c r="A342" s="3099">
        <v>995</v>
      </c>
      <c r="B342" s="3203" t="s">
        <v>3334</v>
      </c>
      <c r="C342" s="3204"/>
      <c r="D342" s="3100" t="s">
        <v>3529</v>
      </c>
      <c r="E342" s="3100" t="s">
        <v>463</v>
      </c>
      <c r="F342" s="3101">
        <v>50.21</v>
      </c>
      <c r="G342" s="3102" t="s">
        <v>3188</v>
      </c>
    </row>
    <row r="343" spans="1:7" ht="15" thickBot="1">
      <c r="A343" s="3099">
        <v>996</v>
      </c>
      <c r="B343" s="3203" t="s">
        <v>3334</v>
      </c>
      <c r="C343" s="3204"/>
      <c r="D343" s="3100" t="s">
        <v>3530</v>
      </c>
      <c r="E343" s="3100" t="s">
        <v>463</v>
      </c>
      <c r="F343" s="3101">
        <v>49.96</v>
      </c>
      <c r="G343" s="3102" t="s">
        <v>3188</v>
      </c>
    </row>
    <row r="344" spans="1:7" ht="15" thickBot="1">
      <c r="A344" s="3099">
        <v>997</v>
      </c>
      <c r="B344" s="3203" t="s">
        <v>3334</v>
      </c>
      <c r="C344" s="3204"/>
      <c r="D344" s="3100" t="s">
        <v>3531</v>
      </c>
      <c r="E344" s="3100" t="s">
        <v>463</v>
      </c>
      <c r="F344" s="3101">
        <v>50.72</v>
      </c>
      <c r="G344" s="3102" t="s">
        <v>3188</v>
      </c>
    </row>
    <row r="345" spans="1:7" ht="15" thickBot="1">
      <c r="A345" s="3099">
        <v>998</v>
      </c>
      <c r="B345" s="3203" t="s">
        <v>3334</v>
      </c>
      <c r="C345" s="3204"/>
      <c r="D345" s="3100" t="s">
        <v>3532</v>
      </c>
      <c r="E345" s="3100" t="s">
        <v>463</v>
      </c>
      <c r="F345" s="3101">
        <v>50.28</v>
      </c>
      <c r="G345" s="3102" t="s">
        <v>3188</v>
      </c>
    </row>
    <row r="346" spans="1:7" ht="15" thickBot="1">
      <c r="A346" s="3099">
        <v>999</v>
      </c>
      <c r="B346" s="3203" t="s">
        <v>3334</v>
      </c>
      <c r="C346" s="3204"/>
      <c r="D346" s="3100" t="s">
        <v>3533</v>
      </c>
      <c r="E346" s="3100" t="s">
        <v>463</v>
      </c>
      <c r="F346" s="3101">
        <v>64.44</v>
      </c>
      <c r="G346" s="3102" t="s">
        <v>3188</v>
      </c>
    </row>
    <row r="347" spans="1:7" ht="15" thickBot="1">
      <c r="A347" s="3099">
        <v>1000</v>
      </c>
      <c r="B347" s="3203" t="s">
        <v>3334</v>
      </c>
      <c r="C347" s="3204"/>
      <c r="D347" s="3100" t="s">
        <v>3534</v>
      </c>
      <c r="E347" s="3100" t="s">
        <v>463</v>
      </c>
      <c r="F347" s="3101">
        <v>64.44</v>
      </c>
      <c r="G347" s="3102" t="s">
        <v>3188</v>
      </c>
    </row>
    <row r="348" spans="1:7" ht="15" thickBot="1">
      <c r="A348" s="3099">
        <v>1001</v>
      </c>
      <c r="B348" s="3203" t="s">
        <v>3334</v>
      </c>
      <c r="C348" s="3204"/>
      <c r="D348" s="3100" t="s">
        <v>3535</v>
      </c>
      <c r="E348" s="3100" t="s">
        <v>463</v>
      </c>
      <c r="F348" s="3101">
        <v>50.26</v>
      </c>
      <c r="G348" s="3102" t="s">
        <v>3188</v>
      </c>
    </row>
    <row r="349" spans="1:7" ht="15" thickBot="1">
      <c r="A349" s="3099">
        <v>1002</v>
      </c>
      <c r="B349" s="3203" t="s">
        <v>3334</v>
      </c>
      <c r="C349" s="3204"/>
      <c r="D349" s="3100" t="s">
        <v>3536</v>
      </c>
      <c r="E349" s="3100" t="s">
        <v>463</v>
      </c>
      <c r="F349" s="3101">
        <v>50.21</v>
      </c>
      <c r="G349" s="3102" t="s">
        <v>3188</v>
      </c>
    </row>
    <row r="350" spans="1:7" ht="15" thickBot="1">
      <c r="A350" s="3099">
        <v>1003</v>
      </c>
      <c r="B350" s="3203" t="s">
        <v>3334</v>
      </c>
      <c r="C350" s="3204"/>
      <c r="D350" s="3100" t="s">
        <v>3537</v>
      </c>
      <c r="E350" s="3100" t="s">
        <v>463</v>
      </c>
      <c r="F350" s="3101">
        <v>49.96</v>
      </c>
      <c r="G350" s="3102" t="s">
        <v>3188</v>
      </c>
    </row>
    <row r="351" spans="1:7" ht="15" thickBot="1">
      <c r="A351" s="3099">
        <v>1004</v>
      </c>
      <c r="B351" s="3203" t="s">
        <v>3334</v>
      </c>
      <c r="C351" s="3204"/>
      <c r="D351" s="3100" t="s">
        <v>3538</v>
      </c>
      <c r="E351" s="3100" t="s">
        <v>463</v>
      </c>
      <c r="F351" s="3101">
        <v>50.72</v>
      </c>
      <c r="G351" s="3102" t="s">
        <v>3188</v>
      </c>
    </row>
    <row r="352" spans="1:7" ht="15" thickBot="1">
      <c r="A352" s="3099">
        <v>1005</v>
      </c>
      <c r="B352" s="3203" t="s">
        <v>3334</v>
      </c>
      <c r="C352" s="3204"/>
      <c r="D352" s="3100" t="s">
        <v>3539</v>
      </c>
      <c r="E352" s="3100" t="s">
        <v>463</v>
      </c>
      <c r="F352" s="3101">
        <v>50.28</v>
      </c>
      <c r="G352" s="3102" t="s">
        <v>3188</v>
      </c>
    </row>
    <row r="353" spans="1:7" ht="15" thickBot="1">
      <c r="A353" s="3099">
        <v>1006</v>
      </c>
      <c r="B353" s="3203" t="s">
        <v>3334</v>
      </c>
      <c r="C353" s="3204"/>
      <c r="D353" s="3100" t="s">
        <v>3540</v>
      </c>
      <c r="E353" s="3100" t="s">
        <v>463</v>
      </c>
      <c r="F353" s="3101">
        <v>64.44</v>
      </c>
      <c r="G353" s="3102" t="s">
        <v>3188</v>
      </c>
    </row>
    <row r="354" spans="1:7" ht="15" thickBot="1">
      <c r="A354" s="3099">
        <v>1007</v>
      </c>
      <c r="B354" s="3203" t="s">
        <v>3334</v>
      </c>
      <c r="C354" s="3204"/>
      <c r="D354" s="3100" t="s">
        <v>3541</v>
      </c>
      <c r="E354" s="3100" t="s">
        <v>463</v>
      </c>
      <c r="F354" s="3101">
        <v>64.44</v>
      </c>
      <c r="G354" s="3102" t="s">
        <v>3188</v>
      </c>
    </row>
    <row r="355" spans="1:7" ht="15" thickBot="1">
      <c r="A355" s="3099">
        <v>1008</v>
      </c>
      <c r="B355" s="3203" t="s">
        <v>3334</v>
      </c>
      <c r="C355" s="3204"/>
      <c r="D355" s="3100" t="s">
        <v>3542</v>
      </c>
      <c r="E355" s="3100" t="s">
        <v>463</v>
      </c>
      <c r="F355" s="3101">
        <v>50.26</v>
      </c>
      <c r="G355" s="3102" t="s">
        <v>3188</v>
      </c>
    </row>
    <row r="356" spans="1:7" ht="15" thickBot="1">
      <c r="A356" s="3099">
        <v>1009</v>
      </c>
      <c r="B356" s="3203" t="s">
        <v>3334</v>
      </c>
      <c r="C356" s="3204"/>
      <c r="D356" s="3100" t="s">
        <v>3543</v>
      </c>
      <c r="E356" s="3100" t="s">
        <v>463</v>
      </c>
      <c r="F356" s="3101">
        <v>50.21</v>
      </c>
      <c r="G356" s="3102" t="s">
        <v>3188</v>
      </c>
    </row>
    <row r="357" spans="1:7" ht="15" thickBot="1">
      <c r="A357" s="3099">
        <v>1010</v>
      </c>
      <c r="B357" s="3203" t="s">
        <v>3334</v>
      </c>
      <c r="C357" s="3204"/>
      <c r="D357" s="3100" t="s">
        <v>3544</v>
      </c>
      <c r="E357" s="3100" t="s">
        <v>463</v>
      </c>
      <c r="F357" s="3101">
        <v>49.96</v>
      </c>
      <c r="G357" s="3102" t="s">
        <v>3188</v>
      </c>
    </row>
    <row r="358" spans="1:7" ht="15" thickBot="1">
      <c r="A358" s="3099">
        <v>1011</v>
      </c>
      <c r="B358" s="3203" t="s">
        <v>3334</v>
      </c>
      <c r="C358" s="3204"/>
      <c r="D358" s="3100" t="s">
        <v>3545</v>
      </c>
      <c r="E358" s="3100" t="s">
        <v>463</v>
      </c>
      <c r="F358" s="3101">
        <v>50.72</v>
      </c>
      <c r="G358" s="3102" t="s">
        <v>3188</v>
      </c>
    </row>
    <row r="359" spans="1:7" ht="15" thickBot="1">
      <c r="A359" s="3099">
        <v>1012</v>
      </c>
      <c r="B359" s="3203" t="s">
        <v>3334</v>
      </c>
      <c r="C359" s="3204"/>
      <c r="D359" s="3100" t="s">
        <v>3546</v>
      </c>
      <c r="E359" s="3100" t="s">
        <v>463</v>
      </c>
      <c r="F359" s="3101">
        <v>50.28</v>
      </c>
      <c r="G359" s="3102" t="s">
        <v>3188</v>
      </c>
    </row>
    <row r="360" spans="1:7" ht="15" thickBot="1">
      <c r="A360" s="3099">
        <v>1013</v>
      </c>
      <c r="B360" s="3203" t="s">
        <v>3334</v>
      </c>
      <c r="C360" s="3204"/>
      <c r="D360" s="3100" t="s">
        <v>3547</v>
      </c>
      <c r="E360" s="3100" t="s">
        <v>463</v>
      </c>
      <c r="F360" s="3101">
        <v>64.44</v>
      </c>
      <c r="G360" s="3102" t="s">
        <v>3188</v>
      </c>
    </row>
    <row r="361" spans="1:7" ht="15" thickBot="1">
      <c r="A361" s="3099">
        <v>1014</v>
      </c>
      <c r="B361" s="3203" t="s">
        <v>3334</v>
      </c>
      <c r="C361" s="3204"/>
      <c r="D361" s="3100" t="s">
        <v>3548</v>
      </c>
      <c r="E361" s="3100" t="s">
        <v>463</v>
      </c>
      <c r="F361" s="3101">
        <v>64.44</v>
      </c>
      <c r="G361" s="3102" t="s">
        <v>3188</v>
      </c>
    </row>
    <row r="362" spans="1:7" ht="15" thickBot="1">
      <c r="A362" s="3099">
        <v>1015</v>
      </c>
      <c r="B362" s="3203" t="s">
        <v>3334</v>
      </c>
      <c r="C362" s="3204"/>
      <c r="D362" s="3100" t="s">
        <v>3549</v>
      </c>
      <c r="E362" s="3100" t="s">
        <v>463</v>
      </c>
      <c r="F362" s="3101">
        <v>50.26</v>
      </c>
      <c r="G362" s="3102" t="s">
        <v>3188</v>
      </c>
    </row>
    <row r="363" spans="1:7" ht="15" thickBot="1">
      <c r="A363" s="3099">
        <v>1016</v>
      </c>
      <c r="B363" s="3203" t="s">
        <v>3334</v>
      </c>
      <c r="C363" s="3204"/>
      <c r="D363" s="3100" t="s">
        <v>3550</v>
      </c>
      <c r="E363" s="3100" t="s">
        <v>463</v>
      </c>
      <c r="F363" s="3101">
        <v>50.21</v>
      </c>
      <c r="G363" s="3102" t="s">
        <v>3188</v>
      </c>
    </row>
    <row r="364" spans="1:7" ht="15" thickBot="1">
      <c r="A364" s="3099">
        <v>1017</v>
      </c>
      <c r="B364" s="3203" t="s">
        <v>3334</v>
      </c>
      <c r="C364" s="3204"/>
      <c r="D364" s="3100" t="s">
        <v>3551</v>
      </c>
      <c r="E364" s="3100" t="s">
        <v>463</v>
      </c>
      <c r="F364" s="3101">
        <v>49.96</v>
      </c>
      <c r="G364" s="3102" t="s">
        <v>3188</v>
      </c>
    </row>
    <row r="365" spans="1:7" ht="15" thickBot="1">
      <c r="A365" s="3099">
        <v>1018</v>
      </c>
      <c r="B365" s="3203" t="s">
        <v>3334</v>
      </c>
      <c r="C365" s="3204"/>
      <c r="D365" s="3100" t="s">
        <v>3552</v>
      </c>
      <c r="E365" s="3100" t="s">
        <v>463</v>
      </c>
      <c r="F365" s="3101">
        <v>50.21</v>
      </c>
      <c r="G365" s="3102" t="s">
        <v>3188</v>
      </c>
    </row>
    <row r="366" spans="1:7" ht="15" thickBot="1">
      <c r="A366" s="3099">
        <v>1019</v>
      </c>
      <c r="B366" s="3203" t="s">
        <v>3334</v>
      </c>
      <c r="C366" s="3204"/>
      <c r="D366" s="3100" t="s">
        <v>3553</v>
      </c>
      <c r="E366" s="3100" t="s">
        <v>463</v>
      </c>
      <c r="F366" s="3101">
        <v>50.39</v>
      </c>
      <c r="G366" s="3102" t="s">
        <v>3188</v>
      </c>
    </row>
    <row r="367" spans="1:7" ht="15" thickBot="1">
      <c r="A367" s="3099">
        <v>1020</v>
      </c>
      <c r="B367" s="3203" t="s">
        <v>3334</v>
      </c>
      <c r="C367" s="3204"/>
      <c r="D367" s="3100" t="s">
        <v>3554</v>
      </c>
      <c r="E367" s="3100" t="s">
        <v>463</v>
      </c>
      <c r="F367" s="3101">
        <v>50.04</v>
      </c>
      <c r="G367" s="3102" t="s">
        <v>3188</v>
      </c>
    </row>
    <row r="368" spans="1:7" ht="15" thickBot="1">
      <c r="A368" s="3099">
        <v>1021</v>
      </c>
      <c r="B368" s="3203" t="s">
        <v>3334</v>
      </c>
      <c r="C368" s="3204"/>
      <c r="D368" s="3100" t="s">
        <v>3555</v>
      </c>
      <c r="E368" s="3100" t="s">
        <v>463</v>
      </c>
      <c r="F368" s="3101">
        <v>50.21</v>
      </c>
      <c r="G368" s="3102" t="s">
        <v>3188</v>
      </c>
    </row>
    <row r="369" spans="1:7" ht="15" thickBot="1">
      <c r="A369" s="3099">
        <v>1022</v>
      </c>
      <c r="B369" s="3203" t="s">
        <v>3334</v>
      </c>
      <c r="C369" s="3204"/>
      <c r="D369" s="3100" t="s">
        <v>3556</v>
      </c>
      <c r="E369" s="3100" t="s">
        <v>463</v>
      </c>
      <c r="F369" s="3101">
        <v>50.39</v>
      </c>
      <c r="G369" s="3102" t="s">
        <v>3188</v>
      </c>
    </row>
    <row r="370" spans="1:7" ht="15" thickBot="1">
      <c r="A370" s="3099">
        <v>1023</v>
      </c>
      <c r="B370" s="3203" t="s">
        <v>3334</v>
      </c>
      <c r="C370" s="3204"/>
      <c r="D370" s="3100" t="s">
        <v>3557</v>
      </c>
      <c r="E370" s="3100" t="s">
        <v>463</v>
      </c>
      <c r="F370" s="3101">
        <v>50.04</v>
      </c>
      <c r="G370" s="3102" t="s">
        <v>3188</v>
      </c>
    </row>
    <row r="371" spans="1:7" ht="15" thickBot="1">
      <c r="A371" s="3099">
        <v>1024</v>
      </c>
      <c r="B371" s="3203" t="s">
        <v>3334</v>
      </c>
      <c r="C371" s="3204"/>
      <c r="D371" s="3100" t="s">
        <v>3558</v>
      </c>
      <c r="E371" s="3100" t="s">
        <v>463</v>
      </c>
      <c r="F371" s="3101">
        <v>50.21</v>
      </c>
      <c r="G371" s="3102" t="s">
        <v>3188</v>
      </c>
    </row>
    <row r="372" spans="1:7" ht="15" thickBot="1">
      <c r="A372" s="3099">
        <v>1025</v>
      </c>
      <c r="B372" s="3203" t="s">
        <v>3334</v>
      </c>
      <c r="C372" s="3204"/>
      <c r="D372" s="3100" t="s">
        <v>3559</v>
      </c>
      <c r="E372" s="3100" t="s">
        <v>463</v>
      </c>
      <c r="F372" s="3101">
        <v>50.39</v>
      </c>
      <c r="G372" s="3102" t="s">
        <v>3188</v>
      </c>
    </row>
    <row r="373" spans="1:7" ht="15" thickBot="1">
      <c r="A373" s="3099">
        <v>1026</v>
      </c>
      <c r="B373" s="3203" t="s">
        <v>3334</v>
      </c>
      <c r="C373" s="3204"/>
      <c r="D373" s="3100" t="s">
        <v>3560</v>
      </c>
      <c r="E373" s="3100" t="s">
        <v>463</v>
      </c>
      <c r="F373" s="3101">
        <v>50.04</v>
      </c>
      <c r="G373" s="3102" t="s">
        <v>3188</v>
      </c>
    </row>
    <row r="374" spans="1:7" ht="15" thickBot="1">
      <c r="A374" s="3099">
        <v>1027</v>
      </c>
      <c r="B374" s="3203" t="s">
        <v>3334</v>
      </c>
      <c r="C374" s="3204"/>
      <c r="D374" s="3100" t="s">
        <v>3561</v>
      </c>
      <c r="E374" s="3100" t="s">
        <v>463</v>
      </c>
      <c r="F374" s="3101">
        <v>50.21</v>
      </c>
      <c r="G374" s="3102" t="s">
        <v>3188</v>
      </c>
    </row>
    <row r="375" spans="1:7" ht="15" thickBot="1">
      <c r="A375" s="3099">
        <v>1028</v>
      </c>
      <c r="B375" s="3203" t="s">
        <v>3334</v>
      </c>
      <c r="C375" s="3204"/>
      <c r="D375" s="3100" t="s">
        <v>3562</v>
      </c>
      <c r="E375" s="3100" t="s">
        <v>463</v>
      </c>
      <c r="F375" s="3101">
        <v>50.39</v>
      </c>
      <c r="G375" s="3102" t="s">
        <v>3188</v>
      </c>
    </row>
    <row r="376" spans="1:7" ht="15" thickBot="1">
      <c r="A376" s="3099">
        <v>1029</v>
      </c>
      <c r="B376" s="3203" t="s">
        <v>3334</v>
      </c>
      <c r="C376" s="3204"/>
      <c r="D376" s="3100" t="s">
        <v>3563</v>
      </c>
      <c r="E376" s="3100" t="s">
        <v>463</v>
      </c>
      <c r="F376" s="3101">
        <v>50.04</v>
      </c>
      <c r="G376" s="3102" t="s">
        <v>3188</v>
      </c>
    </row>
    <row r="377" spans="1:7" ht="15" thickBot="1">
      <c r="A377" s="3099">
        <v>1030</v>
      </c>
      <c r="B377" s="3203" t="s">
        <v>3334</v>
      </c>
      <c r="C377" s="3204"/>
      <c r="D377" s="3100" t="s">
        <v>3564</v>
      </c>
      <c r="E377" s="3100" t="s">
        <v>463</v>
      </c>
      <c r="F377" s="3101">
        <v>50.21</v>
      </c>
      <c r="G377" s="3102" t="s">
        <v>3188</v>
      </c>
    </row>
    <row r="378" spans="1:7" ht="15" thickBot="1">
      <c r="A378" s="3099">
        <v>1031</v>
      </c>
      <c r="B378" s="3203" t="s">
        <v>3334</v>
      </c>
      <c r="C378" s="3204"/>
      <c r="D378" s="3100" t="s">
        <v>3565</v>
      </c>
      <c r="E378" s="3100" t="s">
        <v>463</v>
      </c>
      <c r="F378" s="3101">
        <v>50.39</v>
      </c>
      <c r="G378" s="3102" t="s">
        <v>3188</v>
      </c>
    </row>
    <row r="379" spans="1:7" ht="15" thickBot="1">
      <c r="A379" s="3099">
        <v>1032</v>
      </c>
      <c r="B379" s="3203" t="s">
        <v>3334</v>
      </c>
      <c r="C379" s="3204"/>
      <c r="D379" s="3100" t="s">
        <v>3566</v>
      </c>
      <c r="E379" s="3100" t="s">
        <v>463</v>
      </c>
      <c r="F379" s="3101">
        <v>50.04</v>
      </c>
      <c r="G379" s="3102" t="s">
        <v>3188</v>
      </c>
    </row>
    <row r="380" spans="1:7" ht="15" thickBot="1">
      <c r="A380" s="3099">
        <v>1033</v>
      </c>
      <c r="B380" s="3203" t="s">
        <v>3334</v>
      </c>
      <c r="C380" s="3204"/>
      <c r="D380" s="3100" t="s">
        <v>3567</v>
      </c>
      <c r="E380" s="3100" t="s">
        <v>463</v>
      </c>
      <c r="F380" s="3101">
        <v>50.21</v>
      </c>
      <c r="G380" s="3102" t="s">
        <v>3188</v>
      </c>
    </row>
    <row r="381" spans="1:7" ht="15" thickBot="1">
      <c r="A381" s="3099">
        <v>1034</v>
      </c>
      <c r="B381" s="3203" t="s">
        <v>3334</v>
      </c>
      <c r="C381" s="3204"/>
      <c r="D381" s="3100" t="s">
        <v>3568</v>
      </c>
      <c r="E381" s="3100" t="s">
        <v>463</v>
      </c>
      <c r="F381" s="3101">
        <v>50.39</v>
      </c>
      <c r="G381" s="3102" t="s">
        <v>3188</v>
      </c>
    </row>
    <row r="382" spans="1:7" ht="15" thickBot="1">
      <c r="A382" s="3099">
        <v>1035</v>
      </c>
      <c r="B382" s="3203" t="s">
        <v>3334</v>
      </c>
      <c r="C382" s="3204"/>
      <c r="D382" s="3100" t="s">
        <v>3569</v>
      </c>
      <c r="E382" s="3100" t="s">
        <v>463</v>
      </c>
      <c r="F382" s="3101">
        <v>50.04</v>
      </c>
      <c r="G382" s="3102" t="s">
        <v>3188</v>
      </c>
    </row>
    <row r="383" spans="1:7" ht="15" thickBot="1">
      <c r="A383" s="3099">
        <v>1036</v>
      </c>
      <c r="B383" s="3203" t="s">
        <v>3334</v>
      </c>
      <c r="C383" s="3204"/>
      <c r="D383" s="3100" t="s">
        <v>3570</v>
      </c>
      <c r="E383" s="3100" t="s">
        <v>463</v>
      </c>
      <c r="F383" s="3101">
        <v>50.21</v>
      </c>
      <c r="G383" s="3102" t="s">
        <v>3188</v>
      </c>
    </row>
    <row r="384" spans="1:7" ht="15" thickBot="1">
      <c r="A384" s="3099">
        <v>1037</v>
      </c>
      <c r="B384" s="3203" t="s">
        <v>3334</v>
      </c>
      <c r="C384" s="3204"/>
      <c r="D384" s="3100" t="s">
        <v>3571</v>
      </c>
      <c r="E384" s="3100" t="s">
        <v>463</v>
      </c>
      <c r="F384" s="3101">
        <v>50.39</v>
      </c>
      <c r="G384" s="3102" t="s">
        <v>3188</v>
      </c>
    </row>
    <row r="385" spans="1:7" ht="15" thickBot="1">
      <c r="A385" s="3099">
        <v>1038</v>
      </c>
      <c r="B385" s="3203" t="s">
        <v>3334</v>
      </c>
      <c r="C385" s="3204"/>
      <c r="D385" s="3100" t="s">
        <v>3572</v>
      </c>
      <c r="E385" s="3100" t="s">
        <v>463</v>
      </c>
      <c r="F385" s="3101">
        <v>50.04</v>
      </c>
      <c r="G385" s="3102" t="s">
        <v>3188</v>
      </c>
    </row>
    <row r="386" spans="1:7" ht="15" thickBot="1">
      <c r="A386" s="3099">
        <v>1039</v>
      </c>
      <c r="B386" s="3203" t="s">
        <v>3334</v>
      </c>
      <c r="C386" s="3204"/>
      <c r="D386" s="3100" t="s">
        <v>3573</v>
      </c>
      <c r="E386" s="3100" t="s">
        <v>463</v>
      </c>
      <c r="F386" s="3101">
        <v>50.21</v>
      </c>
      <c r="G386" s="3102" t="s">
        <v>3188</v>
      </c>
    </row>
    <row r="387" spans="1:7" ht="15" thickBot="1">
      <c r="A387" s="3099">
        <v>1040</v>
      </c>
      <c r="B387" s="3203" t="s">
        <v>3334</v>
      </c>
      <c r="C387" s="3204"/>
      <c r="D387" s="3100" t="s">
        <v>3574</v>
      </c>
      <c r="E387" s="3100" t="s">
        <v>463</v>
      </c>
      <c r="F387" s="3101">
        <v>50.39</v>
      </c>
      <c r="G387" s="3102" t="s">
        <v>3188</v>
      </c>
    </row>
    <row r="388" spans="1:7" ht="15" thickBot="1">
      <c r="A388" s="3099">
        <v>1041</v>
      </c>
      <c r="B388" s="3203" t="s">
        <v>3334</v>
      </c>
      <c r="C388" s="3204"/>
      <c r="D388" s="3100" t="s">
        <v>3575</v>
      </c>
      <c r="E388" s="3100" t="s">
        <v>463</v>
      </c>
      <c r="F388" s="3101">
        <v>50.68</v>
      </c>
      <c r="G388" s="3102" t="s">
        <v>3188</v>
      </c>
    </row>
    <row r="389" spans="1:7" ht="15" thickBot="1">
      <c r="A389" s="3099">
        <v>1042</v>
      </c>
      <c r="B389" s="3203" t="s">
        <v>3334</v>
      </c>
      <c r="C389" s="3204"/>
      <c r="D389" s="3100" t="s">
        <v>3576</v>
      </c>
      <c r="E389" s="3100" t="s">
        <v>463</v>
      </c>
      <c r="F389" s="3101">
        <v>50.21</v>
      </c>
      <c r="G389" s="3102" t="s">
        <v>3188</v>
      </c>
    </row>
    <row r="390" spans="1:7" ht="15" thickBot="1">
      <c r="A390" s="3099">
        <v>1043</v>
      </c>
      <c r="B390" s="3203" t="s">
        <v>3334</v>
      </c>
      <c r="C390" s="3204"/>
      <c r="D390" s="3100" t="s">
        <v>3577</v>
      </c>
      <c r="E390" s="3100" t="s">
        <v>463</v>
      </c>
      <c r="F390" s="3101">
        <v>50.39</v>
      </c>
      <c r="G390" s="3102" t="s">
        <v>3188</v>
      </c>
    </row>
    <row r="391" spans="1:7" ht="15" thickBot="1">
      <c r="A391" s="3099">
        <v>1044</v>
      </c>
      <c r="B391" s="3203" t="s">
        <v>3334</v>
      </c>
      <c r="C391" s="3204"/>
      <c r="D391" s="3100" t="s">
        <v>3578</v>
      </c>
      <c r="E391" s="3100" t="s">
        <v>463</v>
      </c>
      <c r="F391" s="3101">
        <v>50.68</v>
      </c>
      <c r="G391" s="3102" t="s">
        <v>3188</v>
      </c>
    </row>
    <row r="392" spans="1:7" ht="15" thickBot="1">
      <c r="A392" s="3099">
        <v>1045</v>
      </c>
      <c r="B392" s="3203" t="s">
        <v>3334</v>
      </c>
      <c r="C392" s="3204"/>
      <c r="D392" s="3100" t="s">
        <v>3579</v>
      </c>
      <c r="E392" s="3100" t="s">
        <v>463</v>
      </c>
      <c r="F392" s="3101">
        <v>50.21</v>
      </c>
      <c r="G392" s="3102" t="s">
        <v>3188</v>
      </c>
    </row>
    <row r="393" spans="1:7" ht="15" thickBot="1">
      <c r="A393" s="3099">
        <v>1046</v>
      </c>
      <c r="B393" s="3203" t="s">
        <v>3334</v>
      </c>
      <c r="C393" s="3204"/>
      <c r="D393" s="3100" t="s">
        <v>3580</v>
      </c>
      <c r="E393" s="3100" t="s">
        <v>463</v>
      </c>
      <c r="F393" s="3101">
        <v>50.39</v>
      </c>
      <c r="G393" s="3102" t="s">
        <v>3188</v>
      </c>
    </row>
    <row r="394" spans="1:7" ht="15" thickBot="1">
      <c r="A394" s="3099">
        <v>1047</v>
      </c>
      <c r="B394" s="3203" t="s">
        <v>3334</v>
      </c>
      <c r="C394" s="3204"/>
      <c r="D394" s="3100" t="s">
        <v>3581</v>
      </c>
      <c r="E394" s="3100" t="s">
        <v>463</v>
      </c>
      <c r="F394" s="3101">
        <v>50.68</v>
      </c>
      <c r="G394" s="3102" t="s">
        <v>3188</v>
      </c>
    </row>
    <row r="395" spans="1:7" ht="15" thickBot="1">
      <c r="A395" s="3099">
        <v>1048</v>
      </c>
      <c r="B395" s="3203" t="s">
        <v>3334</v>
      </c>
      <c r="C395" s="3204"/>
      <c r="D395" s="3100" t="s">
        <v>3582</v>
      </c>
      <c r="E395" s="3100" t="s">
        <v>463</v>
      </c>
      <c r="F395" s="3101">
        <v>50.21</v>
      </c>
      <c r="G395" s="3102" t="s">
        <v>3188</v>
      </c>
    </row>
    <row r="396" spans="1:7" ht="15" thickBot="1">
      <c r="A396" s="3099">
        <v>1049</v>
      </c>
      <c r="B396" s="3203" t="s">
        <v>3334</v>
      </c>
      <c r="C396" s="3204"/>
      <c r="D396" s="3100" t="s">
        <v>3583</v>
      </c>
      <c r="E396" s="3100" t="s">
        <v>463</v>
      </c>
      <c r="F396" s="3101">
        <v>50.39</v>
      </c>
      <c r="G396" s="3102" t="s">
        <v>3188</v>
      </c>
    </row>
    <row r="397" spans="1:7" ht="15" thickBot="1">
      <c r="A397" s="3099">
        <v>1050</v>
      </c>
      <c r="B397" s="3203" t="s">
        <v>3334</v>
      </c>
      <c r="C397" s="3204"/>
      <c r="D397" s="3100" t="s">
        <v>3584</v>
      </c>
      <c r="E397" s="3100" t="s">
        <v>463</v>
      </c>
      <c r="F397" s="3101">
        <v>50.68</v>
      </c>
      <c r="G397" s="3102" t="s">
        <v>3188</v>
      </c>
    </row>
    <row r="398" spans="1:7" ht="15" thickBot="1">
      <c r="A398" s="3099">
        <v>1051</v>
      </c>
      <c r="B398" s="3203" t="s">
        <v>3334</v>
      </c>
      <c r="C398" s="3204"/>
      <c r="D398" s="3100" t="s">
        <v>3585</v>
      </c>
      <c r="E398" s="3100" t="s">
        <v>463</v>
      </c>
      <c r="F398" s="3101">
        <v>50.04</v>
      </c>
      <c r="G398" s="3102" t="s">
        <v>3188</v>
      </c>
    </row>
    <row r="399" spans="1:7" ht="15" thickBot="1">
      <c r="A399" s="3099">
        <v>1052</v>
      </c>
      <c r="B399" s="3203" t="s">
        <v>3334</v>
      </c>
      <c r="C399" s="3204"/>
      <c r="D399" s="3100" t="s">
        <v>3586</v>
      </c>
      <c r="E399" s="3100" t="s">
        <v>463</v>
      </c>
      <c r="F399" s="3101">
        <v>50.39</v>
      </c>
      <c r="G399" s="3102" t="s">
        <v>3188</v>
      </c>
    </row>
    <row r="400" spans="1:7" ht="15" thickBot="1">
      <c r="A400" s="3099">
        <v>1053</v>
      </c>
      <c r="B400" s="3203" t="s">
        <v>3334</v>
      </c>
      <c r="C400" s="3204"/>
      <c r="D400" s="3100" t="s">
        <v>3587</v>
      </c>
      <c r="E400" s="3100" t="s">
        <v>463</v>
      </c>
      <c r="F400" s="3101">
        <v>50.68</v>
      </c>
      <c r="G400" s="3102" t="s">
        <v>3188</v>
      </c>
    </row>
    <row r="401" spans="1:7" ht="15" thickBot="1">
      <c r="A401" s="3099">
        <v>1054</v>
      </c>
      <c r="B401" s="3203" t="s">
        <v>3334</v>
      </c>
      <c r="C401" s="3204"/>
      <c r="D401" s="3100" t="s">
        <v>3588</v>
      </c>
      <c r="E401" s="3100" t="s">
        <v>463</v>
      </c>
      <c r="F401" s="3101">
        <v>50.39</v>
      </c>
      <c r="G401" s="3102" t="s">
        <v>3188</v>
      </c>
    </row>
    <row r="402" spans="1:7" ht="15" thickBot="1">
      <c r="A402" s="3099">
        <v>1055</v>
      </c>
      <c r="B402" s="3203" t="s">
        <v>3334</v>
      </c>
      <c r="C402" s="3204"/>
      <c r="D402" s="3100" t="s">
        <v>3589</v>
      </c>
      <c r="E402" s="3100" t="s">
        <v>463</v>
      </c>
      <c r="F402" s="3101">
        <v>50.68</v>
      </c>
      <c r="G402" s="3102" t="s">
        <v>3188</v>
      </c>
    </row>
    <row r="403" spans="1:7" ht="15" thickBot="1">
      <c r="A403" s="3099">
        <v>1056</v>
      </c>
      <c r="B403" s="3203" t="s">
        <v>3334</v>
      </c>
      <c r="C403" s="3204"/>
      <c r="D403" s="3100" t="s">
        <v>3590</v>
      </c>
      <c r="E403" s="3100" t="s">
        <v>463</v>
      </c>
      <c r="F403" s="3101">
        <v>50.39</v>
      </c>
      <c r="G403" s="3102" t="s">
        <v>3188</v>
      </c>
    </row>
    <row r="404" spans="1:7" ht="15" thickBot="1">
      <c r="A404" s="3099">
        <v>1057</v>
      </c>
      <c r="B404" s="3203" t="s">
        <v>3334</v>
      </c>
      <c r="C404" s="3204"/>
      <c r="D404" s="3100" t="s">
        <v>3591</v>
      </c>
      <c r="E404" s="3100" t="s">
        <v>463</v>
      </c>
      <c r="F404" s="3101">
        <v>50.68</v>
      </c>
      <c r="G404" s="3102" t="s">
        <v>3188</v>
      </c>
    </row>
    <row r="405" spans="1:7" ht="15" thickBot="1">
      <c r="A405" s="3099">
        <v>1058</v>
      </c>
      <c r="B405" s="3203" t="s">
        <v>3334</v>
      </c>
      <c r="C405" s="3204"/>
      <c r="D405" s="3100" t="s">
        <v>3592</v>
      </c>
      <c r="E405" s="3100" t="s">
        <v>463</v>
      </c>
      <c r="F405" s="3101">
        <v>50.39</v>
      </c>
      <c r="G405" s="3102" t="s">
        <v>3188</v>
      </c>
    </row>
    <row r="406" spans="1:7" ht="15" thickBot="1">
      <c r="A406" s="3099">
        <v>1059</v>
      </c>
      <c r="B406" s="3203" t="s">
        <v>3334</v>
      </c>
      <c r="C406" s="3204"/>
      <c r="D406" s="3100" t="s">
        <v>3593</v>
      </c>
      <c r="E406" s="3100" t="s">
        <v>463</v>
      </c>
      <c r="F406" s="3101">
        <v>50.68</v>
      </c>
      <c r="G406" s="3102" t="s">
        <v>3188</v>
      </c>
    </row>
    <row r="407" spans="1:7" ht="15" thickBot="1">
      <c r="A407" s="3099">
        <v>1060</v>
      </c>
      <c r="B407" s="3203" t="s">
        <v>3334</v>
      </c>
      <c r="C407" s="3204"/>
      <c r="D407" s="3100" t="s">
        <v>3594</v>
      </c>
      <c r="E407" s="3100" t="s">
        <v>463</v>
      </c>
      <c r="F407" s="3101">
        <v>50.39</v>
      </c>
      <c r="G407" s="3102" t="s">
        <v>3188</v>
      </c>
    </row>
    <row r="408" spans="1:7" ht="15" thickBot="1">
      <c r="A408" s="3099">
        <v>1061</v>
      </c>
      <c r="B408" s="3203" t="s">
        <v>3334</v>
      </c>
      <c r="C408" s="3204"/>
      <c r="D408" s="3100" t="s">
        <v>3595</v>
      </c>
      <c r="E408" s="3100" t="s">
        <v>463</v>
      </c>
      <c r="F408" s="3101">
        <v>50.04</v>
      </c>
      <c r="G408" s="3102" t="s">
        <v>3188</v>
      </c>
    </row>
    <row r="409" spans="1:7" ht="15" thickBot="1">
      <c r="A409" s="3099">
        <v>1062</v>
      </c>
      <c r="B409" s="3203" t="s">
        <v>3334</v>
      </c>
      <c r="C409" s="3204"/>
      <c r="D409" s="3100" t="s">
        <v>3596</v>
      </c>
      <c r="E409" s="3100" t="s">
        <v>463</v>
      </c>
      <c r="F409" s="3101">
        <v>50.39</v>
      </c>
      <c r="G409" s="3102" t="s">
        <v>3188</v>
      </c>
    </row>
    <row r="410" spans="1:7" ht="15" thickBot="1">
      <c r="A410" s="3099">
        <v>1063</v>
      </c>
      <c r="B410" s="3203" t="s">
        <v>3334</v>
      </c>
      <c r="C410" s="3204"/>
      <c r="D410" s="3100" t="s">
        <v>3597</v>
      </c>
      <c r="E410" s="3100" t="s">
        <v>463</v>
      </c>
      <c r="F410" s="3101">
        <v>51.37</v>
      </c>
      <c r="G410" s="3102" t="s">
        <v>3188</v>
      </c>
    </row>
    <row r="411" spans="1:7" ht="15" thickBot="1">
      <c r="A411" s="3099">
        <v>1065</v>
      </c>
      <c r="B411" s="3203" t="s">
        <v>3334</v>
      </c>
      <c r="C411" s="3204"/>
      <c r="D411" s="3100" t="s">
        <v>3598</v>
      </c>
      <c r="E411" s="3100" t="s">
        <v>463</v>
      </c>
      <c r="F411" s="3101">
        <v>88.64</v>
      </c>
      <c r="G411" s="3102" t="s">
        <v>3188</v>
      </c>
    </row>
    <row r="412" spans="1:7" ht="15" thickBot="1">
      <c r="A412" s="3099">
        <v>1066</v>
      </c>
      <c r="B412" s="3203" t="s">
        <v>3334</v>
      </c>
      <c r="C412" s="3204"/>
      <c r="D412" s="3100" t="s">
        <v>3599</v>
      </c>
      <c r="E412" s="3100" t="s">
        <v>463</v>
      </c>
      <c r="F412" s="3101">
        <v>51.66</v>
      </c>
      <c r="G412" s="3102" t="s">
        <v>3188</v>
      </c>
    </row>
    <row r="413" spans="1:7" ht="15" thickBot="1">
      <c r="A413" s="3099">
        <v>1067</v>
      </c>
      <c r="B413" s="3203" t="s">
        <v>3334</v>
      </c>
      <c r="C413" s="3204"/>
      <c r="D413" s="3100" t="s">
        <v>3600</v>
      </c>
      <c r="E413" s="3100" t="s">
        <v>463</v>
      </c>
      <c r="F413" s="3101">
        <v>61.29</v>
      </c>
      <c r="G413" s="3102" t="s">
        <v>3188</v>
      </c>
    </row>
    <row r="414" spans="1:7" ht="15" thickBot="1">
      <c r="A414" s="3099">
        <v>1068</v>
      </c>
      <c r="B414" s="3203" t="s">
        <v>3334</v>
      </c>
      <c r="C414" s="3204"/>
      <c r="D414" s="3100" t="s">
        <v>3601</v>
      </c>
      <c r="E414" s="3100" t="s">
        <v>463</v>
      </c>
      <c r="F414" s="3101">
        <v>88.77</v>
      </c>
      <c r="G414" s="3102" t="s">
        <v>3188</v>
      </c>
    </row>
    <row r="415" spans="1:7" ht="15" thickBot="1">
      <c r="A415" s="3099">
        <v>1069</v>
      </c>
      <c r="B415" s="3203" t="s">
        <v>3334</v>
      </c>
      <c r="C415" s="3204"/>
      <c r="D415" s="3100" t="s">
        <v>3602</v>
      </c>
      <c r="E415" s="3100" t="s">
        <v>463</v>
      </c>
      <c r="F415" s="3101">
        <v>51.66</v>
      </c>
      <c r="G415" s="3102" t="s">
        <v>3188</v>
      </c>
    </row>
    <row r="416" spans="1:7" ht="15" thickBot="1">
      <c r="A416" s="3099">
        <v>1070</v>
      </c>
      <c r="B416" s="3203" t="s">
        <v>3334</v>
      </c>
      <c r="C416" s="3204"/>
      <c r="D416" s="3100" t="s">
        <v>3603</v>
      </c>
      <c r="E416" s="3100" t="s">
        <v>463</v>
      </c>
      <c r="F416" s="3101">
        <v>61.29</v>
      </c>
      <c r="G416" s="3102" t="s">
        <v>3188</v>
      </c>
    </row>
    <row r="417" spans="1:7" ht="15" thickBot="1">
      <c r="A417" s="3099">
        <v>1071</v>
      </c>
      <c r="B417" s="3203" t="s">
        <v>3334</v>
      </c>
      <c r="C417" s="3204"/>
      <c r="D417" s="3100" t="s">
        <v>3604</v>
      </c>
      <c r="E417" s="3100" t="s">
        <v>463</v>
      </c>
      <c r="F417" s="3101">
        <v>88.77</v>
      </c>
      <c r="G417" s="3102" t="s">
        <v>3188</v>
      </c>
    </row>
    <row r="418" spans="1:7" ht="15" thickBot="1">
      <c r="A418" s="3099">
        <v>1072</v>
      </c>
      <c r="B418" s="3203" t="s">
        <v>3334</v>
      </c>
      <c r="C418" s="3204"/>
      <c r="D418" s="3100" t="s">
        <v>3605</v>
      </c>
      <c r="E418" s="3100" t="s">
        <v>463</v>
      </c>
      <c r="F418" s="3101">
        <v>51.66</v>
      </c>
      <c r="G418" s="3102" t="s">
        <v>3188</v>
      </c>
    </row>
    <row r="419" spans="1:7" ht="15" thickBot="1">
      <c r="A419" s="3099">
        <v>1074</v>
      </c>
      <c r="B419" s="3203" t="s">
        <v>3334</v>
      </c>
      <c r="C419" s="3204"/>
      <c r="D419" s="3100" t="s">
        <v>3606</v>
      </c>
      <c r="E419" s="3100" t="s">
        <v>463</v>
      </c>
      <c r="F419" s="3101">
        <v>88.77</v>
      </c>
      <c r="G419" s="3102" t="s">
        <v>3188</v>
      </c>
    </row>
    <row r="420" spans="1:7" ht="15" thickBot="1">
      <c r="A420" s="3099">
        <v>1075</v>
      </c>
      <c r="B420" s="3203" t="s">
        <v>3334</v>
      </c>
      <c r="C420" s="3204"/>
      <c r="D420" s="3100" t="s">
        <v>3607</v>
      </c>
      <c r="E420" s="3100" t="s">
        <v>463</v>
      </c>
      <c r="F420" s="3101">
        <v>51.66</v>
      </c>
      <c r="G420" s="3102" t="s">
        <v>3188</v>
      </c>
    </row>
    <row r="421" spans="1:7" ht="15" thickBot="1">
      <c r="A421" s="3099">
        <v>1077</v>
      </c>
      <c r="B421" s="3203" t="s">
        <v>3334</v>
      </c>
      <c r="C421" s="3204"/>
      <c r="D421" s="3100" t="s">
        <v>3608</v>
      </c>
      <c r="E421" s="3100" t="s">
        <v>463</v>
      </c>
      <c r="F421" s="3101">
        <v>88.77</v>
      </c>
      <c r="G421" s="3102" t="s">
        <v>3188</v>
      </c>
    </row>
    <row r="422" spans="1:7" ht="15" thickBot="1">
      <c r="A422" s="3099">
        <v>1078</v>
      </c>
      <c r="B422" s="3203" t="s">
        <v>3334</v>
      </c>
      <c r="C422" s="3204"/>
      <c r="D422" s="3100" t="s">
        <v>3609</v>
      </c>
      <c r="E422" s="3100" t="s">
        <v>463</v>
      </c>
      <c r="F422" s="3101">
        <v>51.66</v>
      </c>
      <c r="G422" s="3102" t="s">
        <v>3188</v>
      </c>
    </row>
    <row r="423" spans="1:7" ht="15" thickBot="1">
      <c r="A423" s="3099">
        <v>1080</v>
      </c>
      <c r="B423" s="3203" t="s">
        <v>3334</v>
      </c>
      <c r="C423" s="3204"/>
      <c r="D423" s="3100" t="s">
        <v>3610</v>
      </c>
      <c r="E423" s="3100" t="s">
        <v>463</v>
      </c>
      <c r="F423" s="3101">
        <v>88.77</v>
      </c>
      <c r="G423" s="3102" t="s">
        <v>3188</v>
      </c>
    </row>
    <row r="424" spans="1:7" ht="15" thickBot="1">
      <c r="A424" s="3099">
        <v>1081</v>
      </c>
      <c r="B424" s="3203" t="s">
        <v>3334</v>
      </c>
      <c r="C424" s="3204"/>
      <c r="D424" s="3100" t="s">
        <v>3611</v>
      </c>
      <c r="E424" s="3100" t="s">
        <v>463</v>
      </c>
      <c r="F424" s="3101">
        <v>51.66</v>
      </c>
      <c r="G424" s="3102" t="s">
        <v>3188</v>
      </c>
    </row>
    <row r="425" spans="1:7" ht="15" thickBot="1">
      <c r="A425" s="3099">
        <v>1082</v>
      </c>
      <c r="B425" s="3203" t="s">
        <v>3334</v>
      </c>
      <c r="C425" s="3204"/>
      <c r="D425" s="3100" t="s">
        <v>3612</v>
      </c>
      <c r="E425" s="3100" t="s">
        <v>463</v>
      </c>
      <c r="F425" s="3101">
        <v>88.77</v>
      </c>
      <c r="G425" s="3102" t="s">
        <v>3188</v>
      </c>
    </row>
    <row r="426" spans="1:7" ht="15" thickBot="1">
      <c r="A426" s="3099">
        <v>1083</v>
      </c>
      <c r="B426" s="3203" t="s">
        <v>3334</v>
      </c>
      <c r="C426" s="3204"/>
      <c r="D426" s="3100" t="s">
        <v>3613</v>
      </c>
      <c r="E426" s="3100" t="s">
        <v>463</v>
      </c>
      <c r="F426" s="3101">
        <v>51.66</v>
      </c>
      <c r="G426" s="3102" t="s">
        <v>3188</v>
      </c>
    </row>
    <row r="427" spans="1:7" ht="15" thickBot="1">
      <c r="A427" s="3099">
        <v>1084</v>
      </c>
      <c r="B427" s="3203" t="s">
        <v>3334</v>
      </c>
      <c r="C427" s="3204"/>
      <c r="D427" s="3100" t="s">
        <v>3614</v>
      </c>
      <c r="E427" s="3100" t="s">
        <v>463</v>
      </c>
      <c r="F427" s="3101">
        <v>88.77</v>
      </c>
      <c r="G427" s="3102" t="s">
        <v>3188</v>
      </c>
    </row>
    <row r="428" spans="1:7" ht="15" thickBot="1">
      <c r="A428" s="3099">
        <v>1085</v>
      </c>
      <c r="B428" s="3203" t="s">
        <v>3334</v>
      </c>
      <c r="C428" s="3204"/>
      <c r="D428" s="3100" t="s">
        <v>3615</v>
      </c>
      <c r="E428" s="3100" t="s">
        <v>463</v>
      </c>
      <c r="F428" s="3101">
        <v>51.66</v>
      </c>
      <c r="G428" s="3102" t="s">
        <v>3188</v>
      </c>
    </row>
    <row r="429" spans="1:7" ht="15" thickBot="1">
      <c r="A429" s="3099">
        <v>1086</v>
      </c>
      <c r="B429" s="3203" t="s">
        <v>3334</v>
      </c>
      <c r="C429" s="3204"/>
      <c r="D429" s="3100" t="s">
        <v>3616</v>
      </c>
      <c r="E429" s="3100" t="s">
        <v>463</v>
      </c>
      <c r="F429" s="3101">
        <v>88.77</v>
      </c>
      <c r="G429" s="3102" t="s">
        <v>3188</v>
      </c>
    </row>
    <row r="430" spans="1:7" ht="15" thickBot="1">
      <c r="A430" s="3099">
        <v>1087</v>
      </c>
      <c r="B430" s="3203" t="s">
        <v>3334</v>
      </c>
      <c r="C430" s="3204"/>
      <c r="D430" s="3100" t="s">
        <v>3617</v>
      </c>
      <c r="E430" s="3100" t="s">
        <v>463</v>
      </c>
      <c r="F430" s="3101">
        <v>51.66</v>
      </c>
      <c r="G430" s="3102" t="s">
        <v>3188</v>
      </c>
    </row>
    <row r="431" spans="1:7" ht="15" thickBot="1">
      <c r="A431" s="3099">
        <v>1089</v>
      </c>
      <c r="B431" s="3203" t="s">
        <v>3334</v>
      </c>
      <c r="C431" s="3204"/>
      <c r="D431" s="3100" t="s">
        <v>3618</v>
      </c>
      <c r="E431" s="3100" t="s">
        <v>463</v>
      </c>
      <c r="F431" s="3101">
        <v>88.77</v>
      </c>
      <c r="G431" s="3102" t="s">
        <v>3188</v>
      </c>
    </row>
    <row r="432" spans="1:7" ht="15" thickBot="1">
      <c r="A432" s="3099">
        <v>1090</v>
      </c>
      <c r="B432" s="3203" t="s">
        <v>3334</v>
      </c>
      <c r="C432" s="3204"/>
      <c r="D432" s="3100" t="s">
        <v>3619</v>
      </c>
      <c r="E432" s="3100" t="s">
        <v>463</v>
      </c>
      <c r="F432" s="3101">
        <v>51.66</v>
      </c>
      <c r="G432" s="3102" t="s">
        <v>3188</v>
      </c>
    </row>
    <row r="433" spans="1:7" ht="15" thickBot="1">
      <c r="A433" s="3099">
        <v>1091</v>
      </c>
      <c r="B433" s="3203" t="s">
        <v>3334</v>
      </c>
      <c r="C433" s="3204"/>
      <c r="D433" s="3100" t="s">
        <v>3620</v>
      </c>
      <c r="E433" s="3100" t="s">
        <v>463</v>
      </c>
      <c r="F433" s="3101">
        <v>88.77</v>
      </c>
      <c r="G433" s="3102" t="s">
        <v>3188</v>
      </c>
    </row>
    <row r="434" spans="1:7" ht="15" thickBot="1">
      <c r="A434" s="3099">
        <v>1092</v>
      </c>
      <c r="B434" s="3203" t="s">
        <v>3334</v>
      </c>
      <c r="C434" s="3204"/>
      <c r="D434" s="3100" t="s">
        <v>3621</v>
      </c>
      <c r="E434" s="3100" t="s">
        <v>463</v>
      </c>
      <c r="F434" s="3101">
        <v>88.64</v>
      </c>
      <c r="G434" s="3102" t="s">
        <v>3188</v>
      </c>
    </row>
    <row r="435" spans="1:7" ht="15" thickBot="1">
      <c r="A435" s="3099">
        <v>1093</v>
      </c>
      <c r="B435" s="3203" t="s">
        <v>3334</v>
      </c>
      <c r="C435" s="3204"/>
      <c r="D435" s="3100" t="s">
        <v>3622</v>
      </c>
      <c r="E435" s="3100" t="s">
        <v>463</v>
      </c>
      <c r="F435" s="3101">
        <v>88.77</v>
      </c>
      <c r="G435" s="3102" t="s">
        <v>3188</v>
      </c>
    </row>
    <row r="436" spans="1:7" ht="15" thickBot="1">
      <c r="A436" s="3099">
        <v>1094</v>
      </c>
      <c r="B436" s="3203" t="s">
        <v>3334</v>
      </c>
      <c r="C436" s="3204"/>
      <c r="D436" s="3100" t="s">
        <v>3623</v>
      </c>
      <c r="E436" s="3100" t="s">
        <v>463</v>
      </c>
      <c r="F436" s="3101">
        <v>88.77</v>
      </c>
      <c r="G436" s="3102" t="s">
        <v>3188</v>
      </c>
    </row>
    <row r="437" spans="1:7" ht="15" thickBot="1">
      <c r="A437" s="3099">
        <v>1095</v>
      </c>
      <c r="B437" s="3203" t="s">
        <v>3334</v>
      </c>
      <c r="C437" s="3204"/>
      <c r="D437" s="3100" t="s">
        <v>3624</v>
      </c>
      <c r="E437" s="3100" t="s">
        <v>463</v>
      </c>
      <c r="F437" s="3101">
        <v>88.77</v>
      </c>
      <c r="G437" s="3102" t="s">
        <v>3188</v>
      </c>
    </row>
    <row r="438" spans="1:7" ht="15" thickBot="1">
      <c r="A438" s="3099">
        <v>1096</v>
      </c>
      <c r="B438" s="3203" t="s">
        <v>3334</v>
      </c>
      <c r="C438" s="3204"/>
      <c r="D438" s="3100" t="s">
        <v>3625</v>
      </c>
      <c r="E438" s="3100" t="s">
        <v>463</v>
      </c>
      <c r="F438" s="3101">
        <v>88.77</v>
      </c>
      <c r="G438" s="3102" t="s">
        <v>3188</v>
      </c>
    </row>
    <row r="439" spans="1:7" ht="15" thickBot="1">
      <c r="A439" s="3099">
        <v>1097</v>
      </c>
      <c r="B439" s="3203" t="s">
        <v>3334</v>
      </c>
      <c r="C439" s="3204"/>
      <c r="D439" s="3100" t="s">
        <v>3626</v>
      </c>
      <c r="E439" s="3100" t="s">
        <v>463</v>
      </c>
      <c r="F439" s="3101">
        <v>88.77</v>
      </c>
      <c r="G439" s="3102" t="s">
        <v>3188</v>
      </c>
    </row>
    <row r="440" spans="1:7" ht="15" thickBot="1">
      <c r="A440" s="3099">
        <v>1098</v>
      </c>
      <c r="B440" s="3203" t="s">
        <v>3334</v>
      </c>
      <c r="C440" s="3204"/>
      <c r="D440" s="3100" t="s">
        <v>3627</v>
      </c>
      <c r="E440" s="3100" t="s">
        <v>463</v>
      </c>
      <c r="F440" s="3101">
        <v>88.77</v>
      </c>
      <c r="G440" s="3102" t="s">
        <v>3188</v>
      </c>
    </row>
    <row r="441" spans="1:7" ht="15" thickBot="1">
      <c r="A441" s="3099">
        <v>1099</v>
      </c>
      <c r="B441" s="3203" t="s">
        <v>3334</v>
      </c>
      <c r="C441" s="3204"/>
      <c r="D441" s="3100" t="s">
        <v>3628</v>
      </c>
      <c r="E441" s="3100" t="s">
        <v>463</v>
      </c>
      <c r="F441" s="3101">
        <v>88.77</v>
      </c>
      <c r="G441" s="3102" t="s">
        <v>3188</v>
      </c>
    </row>
    <row r="442" spans="1:7" ht="15" thickBot="1">
      <c r="A442" s="3099">
        <v>1100</v>
      </c>
      <c r="B442" s="3203" t="s">
        <v>3334</v>
      </c>
      <c r="C442" s="3204"/>
      <c r="D442" s="3100" t="s">
        <v>3629</v>
      </c>
      <c r="E442" s="3100" t="s">
        <v>463</v>
      </c>
      <c r="F442" s="3101">
        <v>88.77</v>
      </c>
      <c r="G442" s="3102" t="s">
        <v>3188</v>
      </c>
    </row>
    <row r="443" spans="1:7" ht="15" thickBot="1">
      <c r="A443" s="3099">
        <v>1101</v>
      </c>
      <c r="B443" s="3203" t="s">
        <v>3334</v>
      </c>
      <c r="C443" s="3204"/>
      <c r="D443" s="3100" t="s">
        <v>3630</v>
      </c>
      <c r="E443" s="3100" t="s">
        <v>463</v>
      </c>
      <c r="F443" s="3101">
        <v>88.77</v>
      </c>
      <c r="G443" s="3102" t="s">
        <v>3188</v>
      </c>
    </row>
    <row r="444" spans="1:7" ht="15" thickBot="1">
      <c r="A444" s="3099">
        <v>1102</v>
      </c>
      <c r="B444" s="3203" t="s">
        <v>3334</v>
      </c>
      <c r="C444" s="3204"/>
      <c r="D444" s="3100" t="s">
        <v>3631</v>
      </c>
      <c r="E444" s="3100" t="s">
        <v>463</v>
      </c>
      <c r="F444" s="3101">
        <v>88.77</v>
      </c>
      <c r="G444" s="3102" t="s">
        <v>3188</v>
      </c>
    </row>
    <row r="445" spans="1:7" ht="15" thickBot="1">
      <c r="A445" s="3099">
        <v>1104</v>
      </c>
      <c r="B445" s="3203" t="s">
        <v>3334</v>
      </c>
      <c r="C445" s="3204"/>
      <c r="D445" s="3100" t="s">
        <v>3632</v>
      </c>
      <c r="E445" s="3100" t="s">
        <v>463</v>
      </c>
      <c r="F445" s="3101">
        <v>88.77</v>
      </c>
      <c r="G445" s="3102" t="s">
        <v>3188</v>
      </c>
    </row>
    <row r="446" spans="1:7" ht="15" thickBot="1">
      <c r="A446" s="3099">
        <v>1105</v>
      </c>
      <c r="B446" s="3203" t="s">
        <v>3334</v>
      </c>
      <c r="C446" s="3204"/>
      <c r="D446" s="3100" t="s">
        <v>3633</v>
      </c>
      <c r="E446" s="3100" t="s">
        <v>463</v>
      </c>
      <c r="F446" s="3101">
        <v>88.77</v>
      </c>
      <c r="G446" s="3102" t="s">
        <v>3188</v>
      </c>
    </row>
    <row r="447" spans="1:7" ht="15" thickBot="1">
      <c r="A447" s="3099">
        <v>1106</v>
      </c>
      <c r="B447" s="3203" t="s">
        <v>3334</v>
      </c>
      <c r="C447" s="3204"/>
      <c r="D447" s="3100" t="s">
        <v>3634</v>
      </c>
      <c r="E447" s="3100" t="s">
        <v>463</v>
      </c>
      <c r="F447" s="3101">
        <v>88.77</v>
      </c>
      <c r="G447" s="3102" t="s">
        <v>3188</v>
      </c>
    </row>
    <row r="448" spans="1:7" ht="15" thickBot="1">
      <c r="A448" s="3099">
        <v>1107</v>
      </c>
      <c r="B448" s="3203" t="s">
        <v>3334</v>
      </c>
      <c r="C448" s="3204"/>
      <c r="D448" s="3100" t="s">
        <v>3635</v>
      </c>
      <c r="E448" s="3100" t="s">
        <v>463</v>
      </c>
      <c r="F448" s="3101">
        <v>88.77</v>
      </c>
      <c r="G448" s="3102" t="s">
        <v>3188</v>
      </c>
    </row>
    <row r="449" spans="1:7" ht="15" thickBot="1">
      <c r="A449" s="3099">
        <v>1108</v>
      </c>
      <c r="B449" s="3203" t="s">
        <v>3334</v>
      </c>
      <c r="C449" s="3204"/>
      <c r="D449" s="3100" t="s">
        <v>3636</v>
      </c>
      <c r="E449" s="3100" t="s">
        <v>463</v>
      </c>
      <c r="F449" s="3101">
        <v>88.77</v>
      </c>
      <c r="G449" s="3102" t="s">
        <v>3188</v>
      </c>
    </row>
    <row r="450" spans="1:7" ht="15" thickBot="1">
      <c r="A450" s="3099">
        <v>1109</v>
      </c>
      <c r="B450" s="3203" t="s">
        <v>3334</v>
      </c>
      <c r="C450" s="3204"/>
      <c r="D450" s="3100" t="s">
        <v>3637</v>
      </c>
      <c r="E450" s="3100" t="s">
        <v>463</v>
      </c>
      <c r="F450" s="3101">
        <v>88.77</v>
      </c>
      <c r="G450" s="3102" t="s">
        <v>3188</v>
      </c>
    </row>
    <row r="451" spans="1:7" ht="15" thickBot="1">
      <c r="A451" s="3099">
        <v>1110</v>
      </c>
      <c r="B451" s="3203" t="s">
        <v>3334</v>
      </c>
      <c r="C451" s="3204"/>
      <c r="D451" s="3100" t="s">
        <v>3638</v>
      </c>
      <c r="E451" s="3100" t="s">
        <v>463</v>
      </c>
      <c r="F451" s="3101">
        <v>88.77</v>
      </c>
      <c r="G451" s="3102" t="s">
        <v>3188</v>
      </c>
    </row>
    <row r="452" spans="1:7" ht="15" thickBot="1">
      <c r="A452" s="3099">
        <v>1112</v>
      </c>
      <c r="B452" s="3203" t="s">
        <v>3334</v>
      </c>
      <c r="C452" s="3204"/>
      <c r="D452" s="3100" t="s">
        <v>3639</v>
      </c>
      <c r="E452" s="3100" t="s">
        <v>463</v>
      </c>
      <c r="F452" s="3101">
        <v>88.77</v>
      </c>
      <c r="G452" s="3102" t="s">
        <v>3188</v>
      </c>
    </row>
    <row r="453" spans="1:7" ht="15" thickBot="1">
      <c r="A453" s="3099">
        <v>1113</v>
      </c>
      <c r="B453" s="3203" t="s">
        <v>3334</v>
      </c>
      <c r="C453" s="3204"/>
      <c r="D453" s="3100" t="s">
        <v>3640</v>
      </c>
      <c r="E453" s="3100" t="s">
        <v>463</v>
      </c>
      <c r="F453" s="3101">
        <v>88.77</v>
      </c>
      <c r="G453" s="3102" t="s">
        <v>3188</v>
      </c>
    </row>
    <row r="454" spans="1:7" ht="15" thickBot="1">
      <c r="A454" s="3099">
        <v>1114</v>
      </c>
      <c r="B454" s="3203" t="s">
        <v>3334</v>
      </c>
      <c r="C454" s="3204"/>
      <c r="D454" s="3100" t="s">
        <v>3641</v>
      </c>
      <c r="E454" s="3100" t="s">
        <v>463</v>
      </c>
      <c r="F454" s="3101">
        <v>88.77</v>
      </c>
      <c r="G454" s="3102" t="s">
        <v>3188</v>
      </c>
    </row>
    <row r="455" spans="1:7" ht="15" thickBot="1">
      <c r="A455" s="3099">
        <v>1115</v>
      </c>
      <c r="B455" s="3203" t="s">
        <v>3334</v>
      </c>
      <c r="C455" s="3204"/>
      <c r="D455" s="3100" t="s">
        <v>3642</v>
      </c>
      <c r="E455" s="3100" t="s">
        <v>463</v>
      </c>
      <c r="F455" s="3101">
        <v>88.64</v>
      </c>
      <c r="G455" s="3102" t="s">
        <v>3188</v>
      </c>
    </row>
    <row r="456" spans="1:7" ht="15" thickBot="1">
      <c r="A456" s="3099">
        <v>1116</v>
      </c>
      <c r="B456" s="3203" t="s">
        <v>3334</v>
      </c>
      <c r="C456" s="3204"/>
      <c r="D456" s="3100" t="s">
        <v>3643</v>
      </c>
      <c r="E456" s="3100" t="s">
        <v>463</v>
      </c>
      <c r="F456" s="3101">
        <v>88.77</v>
      </c>
      <c r="G456" s="3102" t="s">
        <v>3188</v>
      </c>
    </row>
    <row r="457" spans="1:7" ht="15" thickBot="1">
      <c r="A457" s="3099">
        <v>1117</v>
      </c>
      <c r="B457" s="3203" t="s">
        <v>3334</v>
      </c>
      <c r="C457" s="3204"/>
      <c r="D457" s="3100" t="s">
        <v>3644</v>
      </c>
      <c r="E457" s="3100" t="s">
        <v>463</v>
      </c>
      <c r="F457" s="3101">
        <v>88.77</v>
      </c>
      <c r="G457" s="3102" t="s">
        <v>3188</v>
      </c>
    </row>
    <row r="458" spans="1:7" ht="15" thickBot="1">
      <c r="A458" s="3099">
        <v>1118</v>
      </c>
      <c r="B458" s="3203" t="s">
        <v>3334</v>
      </c>
      <c r="C458" s="3204"/>
      <c r="D458" s="3100" t="s">
        <v>3645</v>
      </c>
      <c r="E458" s="3100" t="s">
        <v>463</v>
      </c>
      <c r="F458" s="3101">
        <v>88.77</v>
      </c>
      <c r="G458" s="3102" t="s">
        <v>3188</v>
      </c>
    </row>
    <row r="459" spans="1:7" ht="15" thickBot="1">
      <c r="A459" s="3099">
        <v>1119</v>
      </c>
      <c r="B459" s="3203" t="s">
        <v>3334</v>
      </c>
      <c r="C459" s="3204"/>
      <c r="D459" s="3100" t="s">
        <v>3646</v>
      </c>
      <c r="E459" s="3100" t="s">
        <v>463</v>
      </c>
      <c r="F459" s="3101">
        <v>88.77</v>
      </c>
      <c r="G459" s="3102" t="s">
        <v>3188</v>
      </c>
    </row>
    <row r="460" spans="1:7" ht="15" thickBot="1">
      <c r="A460" s="3099">
        <v>1120</v>
      </c>
      <c r="B460" s="3203" t="s">
        <v>3334</v>
      </c>
      <c r="C460" s="3204"/>
      <c r="D460" s="3100" t="s">
        <v>3647</v>
      </c>
      <c r="E460" s="3100" t="s">
        <v>463</v>
      </c>
      <c r="F460" s="3101">
        <v>88.77</v>
      </c>
      <c r="G460" s="3102" t="s">
        <v>3188</v>
      </c>
    </row>
    <row r="461" spans="1:7" ht="15" thickBot="1">
      <c r="A461" s="3099">
        <v>1121</v>
      </c>
      <c r="B461" s="3203" t="s">
        <v>3334</v>
      </c>
      <c r="C461" s="3204"/>
      <c r="D461" s="3100" t="s">
        <v>3648</v>
      </c>
      <c r="E461" s="3100" t="s">
        <v>463</v>
      </c>
      <c r="F461" s="3101">
        <v>88.77</v>
      </c>
      <c r="G461" s="3102" t="s">
        <v>3188</v>
      </c>
    </row>
    <row r="462" spans="1:7" ht="15" thickBot="1">
      <c r="A462" s="3099">
        <v>1122</v>
      </c>
      <c r="B462" s="3203" t="s">
        <v>3334</v>
      </c>
      <c r="C462" s="3204"/>
      <c r="D462" s="3100" t="s">
        <v>3649</v>
      </c>
      <c r="E462" s="3100" t="s">
        <v>463</v>
      </c>
      <c r="F462" s="3101">
        <v>88.77</v>
      </c>
      <c r="G462" s="3102" t="s">
        <v>3188</v>
      </c>
    </row>
    <row r="463" spans="1:7" ht="15" thickBot="1">
      <c r="A463" s="3099">
        <v>1123</v>
      </c>
      <c r="B463" s="3203" t="s">
        <v>3334</v>
      </c>
      <c r="C463" s="3204"/>
      <c r="D463" s="3100" t="s">
        <v>3650</v>
      </c>
      <c r="E463" s="3100" t="s">
        <v>463</v>
      </c>
      <c r="F463" s="3101">
        <v>88.77</v>
      </c>
      <c r="G463" s="3102" t="s">
        <v>3188</v>
      </c>
    </row>
    <row r="464" spans="1:7" ht="15" thickBot="1">
      <c r="A464" s="3099">
        <v>1124</v>
      </c>
      <c r="B464" s="3203" t="s">
        <v>3334</v>
      </c>
      <c r="C464" s="3204"/>
      <c r="D464" s="3100" t="s">
        <v>3651</v>
      </c>
      <c r="E464" s="3100" t="s">
        <v>463</v>
      </c>
      <c r="F464" s="3101">
        <v>88.77</v>
      </c>
      <c r="G464" s="3102" t="s">
        <v>3188</v>
      </c>
    </row>
    <row r="465" spans="1:7" ht="15" thickBot="1">
      <c r="A465" s="3099">
        <v>1125</v>
      </c>
      <c r="B465" s="3203" t="s">
        <v>3334</v>
      </c>
      <c r="C465" s="3204"/>
      <c r="D465" s="3100" t="s">
        <v>3652</v>
      </c>
      <c r="E465" s="3100" t="s">
        <v>463</v>
      </c>
      <c r="F465" s="3101">
        <v>88.77</v>
      </c>
      <c r="G465" s="3102" t="s">
        <v>3188</v>
      </c>
    </row>
    <row r="466" spans="1:7" ht="15" thickBot="1">
      <c r="A466" s="3099">
        <v>1128</v>
      </c>
      <c r="B466" s="3203" t="s">
        <v>3334</v>
      </c>
      <c r="C466" s="3204"/>
      <c r="D466" s="3100" t="s">
        <v>3653</v>
      </c>
      <c r="E466" s="3100" t="s">
        <v>463</v>
      </c>
      <c r="F466" s="3101">
        <v>88.77</v>
      </c>
      <c r="G466" s="3102" t="s">
        <v>3188</v>
      </c>
    </row>
    <row r="467" spans="1:7" ht="15" thickBot="1">
      <c r="A467" s="3099">
        <v>1129</v>
      </c>
      <c r="B467" s="3203" t="s">
        <v>3334</v>
      </c>
      <c r="C467" s="3204"/>
      <c r="D467" s="3100" t="s">
        <v>3654</v>
      </c>
      <c r="E467" s="3100" t="s">
        <v>463</v>
      </c>
      <c r="F467" s="3101">
        <v>88.77</v>
      </c>
      <c r="G467" s="3102" t="s">
        <v>3188</v>
      </c>
    </row>
    <row r="468" spans="1:7" ht="15" thickBot="1">
      <c r="A468" s="3099">
        <v>1132</v>
      </c>
      <c r="B468" s="3203" t="s">
        <v>3334</v>
      </c>
      <c r="C468" s="3204"/>
      <c r="D468" s="3100" t="s">
        <v>3655</v>
      </c>
      <c r="E468" s="3100" t="s">
        <v>463</v>
      </c>
      <c r="F468" s="3101">
        <v>88.77</v>
      </c>
      <c r="G468" s="3102" t="s">
        <v>3188</v>
      </c>
    </row>
    <row r="469" spans="1:7" ht="15" thickBot="1">
      <c r="A469" s="3099">
        <v>1133</v>
      </c>
      <c r="B469" s="3203" t="s">
        <v>3334</v>
      </c>
      <c r="C469" s="3204"/>
      <c r="D469" s="3100" t="s">
        <v>3656</v>
      </c>
      <c r="E469" s="3100" t="s">
        <v>463</v>
      </c>
      <c r="F469" s="3101">
        <v>88.64</v>
      </c>
      <c r="G469" s="3102" t="s">
        <v>3188</v>
      </c>
    </row>
    <row r="470" spans="1:7" ht="15" thickBot="1">
      <c r="A470" s="3099">
        <v>1134</v>
      </c>
      <c r="B470" s="3203" t="s">
        <v>3334</v>
      </c>
      <c r="C470" s="3204"/>
      <c r="D470" s="3100" t="s">
        <v>3657</v>
      </c>
      <c r="E470" s="3100" t="s">
        <v>463</v>
      </c>
      <c r="F470" s="3101">
        <v>61.29</v>
      </c>
      <c r="G470" s="3102" t="s">
        <v>3188</v>
      </c>
    </row>
    <row r="471" spans="1:7" ht="15" thickBot="1">
      <c r="A471" s="3099">
        <v>1135</v>
      </c>
      <c r="B471" s="3203" t="s">
        <v>3334</v>
      </c>
      <c r="C471" s="3204"/>
      <c r="D471" s="3100" t="s">
        <v>3658</v>
      </c>
      <c r="E471" s="3100" t="s">
        <v>463</v>
      </c>
      <c r="F471" s="3101">
        <v>51.37</v>
      </c>
      <c r="G471" s="3102" t="s">
        <v>3188</v>
      </c>
    </row>
    <row r="472" spans="1:7" ht="15" thickBot="1">
      <c r="A472" s="3099">
        <v>1136</v>
      </c>
      <c r="B472" s="3203" t="s">
        <v>3334</v>
      </c>
      <c r="C472" s="3204"/>
      <c r="D472" s="3100" t="s">
        <v>3659</v>
      </c>
      <c r="E472" s="3100" t="s">
        <v>463</v>
      </c>
      <c r="F472" s="3101">
        <v>88.77</v>
      </c>
      <c r="G472" s="3102" t="s">
        <v>3188</v>
      </c>
    </row>
    <row r="473" spans="1:7" ht="15" thickBot="1">
      <c r="A473" s="3099">
        <v>1137</v>
      </c>
      <c r="B473" s="3203" t="s">
        <v>3334</v>
      </c>
      <c r="C473" s="3204"/>
      <c r="D473" s="3100" t="s">
        <v>3660</v>
      </c>
      <c r="E473" s="3100" t="s">
        <v>463</v>
      </c>
      <c r="F473" s="3101">
        <v>61.29</v>
      </c>
      <c r="G473" s="3102" t="s">
        <v>3188</v>
      </c>
    </row>
    <row r="474" spans="1:7" ht="15" thickBot="1">
      <c r="A474" s="3099">
        <v>1138</v>
      </c>
      <c r="B474" s="3203" t="s">
        <v>3334</v>
      </c>
      <c r="C474" s="3204"/>
      <c r="D474" s="3100" t="s">
        <v>3661</v>
      </c>
      <c r="E474" s="3100" t="s">
        <v>463</v>
      </c>
      <c r="F474" s="3101">
        <v>51.66</v>
      </c>
      <c r="G474" s="3102" t="s">
        <v>3188</v>
      </c>
    </row>
    <row r="475" spans="1:7" ht="15" thickBot="1">
      <c r="A475" s="3099">
        <v>1139</v>
      </c>
      <c r="B475" s="3203" t="s">
        <v>3334</v>
      </c>
      <c r="C475" s="3204"/>
      <c r="D475" s="3100" t="s">
        <v>3662</v>
      </c>
      <c r="E475" s="3100" t="s">
        <v>463</v>
      </c>
      <c r="F475" s="3101">
        <v>88.77</v>
      </c>
      <c r="G475" s="3102" t="s">
        <v>3188</v>
      </c>
    </row>
    <row r="476" spans="1:7" ht="15" thickBot="1">
      <c r="A476" s="3099">
        <v>1140</v>
      </c>
      <c r="B476" s="3203" t="s">
        <v>3334</v>
      </c>
      <c r="C476" s="3204"/>
      <c r="D476" s="3100" t="s">
        <v>3663</v>
      </c>
      <c r="E476" s="3100" t="s">
        <v>463</v>
      </c>
      <c r="F476" s="3101">
        <v>61.29</v>
      </c>
      <c r="G476" s="3102" t="s">
        <v>3188</v>
      </c>
    </row>
    <row r="477" spans="1:7" ht="15" thickBot="1">
      <c r="A477" s="3099">
        <v>1141</v>
      </c>
      <c r="B477" s="3203" t="s">
        <v>3334</v>
      </c>
      <c r="C477" s="3204"/>
      <c r="D477" s="3100" t="s">
        <v>3664</v>
      </c>
      <c r="E477" s="3100" t="s">
        <v>463</v>
      </c>
      <c r="F477" s="3101">
        <v>51.66</v>
      </c>
      <c r="G477" s="3102" t="s">
        <v>3188</v>
      </c>
    </row>
    <row r="478" spans="1:7" ht="15" thickBot="1">
      <c r="A478" s="3099">
        <v>1142</v>
      </c>
      <c r="B478" s="3203" t="s">
        <v>3334</v>
      </c>
      <c r="C478" s="3204"/>
      <c r="D478" s="3100" t="s">
        <v>3665</v>
      </c>
      <c r="E478" s="3100" t="s">
        <v>463</v>
      </c>
      <c r="F478" s="3101">
        <v>88.77</v>
      </c>
      <c r="G478" s="3102" t="s">
        <v>3188</v>
      </c>
    </row>
    <row r="479" spans="1:7" ht="15" thickBot="1">
      <c r="A479" s="3099">
        <v>1144</v>
      </c>
      <c r="B479" s="3203" t="s">
        <v>3334</v>
      </c>
      <c r="C479" s="3204"/>
      <c r="D479" s="3100" t="s">
        <v>3666</v>
      </c>
      <c r="E479" s="3100" t="s">
        <v>463</v>
      </c>
      <c r="F479" s="3101">
        <v>51.66</v>
      </c>
      <c r="G479" s="3102" t="s">
        <v>3188</v>
      </c>
    </row>
    <row r="480" spans="1:7" ht="15" thickBot="1">
      <c r="A480" s="3099">
        <v>1145</v>
      </c>
      <c r="B480" s="3203" t="s">
        <v>3334</v>
      </c>
      <c r="C480" s="3204"/>
      <c r="D480" s="3100" t="s">
        <v>3667</v>
      </c>
      <c r="E480" s="3100" t="s">
        <v>463</v>
      </c>
      <c r="F480" s="3101">
        <v>88.77</v>
      </c>
      <c r="G480" s="3102" t="s">
        <v>3188</v>
      </c>
    </row>
    <row r="481" spans="1:7" ht="15" thickBot="1">
      <c r="A481" s="3099">
        <v>1147</v>
      </c>
      <c r="B481" s="3203" t="s">
        <v>3334</v>
      </c>
      <c r="C481" s="3204"/>
      <c r="D481" s="3100" t="s">
        <v>3668</v>
      </c>
      <c r="E481" s="3100" t="s">
        <v>463</v>
      </c>
      <c r="F481" s="3101">
        <v>88.77</v>
      </c>
      <c r="G481" s="3102" t="s">
        <v>3188</v>
      </c>
    </row>
    <row r="482" spans="1:7" ht="15" thickBot="1">
      <c r="A482" s="3099">
        <v>1148</v>
      </c>
      <c r="B482" s="3203" t="s">
        <v>3334</v>
      </c>
      <c r="C482" s="3204"/>
      <c r="D482" s="3100" t="s">
        <v>3669</v>
      </c>
      <c r="E482" s="3100" t="s">
        <v>463</v>
      </c>
      <c r="F482" s="3101">
        <v>51.66</v>
      </c>
      <c r="G482" s="3102" t="s">
        <v>3188</v>
      </c>
    </row>
    <row r="483" spans="1:7" ht="15" thickBot="1">
      <c r="A483" s="3099">
        <v>1149</v>
      </c>
      <c r="B483" s="3203" t="s">
        <v>3334</v>
      </c>
      <c r="C483" s="3204"/>
      <c r="D483" s="3100" t="s">
        <v>3670</v>
      </c>
      <c r="E483" s="3100" t="s">
        <v>463</v>
      </c>
      <c r="F483" s="3101">
        <v>88.77</v>
      </c>
      <c r="G483" s="3102" t="s">
        <v>3188</v>
      </c>
    </row>
    <row r="484" spans="1:7" ht="15" thickBot="1">
      <c r="A484" s="3099">
        <v>1150</v>
      </c>
      <c r="B484" s="3203" t="s">
        <v>3334</v>
      </c>
      <c r="C484" s="3204"/>
      <c r="D484" s="3100" t="s">
        <v>3671</v>
      </c>
      <c r="E484" s="3100" t="s">
        <v>463</v>
      </c>
      <c r="F484" s="3101">
        <v>51.66</v>
      </c>
      <c r="G484" s="3102" t="s">
        <v>3188</v>
      </c>
    </row>
    <row r="485" spans="1:7" ht="15" thickBot="1">
      <c r="A485" s="3099">
        <v>1151</v>
      </c>
      <c r="B485" s="3203" t="s">
        <v>3334</v>
      </c>
      <c r="C485" s="3204"/>
      <c r="D485" s="3100" t="s">
        <v>3672</v>
      </c>
      <c r="E485" s="3100" t="s">
        <v>463</v>
      </c>
      <c r="F485" s="3101">
        <v>88.77</v>
      </c>
      <c r="G485" s="3102" t="s">
        <v>3188</v>
      </c>
    </row>
    <row r="486" spans="1:7" ht="15" thickBot="1">
      <c r="A486" s="3099">
        <v>1153</v>
      </c>
      <c r="B486" s="3203" t="s">
        <v>3334</v>
      </c>
      <c r="C486" s="3204"/>
      <c r="D486" s="3100" t="s">
        <v>3673</v>
      </c>
      <c r="E486" s="3100" t="s">
        <v>463</v>
      </c>
      <c r="F486" s="3101">
        <v>51.66</v>
      </c>
      <c r="G486" s="3102" t="s">
        <v>3188</v>
      </c>
    </row>
    <row r="487" spans="1:7" ht="15" thickBot="1">
      <c r="A487" s="3099">
        <v>1154</v>
      </c>
      <c r="B487" s="3203" t="s">
        <v>3334</v>
      </c>
      <c r="C487" s="3204"/>
      <c r="D487" s="3100" t="s">
        <v>3674</v>
      </c>
      <c r="E487" s="3100" t="s">
        <v>463</v>
      </c>
      <c r="F487" s="3101">
        <v>88.6</v>
      </c>
      <c r="G487" s="3102" t="s">
        <v>3188</v>
      </c>
    </row>
    <row r="488" spans="1:7" ht="15" thickBot="1">
      <c r="A488" s="3099">
        <v>1155</v>
      </c>
      <c r="B488" s="3203" t="s">
        <v>3334</v>
      </c>
      <c r="C488" s="3204"/>
      <c r="D488" s="3100" t="s">
        <v>3675</v>
      </c>
      <c r="E488" s="3100" t="s">
        <v>463</v>
      </c>
      <c r="F488" s="3101">
        <v>64.099999999999994</v>
      </c>
      <c r="G488" s="3102" t="s">
        <v>3188</v>
      </c>
    </row>
    <row r="489" spans="1:7" ht="15" thickBot="1">
      <c r="A489" s="3099">
        <v>1156</v>
      </c>
      <c r="B489" s="3203" t="s">
        <v>3334</v>
      </c>
      <c r="C489" s="3204"/>
      <c r="D489" s="3100" t="s">
        <v>3676</v>
      </c>
      <c r="E489" s="3100" t="s">
        <v>463</v>
      </c>
      <c r="F489" s="3101">
        <v>64.099999999999994</v>
      </c>
      <c r="G489" s="3102" t="s">
        <v>3188</v>
      </c>
    </row>
    <row r="490" spans="1:7" ht="15" thickBot="1">
      <c r="A490" s="3099">
        <v>1157</v>
      </c>
      <c r="B490" s="3203" t="s">
        <v>3334</v>
      </c>
      <c r="C490" s="3204"/>
      <c r="D490" s="3100" t="s">
        <v>3677</v>
      </c>
      <c r="E490" s="3100" t="s">
        <v>463</v>
      </c>
      <c r="F490" s="3101">
        <v>88.6</v>
      </c>
      <c r="G490" s="3102" t="s">
        <v>3188</v>
      </c>
    </row>
    <row r="491" spans="1:7" ht="15" thickBot="1">
      <c r="A491" s="3099">
        <v>1158</v>
      </c>
      <c r="B491" s="3203" t="s">
        <v>3334</v>
      </c>
      <c r="C491" s="3204"/>
      <c r="D491" s="3100" t="s">
        <v>3678</v>
      </c>
      <c r="E491" s="3100" t="s">
        <v>463</v>
      </c>
      <c r="F491" s="3101">
        <v>88.51</v>
      </c>
      <c r="G491" s="3102" t="s">
        <v>3188</v>
      </c>
    </row>
    <row r="492" spans="1:7" ht="15" thickBot="1">
      <c r="A492" s="3099">
        <v>1159</v>
      </c>
      <c r="B492" s="3203" t="s">
        <v>3334</v>
      </c>
      <c r="C492" s="3204"/>
      <c r="D492" s="3100" t="s">
        <v>3679</v>
      </c>
      <c r="E492" s="3100" t="s">
        <v>463</v>
      </c>
      <c r="F492" s="3101">
        <v>64.099999999999994</v>
      </c>
      <c r="G492" s="3102" t="s">
        <v>3188</v>
      </c>
    </row>
    <row r="493" spans="1:7" ht="15" thickBot="1">
      <c r="A493" s="3099">
        <v>1160</v>
      </c>
      <c r="B493" s="3203" t="s">
        <v>3334</v>
      </c>
      <c r="C493" s="3204"/>
      <c r="D493" s="3100" t="s">
        <v>3680</v>
      </c>
      <c r="E493" s="3100" t="s">
        <v>463</v>
      </c>
      <c r="F493" s="3101">
        <v>64.099999999999994</v>
      </c>
      <c r="G493" s="3102" t="s">
        <v>3188</v>
      </c>
    </row>
    <row r="494" spans="1:7" ht="15" thickBot="1">
      <c r="A494" s="3099">
        <v>1161</v>
      </c>
      <c r="B494" s="3203" t="s">
        <v>3334</v>
      </c>
      <c r="C494" s="3204"/>
      <c r="D494" s="3100" t="s">
        <v>3681</v>
      </c>
      <c r="E494" s="3100" t="s">
        <v>463</v>
      </c>
      <c r="F494" s="3101">
        <v>88.6</v>
      </c>
      <c r="G494" s="3102" t="s">
        <v>3188</v>
      </c>
    </row>
    <row r="495" spans="1:7" ht="15" thickBot="1">
      <c r="A495" s="3099">
        <v>1162</v>
      </c>
      <c r="B495" s="3203" t="s">
        <v>3334</v>
      </c>
      <c r="C495" s="3204"/>
      <c r="D495" s="3100" t="s">
        <v>3682</v>
      </c>
      <c r="E495" s="3100" t="s">
        <v>463</v>
      </c>
      <c r="F495" s="3101">
        <v>88.6</v>
      </c>
      <c r="G495" s="3102" t="s">
        <v>3188</v>
      </c>
    </row>
    <row r="496" spans="1:7" ht="15" thickBot="1">
      <c r="A496" s="3099">
        <v>1163</v>
      </c>
      <c r="B496" s="3203" t="s">
        <v>3334</v>
      </c>
      <c r="C496" s="3204"/>
      <c r="D496" s="3100" t="s">
        <v>3683</v>
      </c>
      <c r="E496" s="3100" t="s">
        <v>463</v>
      </c>
      <c r="F496" s="3101">
        <v>64.099999999999994</v>
      </c>
      <c r="G496" s="3102" t="s">
        <v>3188</v>
      </c>
    </row>
    <row r="497" spans="1:7" ht="15" thickBot="1">
      <c r="A497" s="3099">
        <v>1164</v>
      </c>
      <c r="B497" s="3203" t="s">
        <v>3334</v>
      </c>
      <c r="C497" s="3204"/>
      <c r="D497" s="3100" t="s">
        <v>3684</v>
      </c>
      <c r="E497" s="3100" t="s">
        <v>463</v>
      </c>
      <c r="F497" s="3101">
        <v>64.099999999999994</v>
      </c>
      <c r="G497" s="3102" t="s">
        <v>3188</v>
      </c>
    </row>
    <row r="498" spans="1:7" ht="15" thickBot="1">
      <c r="A498" s="3099">
        <v>1165</v>
      </c>
      <c r="B498" s="3203" t="s">
        <v>3334</v>
      </c>
      <c r="C498" s="3204"/>
      <c r="D498" s="3100" t="s">
        <v>3685</v>
      </c>
      <c r="E498" s="3100" t="s">
        <v>463</v>
      </c>
      <c r="F498" s="3101">
        <v>88.6</v>
      </c>
      <c r="G498" s="3102" t="s">
        <v>3188</v>
      </c>
    </row>
    <row r="499" spans="1:7" ht="15" thickBot="1">
      <c r="A499" s="3099">
        <v>1166</v>
      </c>
      <c r="B499" s="3203" t="s">
        <v>3334</v>
      </c>
      <c r="C499" s="3204"/>
      <c r="D499" s="3100" t="s">
        <v>3686</v>
      </c>
      <c r="E499" s="3100" t="s">
        <v>463</v>
      </c>
      <c r="F499" s="3101">
        <v>88.6</v>
      </c>
      <c r="G499" s="3102" t="s">
        <v>3188</v>
      </c>
    </row>
    <row r="500" spans="1:7" ht="15" thickBot="1">
      <c r="A500" s="3099">
        <v>1167</v>
      </c>
      <c r="B500" s="3203" t="s">
        <v>3334</v>
      </c>
      <c r="C500" s="3204"/>
      <c r="D500" s="3100" t="s">
        <v>3687</v>
      </c>
      <c r="E500" s="3100" t="s">
        <v>463</v>
      </c>
      <c r="F500" s="3101">
        <v>64.099999999999994</v>
      </c>
      <c r="G500" s="3102" t="s">
        <v>3188</v>
      </c>
    </row>
    <row r="501" spans="1:7" ht="15" thickBot="1">
      <c r="A501" s="3099">
        <v>1168</v>
      </c>
      <c r="B501" s="3203" t="s">
        <v>3334</v>
      </c>
      <c r="C501" s="3204"/>
      <c r="D501" s="3100" t="s">
        <v>3688</v>
      </c>
      <c r="E501" s="3100" t="s">
        <v>463</v>
      </c>
      <c r="F501" s="3101">
        <v>64.099999999999994</v>
      </c>
      <c r="G501" s="3102" t="s">
        <v>3188</v>
      </c>
    </row>
    <row r="502" spans="1:7" ht="15" thickBot="1">
      <c r="A502" s="3099">
        <v>1169</v>
      </c>
      <c r="B502" s="3203" t="s">
        <v>3334</v>
      </c>
      <c r="C502" s="3204"/>
      <c r="D502" s="3100" t="s">
        <v>3689</v>
      </c>
      <c r="E502" s="3100" t="s">
        <v>463</v>
      </c>
      <c r="F502" s="3101">
        <v>88.6</v>
      </c>
      <c r="G502" s="3102" t="s">
        <v>3188</v>
      </c>
    </row>
    <row r="503" spans="1:7" ht="15" thickBot="1">
      <c r="A503" s="3099">
        <v>1170</v>
      </c>
      <c r="B503" s="3203" t="s">
        <v>3334</v>
      </c>
      <c r="C503" s="3204"/>
      <c r="D503" s="3100" t="s">
        <v>3690</v>
      </c>
      <c r="E503" s="3100" t="s">
        <v>463</v>
      </c>
      <c r="F503" s="3101">
        <v>88.6</v>
      </c>
      <c r="G503" s="3102" t="s">
        <v>3188</v>
      </c>
    </row>
    <row r="504" spans="1:7" ht="15" thickBot="1">
      <c r="A504" s="3099">
        <v>1171</v>
      </c>
      <c r="B504" s="3203" t="s">
        <v>3334</v>
      </c>
      <c r="C504" s="3204"/>
      <c r="D504" s="3100" t="s">
        <v>3691</v>
      </c>
      <c r="E504" s="3100" t="s">
        <v>463</v>
      </c>
      <c r="F504" s="3101">
        <v>64.099999999999994</v>
      </c>
      <c r="G504" s="3102" t="s">
        <v>3188</v>
      </c>
    </row>
    <row r="505" spans="1:7" ht="15" thickBot="1">
      <c r="A505" s="3099">
        <v>1172</v>
      </c>
      <c r="B505" s="3203" t="s">
        <v>3334</v>
      </c>
      <c r="C505" s="3204"/>
      <c r="D505" s="3100" t="s">
        <v>3692</v>
      </c>
      <c r="E505" s="3100" t="s">
        <v>463</v>
      </c>
      <c r="F505" s="3101">
        <v>64.099999999999994</v>
      </c>
      <c r="G505" s="3102" t="s">
        <v>3188</v>
      </c>
    </row>
    <row r="506" spans="1:7" ht="15" thickBot="1">
      <c r="A506" s="3099">
        <v>1173</v>
      </c>
      <c r="B506" s="3203" t="s">
        <v>3334</v>
      </c>
      <c r="C506" s="3204"/>
      <c r="D506" s="3100" t="s">
        <v>3693</v>
      </c>
      <c r="E506" s="3100" t="s">
        <v>463</v>
      </c>
      <c r="F506" s="3101">
        <v>88.6</v>
      </c>
      <c r="G506" s="3102" t="s">
        <v>3188</v>
      </c>
    </row>
    <row r="507" spans="1:7" ht="15" thickBot="1">
      <c r="A507" s="3099">
        <v>1174</v>
      </c>
      <c r="B507" s="3203" t="s">
        <v>3334</v>
      </c>
      <c r="C507" s="3204"/>
      <c r="D507" s="3100" t="s">
        <v>3694</v>
      </c>
      <c r="E507" s="3100" t="s">
        <v>463</v>
      </c>
      <c r="F507" s="3101">
        <v>88.6</v>
      </c>
      <c r="G507" s="3102" t="s">
        <v>3188</v>
      </c>
    </row>
    <row r="508" spans="1:7" ht="15" thickBot="1">
      <c r="A508" s="3099">
        <v>1175</v>
      </c>
      <c r="B508" s="3203" t="s">
        <v>3334</v>
      </c>
      <c r="C508" s="3204"/>
      <c r="D508" s="3100" t="s">
        <v>3695</v>
      </c>
      <c r="E508" s="3100" t="s">
        <v>463</v>
      </c>
      <c r="F508" s="3101">
        <v>64.099999999999994</v>
      </c>
      <c r="G508" s="3102" t="s">
        <v>3188</v>
      </c>
    </row>
    <row r="509" spans="1:7" ht="15" thickBot="1">
      <c r="A509" s="3099">
        <v>1176</v>
      </c>
      <c r="B509" s="3203" t="s">
        <v>3334</v>
      </c>
      <c r="C509" s="3204"/>
      <c r="D509" s="3100" t="s">
        <v>3696</v>
      </c>
      <c r="E509" s="3100" t="s">
        <v>463</v>
      </c>
      <c r="F509" s="3101">
        <v>64.099999999999994</v>
      </c>
      <c r="G509" s="3102" t="s">
        <v>3188</v>
      </c>
    </row>
    <row r="510" spans="1:7" ht="15" thickBot="1">
      <c r="A510" s="3099">
        <v>1177</v>
      </c>
      <c r="B510" s="3203" t="s">
        <v>3334</v>
      </c>
      <c r="C510" s="3204"/>
      <c r="D510" s="3100" t="s">
        <v>3697</v>
      </c>
      <c r="E510" s="3100" t="s">
        <v>463</v>
      </c>
      <c r="F510" s="3101">
        <v>88.6</v>
      </c>
      <c r="G510" s="3102" t="s">
        <v>3188</v>
      </c>
    </row>
    <row r="511" spans="1:7" ht="15" thickBot="1">
      <c r="A511" s="3099">
        <v>1178</v>
      </c>
      <c r="B511" s="3203" t="s">
        <v>3334</v>
      </c>
      <c r="C511" s="3204"/>
      <c r="D511" s="3100" t="s">
        <v>3698</v>
      </c>
      <c r="E511" s="3100" t="s">
        <v>463</v>
      </c>
      <c r="F511" s="3101">
        <v>88.6</v>
      </c>
      <c r="G511" s="3102" t="s">
        <v>3188</v>
      </c>
    </row>
    <row r="512" spans="1:7" ht="15" thickBot="1">
      <c r="A512" s="3099">
        <v>1179</v>
      </c>
      <c r="B512" s="3203" t="s">
        <v>3334</v>
      </c>
      <c r="C512" s="3204"/>
      <c r="D512" s="3100" t="s">
        <v>3699</v>
      </c>
      <c r="E512" s="3100" t="s">
        <v>463</v>
      </c>
      <c r="F512" s="3101">
        <v>64.099999999999994</v>
      </c>
      <c r="G512" s="3102" t="s">
        <v>3188</v>
      </c>
    </row>
    <row r="513" spans="1:7" ht="15" thickBot="1">
      <c r="A513" s="3099">
        <v>1180</v>
      </c>
      <c r="B513" s="3203" t="s">
        <v>3334</v>
      </c>
      <c r="C513" s="3204"/>
      <c r="D513" s="3100" t="s">
        <v>3700</v>
      </c>
      <c r="E513" s="3100" t="s">
        <v>463</v>
      </c>
      <c r="F513" s="3101">
        <v>64.099999999999994</v>
      </c>
      <c r="G513" s="3102" t="s">
        <v>3188</v>
      </c>
    </row>
    <row r="514" spans="1:7" ht="15" thickBot="1">
      <c r="A514" s="3099">
        <v>1181</v>
      </c>
      <c r="B514" s="3203" t="s">
        <v>3334</v>
      </c>
      <c r="C514" s="3204"/>
      <c r="D514" s="3100" t="s">
        <v>3701</v>
      </c>
      <c r="E514" s="3100" t="s">
        <v>463</v>
      </c>
      <c r="F514" s="3101">
        <v>88.6</v>
      </c>
      <c r="G514" s="3102" t="s">
        <v>3188</v>
      </c>
    </row>
    <row r="515" spans="1:7" ht="15" thickBot="1">
      <c r="A515" s="3099">
        <v>1182</v>
      </c>
      <c r="B515" s="3203" t="s">
        <v>3334</v>
      </c>
      <c r="C515" s="3204"/>
      <c r="D515" s="3100" t="s">
        <v>3702</v>
      </c>
      <c r="E515" s="3100" t="s">
        <v>463</v>
      </c>
      <c r="F515" s="3101">
        <v>88.6</v>
      </c>
      <c r="G515" s="3102" t="s">
        <v>3188</v>
      </c>
    </row>
    <row r="516" spans="1:7" ht="15" thickBot="1">
      <c r="A516" s="3099">
        <v>1183</v>
      </c>
      <c r="B516" s="3203" t="s">
        <v>3334</v>
      </c>
      <c r="C516" s="3204"/>
      <c r="D516" s="3100" t="s">
        <v>3703</v>
      </c>
      <c r="E516" s="3100" t="s">
        <v>463</v>
      </c>
      <c r="F516" s="3101">
        <v>64.099999999999994</v>
      </c>
      <c r="G516" s="3102" t="s">
        <v>3188</v>
      </c>
    </row>
    <row r="517" spans="1:7" ht="15" thickBot="1">
      <c r="A517" s="3099">
        <v>1184</v>
      </c>
      <c r="B517" s="3203" t="s">
        <v>3334</v>
      </c>
      <c r="C517" s="3204"/>
      <c r="D517" s="3100" t="s">
        <v>3704</v>
      </c>
      <c r="E517" s="3100" t="s">
        <v>463</v>
      </c>
      <c r="F517" s="3101">
        <v>64.099999999999994</v>
      </c>
      <c r="G517" s="3102" t="s">
        <v>3188</v>
      </c>
    </row>
    <row r="518" spans="1:7" ht="15" thickBot="1">
      <c r="A518" s="3099">
        <v>1185</v>
      </c>
      <c r="B518" s="3203" t="s">
        <v>3334</v>
      </c>
      <c r="C518" s="3204"/>
      <c r="D518" s="3100" t="s">
        <v>3705</v>
      </c>
      <c r="E518" s="3100" t="s">
        <v>463</v>
      </c>
      <c r="F518" s="3101">
        <v>88.6</v>
      </c>
      <c r="G518" s="3102" t="s">
        <v>3188</v>
      </c>
    </row>
    <row r="519" spans="1:7" ht="15" thickBot="1">
      <c r="A519" s="3099">
        <v>1186</v>
      </c>
      <c r="B519" s="3203" t="s">
        <v>3334</v>
      </c>
      <c r="C519" s="3204"/>
      <c r="D519" s="3100" t="s">
        <v>3706</v>
      </c>
      <c r="E519" s="3100" t="s">
        <v>463</v>
      </c>
      <c r="F519" s="3101">
        <v>88.6</v>
      </c>
      <c r="G519" s="3102" t="s">
        <v>3188</v>
      </c>
    </row>
    <row r="520" spans="1:7" ht="15" thickBot="1">
      <c r="A520" s="3099">
        <v>1187</v>
      </c>
      <c r="B520" s="3203" t="s">
        <v>3334</v>
      </c>
      <c r="C520" s="3204"/>
      <c r="D520" s="3100" t="s">
        <v>3707</v>
      </c>
      <c r="E520" s="3100" t="s">
        <v>463</v>
      </c>
      <c r="F520" s="3101">
        <v>64.099999999999994</v>
      </c>
      <c r="G520" s="3102" t="s">
        <v>3188</v>
      </c>
    </row>
    <row r="521" spans="1:7" ht="15" thickBot="1">
      <c r="A521" s="3099">
        <v>1188</v>
      </c>
      <c r="B521" s="3203" t="s">
        <v>3334</v>
      </c>
      <c r="C521" s="3204"/>
      <c r="D521" s="3100" t="s">
        <v>3708</v>
      </c>
      <c r="E521" s="3100" t="s">
        <v>463</v>
      </c>
      <c r="F521" s="3101">
        <v>64.099999999999994</v>
      </c>
      <c r="G521" s="3102" t="s">
        <v>3188</v>
      </c>
    </row>
    <row r="522" spans="1:7" ht="15" thickBot="1">
      <c r="A522" s="3099">
        <v>1189</v>
      </c>
      <c r="B522" s="3203" t="s">
        <v>3334</v>
      </c>
      <c r="C522" s="3204"/>
      <c r="D522" s="3100" t="s">
        <v>3709</v>
      </c>
      <c r="E522" s="3100" t="s">
        <v>463</v>
      </c>
      <c r="F522" s="3101">
        <v>88.6</v>
      </c>
      <c r="G522" s="3102" t="s">
        <v>3188</v>
      </c>
    </row>
    <row r="523" spans="1:7" ht="15" thickBot="1">
      <c r="A523" s="3099">
        <v>1190</v>
      </c>
      <c r="B523" s="3203" t="s">
        <v>3334</v>
      </c>
      <c r="C523" s="3204"/>
      <c r="D523" s="3100" t="s">
        <v>3710</v>
      </c>
      <c r="E523" s="3100" t="s">
        <v>463</v>
      </c>
      <c r="F523" s="3101">
        <v>88.6</v>
      </c>
      <c r="G523" s="3102" t="s">
        <v>3188</v>
      </c>
    </row>
    <row r="524" spans="1:7" ht="15" thickBot="1">
      <c r="A524" s="3099">
        <v>1191</v>
      </c>
      <c r="B524" s="3203" t="s">
        <v>3334</v>
      </c>
      <c r="C524" s="3204"/>
      <c r="D524" s="3100" t="s">
        <v>3711</v>
      </c>
      <c r="E524" s="3100" t="s">
        <v>463</v>
      </c>
      <c r="F524" s="3101">
        <v>64.099999999999994</v>
      </c>
      <c r="G524" s="3102" t="s">
        <v>3188</v>
      </c>
    </row>
    <row r="525" spans="1:7" ht="15" thickBot="1">
      <c r="A525" s="3099">
        <v>1192</v>
      </c>
      <c r="B525" s="3203" t="s">
        <v>3334</v>
      </c>
      <c r="C525" s="3204"/>
      <c r="D525" s="3100" t="s">
        <v>3712</v>
      </c>
      <c r="E525" s="3100" t="s">
        <v>463</v>
      </c>
      <c r="F525" s="3101">
        <v>64.099999999999994</v>
      </c>
      <c r="G525" s="3102" t="s">
        <v>3188</v>
      </c>
    </row>
    <row r="526" spans="1:7" ht="15" thickBot="1">
      <c r="A526" s="3099">
        <v>1193</v>
      </c>
      <c r="B526" s="3203" t="s">
        <v>3334</v>
      </c>
      <c r="C526" s="3204"/>
      <c r="D526" s="3100" t="s">
        <v>3713</v>
      </c>
      <c r="E526" s="3100" t="s">
        <v>463</v>
      </c>
      <c r="F526" s="3101">
        <v>88.6</v>
      </c>
      <c r="G526" s="3102" t="s">
        <v>3188</v>
      </c>
    </row>
    <row r="527" spans="1:7" ht="15" thickBot="1">
      <c r="A527" s="3099">
        <v>1194</v>
      </c>
      <c r="B527" s="3203" t="s">
        <v>3334</v>
      </c>
      <c r="C527" s="3204"/>
      <c r="D527" s="3100" t="s">
        <v>3714</v>
      </c>
      <c r="E527" s="3100" t="s">
        <v>463</v>
      </c>
      <c r="F527" s="3101">
        <v>88.6</v>
      </c>
      <c r="G527" s="3102" t="s">
        <v>3188</v>
      </c>
    </row>
    <row r="528" spans="1:7" ht="15" thickBot="1">
      <c r="A528" s="3099">
        <v>1195</v>
      </c>
      <c r="B528" s="3203" t="s">
        <v>3334</v>
      </c>
      <c r="C528" s="3204"/>
      <c r="D528" s="3100" t="s">
        <v>3715</v>
      </c>
      <c r="E528" s="3100" t="s">
        <v>463</v>
      </c>
      <c r="F528" s="3101">
        <v>64.099999999999994</v>
      </c>
      <c r="G528" s="3102" t="s">
        <v>3188</v>
      </c>
    </row>
    <row r="529" spans="1:7" ht="15" thickBot="1">
      <c r="A529" s="3099">
        <v>1196</v>
      </c>
      <c r="B529" s="3203" t="s">
        <v>3334</v>
      </c>
      <c r="C529" s="3204"/>
      <c r="D529" s="3100" t="s">
        <v>3716</v>
      </c>
      <c r="E529" s="3100" t="s">
        <v>463</v>
      </c>
      <c r="F529" s="3101">
        <v>64.099999999999994</v>
      </c>
      <c r="G529" s="3102" t="s">
        <v>3188</v>
      </c>
    </row>
    <row r="530" spans="1:7" ht="15" thickBot="1">
      <c r="A530" s="3099">
        <v>1197</v>
      </c>
      <c r="B530" s="3203" t="s">
        <v>3334</v>
      </c>
      <c r="C530" s="3204"/>
      <c r="D530" s="3100" t="s">
        <v>3717</v>
      </c>
      <c r="E530" s="3100" t="s">
        <v>463</v>
      </c>
      <c r="F530" s="3101">
        <v>88.6</v>
      </c>
      <c r="G530" s="3102" t="s">
        <v>3188</v>
      </c>
    </row>
    <row r="531" spans="1:7" ht="15" thickBot="1">
      <c r="A531" s="3099">
        <v>1198</v>
      </c>
      <c r="B531" s="3203" t="s">
        <v>3334</v>
      </c>
      <c r="C531" s="3204"/>
      <c r="D531" s="3100" t="s">
        <v>3718</v>
      </c>
      <c r="E531" s="3100" t="s">
        <v>463</v>
      </c>
      <c r="F531" s="3101">
        <v>88.6</v>
      </c>
      <c r="G531" s="3102" t="s">
        <v>3188</v>
      </c>
    </row>
    <row r="532" spans="1:7" ht="15" thickBot="1">
      <c r="A532" s="3099">
        <v>1199</v>
      </c>
      <c r="B532" s="3203" t="s">
        <v>3334</v>
      </c>
      <c r="C532" s="3204"/>
      <c r="D532" s="3100" t="s">
        <v>3719</v>
      </c>
      <c r="E532" s="3100" t="s">
        <v>463</v>
      </c>
      <c r="F532" s="3101">
        <v>64.099999999999994</v>
      </c>
      <c r="G532" s="3102" t="s">
        <v>3188</v>
      </c>
    </row>
    <row r="533" spans="1:7" ht="15" thickBot="1">
      <c r="A533" s="3099">
        <v>1200</v>
      </c>
      <c r="B533" s="3203" t="s">
        <v>3334</v>
      </c>
      <c r="C533" s="3204"/>
      <c r="D533" s="3100" t="s">
        <v>3720</v>
      </c>
      <c r="E533" s="3100" t="s">
        <v>463</v>
      </c>
      <c r="F533" s="3101">
        <v>64.099999999999994</v>
      </c>
      <c r="G533" s="3102" t="s">
        <v>3188</v>
      </c>
    </row>
    <row r="534" spans="1:7" ht="15" thickBot="1">
      <c r="A534" s="3099">
        <v>1201</v>
      </c>
      <c r="B534" s="3203" t="s">
        <v>3334</v>
      </c>
      <c r="C534" s="3204"/>
      <c r="D534" s="3100" t="s">
        <v>3721</v>
      </c>
      <c r="E534" s="3100" t="s">
        <v>463</v>
      </c>
      <c r="F534" s="3101">
        <v>88.6</v>
      </c>
      <c r="G534" s="3102" t="s">
        <v>3188</v>
      </c>
    </row>
    <row r="535" spans="1:7" ht="15" thickBot="1">
      <c r="A535" s="3099">
        <v>1202</v>
      </c>
      <c r="B535" s="3203" t="s">
        <v>3334</v>
      </c>
      <c r="C535" s="3204"/>
      <c r="D535" s="3100" t="s">
        <v>3722</v>
      </c>
      <c r="E535" s="3100" t="s">
        <v>463</v>
      </c>
      <c r="F535" s="3101">
        <v>88.6</v>
      </c>
      <c r="G535" s="3102" t="s">
        <v>3188</v>
      </c>
    </row>
    <row r="536" spans="1:7" ht="15" thickBot="1">
      <c r="A536" s="3099">
        <v>1203</v>
      </c>
      <c r="B536" s="3203" t="s">
        <v>3334</v>
      </c>
      <c r="C536" s="3204"/>
      <c r="D536" s="3100" t="s">
        <v>3723</v>
      </c>
      <c r="E536" s="3100" t="s">
        <v>463</v>
      </c>
      <c r="F536" s="3101">
        <v>64.099999999999994</v>
      </c>
      <c r="G536" s="3102" t="s">
        <v>3188</v>
      </c>
    </row>
    <row r="537" spans="1:7" ht="15" thickBot="1">
      <c r="A537" s="3099">
        <v>1204</v>
      </c>
      <c r="B537" s="3203" t="s">
        <v>3334</v>
      </c>
      <c r="C537" s="3204"/>
      <c r="D537" s="3100" t="s">
        <v>3724</v>
      </c>
      <c r="E537" s="3100" t="s">
        <v>463</v>
      </c>
      <c r="F537" s="3101">
        <v>64.099999999999994</v>
      </c>
      <c r="G537" s="3102" t="s">
        <v>3188</v>
      </c>
    </row>
    <row r="538" spans="1:7" ht="15" thickBot="1">
      <c r="A538" s="3099">
        <v>1205</v>
      </c>
      <c r="B538" s="3203" t="s">
        <v>3334</v>
      </c>
      <c r="C538" s="3204"/>
      <c r="D538" s="3100" t="s">
        <v>3725</v>
      </c>
      <c r="E538" s="3100" t="s">
        <v>463</v>
      </c>
      <c r="F538" s="3101">
        <v>88.6</v>
      </c>
      <c r="G538" s="3102" t="s">
        <v>3188</v>
      </c>
    </row>
    <row r="539" spans="1:7" ht="15" thickBot="1">
      <c r="A539" s="3099">
        <v>1206</v>
      </c>
      <c r="B539" s="3203" t="s">
        <v>3334</v>
      </c>
      <c r="C539" s="3204"/>
      <c r="D539" s="3100" t="s">
        <v>3726</v>
      </c>
      <c r="E539" s="3100" t="s">
        <v>463</v>
      </c>
      <c r="F539" s="3101">
        <v>88.6</v>
      </c>
      <c r="G539" s="3102" t="s">
        <v>3188</v>
      </c>
    </row>
    <row r="540" spans="1:7" ht="15" thickBot="1">
      <c r="A540" s="3099">
        <v>1207</v>
      </c>
      <c r="B540" s="3203" t="s">
        <v>3334</v>
      </c>
      <c r="C540" s="3204"/>
      <c r="D540" s="3100" t="s">
        <v>3727</v>
      </c>
      <c r="E540" s="3100" t="s">
        <v>463</v>
      </c>
      <c r="F540" s="3101">
        <v>64.099999999999994</v>
      </c>
      <c r="G540" s="3102" t="s">
        <v>3188</v>
      </c>
    </row>
    <row r="541" spans="1:7" ht="15" thickBot="1">
      <c r="A541" s="3099">
        <v>1208</v>
      </c>
      <c r="B541" s="3203" t="s">
        <v>3334</v>
      </c>
      <c r="C541" s="3204"/>
      <c r="D541" s="3100" t="s">
        <v>3728</v>
      </c>
      <c r="E541" s="3100" t="s">
        <v>463</v>
      </c>
      <c r="F541" s="3101">
        <v>64.099999999999994</v>
      </c>
      <c r="G541" s="3102" t="s">
        <v>3188</v>
      </c>
    </row>
    <row r="542" spans="1:7" ht="15" thickBot="1">
      <c r="A542" s="3099">
        <v>1209</v>
      </c>
      <c r="B542" s="3203" t="s">
        <v>3334</v>
      </c>
      <c r="C542" s="3204"/>
      <c r="D542" s="3100" t="s">
        <v>3729</v>
      </c>
      <c r="E542" s="3100" t="s">
        <v>463</v>
      </c>
      <c r="F542" s="3101">
        <v>88.6</v>
      </c>
      <c r="G542" s="3102" t="s">
        <v>3188</v>
      </c>
    </row>
    <row r="543" spans="1:7" ht="15" thickBot="1">
      <c r="A543" s="3099">
        <v>1210</v>
      </c>
      <c r="B543" s="3203" t="s">
        <v>3334</v>
      </c>
      <c r="C543" s="3204"/>
      <c r="D543" s="3100" t="s">
        <v>3730</v>
      </c>
      <c r="E543" s="3100" t="s">
        <v>463</v>
      </c>
      <c r="F543" s="3101">
        <v>88.6</v>
      </c>
      <c r="G543" s="3102" t="s">
        <v>3188</v>
      </c>
    </row>
    <row r="544" spans="1:7" ht="15" thickBot="1">
      <c r="A544" s="3099">
        <v>1211</v>
      </c>
      <c r="B544" s="3203" t="s">
        <v>3334</v>
      </c>
      <c r="C544" s="3204"/>
      <c r="D544" s="3100" t="s">
        <v>3731</v>
      </c>
      <c r="E544" s="3100" t="s">
        <v>463</v>
      </c>
      <c r="F544" s="3101">
        <v>64.099999999999994</v>
      </c>
      <c r="G544" s="3102" t="s">
        <v>3188</v>
      </c>
    </row>
    <row r="545" spans="1:7" ht="15" thickBot="1">
      <c r="A545" s="3099">
        <v>1212</v>
      </c>
      <c r="B545" s="3203" t="s">
        <v>3334</v>
      </c>
      <c r="C545" s="3204"/>
      <c r="D545" s="3100" t="s">
        <v>3732</v>
      </c>
      <c r="E545" s="3100" t="s">
        <v>463</v>
      </c>
      <c r="F545" s="3101">
        <v>64.099999999999994</v>
      </c>
      <c r="G545" s="3102" t="s">
        <v>3188</v>
      </c>
    </row>
    <row r="546" spans="1:7" ht="15" thickBot="1">
      <c r="A546" s="3099">
        <v>1213</v>
      </c>
      <c r="B546" s="3203" t="s">
        <v>3334</v>
      </c>
      <c r="C546" s="3204"/>
      <c r="D546" s="3100" t="s">
        <v>3733</v>
      </c>
      <c r="E546" s="3100" t="s">
        <v>463</v>
      </c>
      <c r="F546" s="3101">
        <v>88.6</v>
      </c>
      <c r="G546" s="3102" t="s">
        <v>3188</v>
      </c>
    </row>
    <row r="547" spans="1:7" ht="15" thickBot="1">
      <c r="A547" s="3099">
        <v>1214</v>
      </c>
      <c r="B547" s="3203" t="s">
        <v>3334</v>
      </c>
      <c r="C547" s="3204"/>
      <c r="D547" s="3100" t="s">
        <v>3734</v>
      </c>
      <c r="E547" s="3100" t="s">
        <v>463</v>
      </c>
      <c r="F547" s="3101">
        <v>88.6</v>
      </c>
      <c r="G547" s="3102" t="s">
        <v>3188</v>
      </c>
    </row>
    <row r="548" spans="1:7" ht="15" thickBot="1">
      <c r="A548" s="3099">
        <v>1215</v>
      </c>
      <c r="B548" s="3203" t="s">
        <v>3334</v>
      </c>
      <c r="C548" s="3204"/>
      <c r="D548" s="3100" t="s">
        <v>3735</v>
      </c>
      <c r="E548" s="3100" t="s">
        <v>463</v>
      </c>
      <c r="F548" s="3101">
        <v>64.099999999999994</v>
      </c>
      <c r="G548" s="3102" t="s">
        <v>3188</v>
      </c>
    </row>
    <row r="549" spans="1:7" ht="15" thickBot="1">
      <c r="A549" s="3099">
        <v>1216</v>
      </c>
      <c r="B549" s="3203" t="s">
        <v>3334</v>
      </c>
      <c r="C549" s="3204"/>
      <c r="D549" s="3100" t="s">
        <v>3736</v>
      </c>
      <c r="E549" s="3100" t="s">
        <v>463</v>
      </c>
      <c r="F549" s="3101">
        <v>64.099999999999994</v>
      </c>
      <c r="G549" s="3102" t="s">
        <v>3188</v>
      </c>
    </row>
    <row r="550" spans="1:7" ht="15" thickBot="1">
      <c r="A550" s="3099">
        <v>1217</v>
      </c>
      <c r="B550" s="3203" t="s">
        <v>3334</v>
      </c>
      <c r="C550" s="3204"/>
      <c r="D550" s="3100" t="s">
        <v>3737</v>
      </c>
      <c r="E550" s="3100" t="s">
        <v>463</v>
      </c>
      <c r="F550" s="3101">
        <v>88.6</v>
      </c>
      <c r="G550" s="3102" t="s">
        <v>3188</v>
      </c>
    </row>
    <row r="551" spans="1:7" ht="15" thickBot="1">
      <c r="A551" s="3099">
        <v>1218</v>
      </c>
      <c r="B551" s="3203" t="s">
        <v>3334</v>
      </c>
      <c r="C551" s="3204"/>
      <c r="D551" s="3100" t="s">
        <v>3738</v>
      </c>
      <c r="E551" s="3100" t="s">
        <v>463</v>
      </c>
      <c r="F551" s="3101">
        <v>88.51</v>
      </c>
      <c r="G551" s="3102" t="s">
        <v>3188</v>
      </c>
    </row>
    <row r="552" spans="1:7" ht="15" thickBot="1">
      <c r="A552" s="3099">
        <v>1219</v>
      </c>
      <c r="B552" s="3203" t="s">
        <v>3334</v>
      </c>
      <c r="C552" s="3204"/>
      <c r="D552" s="3100" t="s">
        <v>3739</v>
      </c>
      <c r="E552" s="3100" t="s">
        <v>463</v>
      </c>
      <c r="F552" s="3101">
        <v>64.099999999999994</v>
      </c>
      <c r="G552" s="3102" t="s">
        <v>3188</v>
      </c>
    </row>
    <row r="553" spans="1:7" ht="15" thickBot="1">
      <c r="A553" s="3099">
        <v>1220</v>
      </c>
      <c r="B553" s="3203" t="s">
        <v>3334</v>
      </c>
      <c r="C553" s="3204"/>
      <c r="D553" s="3100" t="s">
        <v>3740</v>
      </c>
      <c r="E553" s="3100" t="s">
        <v>463</v>
      </c>
      <c r="F553" s="3101">
        <v>64.099999999999994</v>
      </c>
      <c r="G553" s="3102" t="s">
        <v>3188</v>
      </c>
    </row>
    <row r="554" spans="1:7" ht="15" thickBot="1">
      <c r="A554" s="3099">
        <v>1221</v>
      </c>
      <c r="B554" s="3203" t="s">
        <v>3334</v>
      </c>
      <c r="C554" s="3204"/>
      <c r="D554" s="3100" t="s">
        <v>3741</v>
      </c>
      <c r="E554" s="3100" t="s">
        <v>463</v>
      </c>
      <c r="F554" s="3101">
        <v>88.6</v>
      </c>
      <c r="G554" s="3102" t="s">
        <v>3188</v>
      </c>
    </row>
    <row r="555" spans="1:7" ht="15" thickBot="1">
      <c r="A555" s="3099">
        <v>1222</v>
      </c>
      <c r="B555" s="3203" t="s">
        <v>3334</v>
      </c>
      <c r="C555" s="3204"/>
      <c r="D555" s="3100" t="s">
        <v>3742</v>
      </c>
      <c r="E555" s="3100" t="s">
        <v>463</v>
      </c>
      <c r="F555" s="3101">
        <v>88.6</v>
      </c>
      <c r="G555" s="3102" t="s">
        <v>3188</v>
      </c>
    </row>
    <row r="556" spans="1:7" ht="15" thickBot="1">
      <c r="A556" s="3099">
        <v>1223</v>
      </c>
      <c r="B556" s="3203" t="s">
        <v>3334</v>
      </c>
      <c r="C556" s="3204"/>
      <c r="D556" s="3100" t="s">
        <v>3743</v>
      </c>
      <c r="E556" s="3100" t="s">
        <v>463</v>
      </c>
      <c r="F556" s="3101">
        <v>64.099999999999994</v>
      </c>
      <c r="G556" s="3102" t="s">
        <v>3188</v>
      </c>
    </row>
    <row r="557" spans="1:7" ht="15" thickBot="1">
      <c r="A557" s="3099">
        <v>1224</v>
      </c>
      <c r="B557" s="3203" t="s">
        <v>3334</v>
      </c>
      <c r="C557" s="3204"/>
      <c r="D557" s="3100" t="s">
        <v>3744</v>
      </c>
      <c r="E557" s="3100" t="s">
        <v>463</v>
      </c>
      <c r="F557" s="3101">
        <v>64.099999999999994</v>
      </c>
      <c r="G557" s="3102" t="s">
        <v>3188</v>
      </c>
    </row>
    <row r="558" spans="1:7" ht="15" thickBot="1">
      <c r="A558" s="3099">
        <v>1225</v>
      </c>
      <c r="B558" s="3203" t="s">
        <v>3334</v>
      </c>
      <c r="C558" s="3204"/>
      <c r="D558" s="3100" t="s">
        <v>3745</v>
      </c>
      <c r="E558" s="3100" t="s">
        <v>463</v>
      </c>
      <c r="F558" s="3101">
        <v>88.6</v>
      </c>
      <c r="G558" s="3102" t="s">
        <v>3188</v>
      </c>
    </row>
    <row r="559" spans="1:7" ht="15" thickBot="1">
      <c r="A559" s="3099">
        <v>1226</v>
      </c>
      <c r="B559" s="3203" t="s">
        <v>3334</v>
      </c>
      <c r="C559" s="3204"/>
      <c r="D559" s="3100" t="s">
        <v>3746</v>
      </c>
      <c r="E559" s="3100" t="s">
        <v>463</v>
      </c>
      <c r="F559" s="3101">
        <v>88.6</v>
      </c>
      <c r="G559" s="3102" t="s">
        <v>3188</v>
      </c>
    </row>
    <row r="560" spans="1:7" ht="15" thickBot="1">
      <c r="A560" s="3099">
        <v>1227</v>
      </c>
      <c r="B560" s="3203" t="s">
        <v>3334</v>
      </c>
      <c r="C560" s="3204"/>
      <c r="D560" s="3100" t="s">
        <v>3747</v>
      </c>
      <c r="E560" s="3100" t="s">
        <v>463</v>
      </c>
      <c r="F560" s="3101">
        <v>64.099999999999994</v>
      </c>
      <c r="G560" s="3102" t="s">
        <v>3188</v>
      </c>
    </row>
    <row r="561" spans="1:7" ht="15" thickBot="1">
      <c r="A561" s="3099">
        <v>1228</v>
      </c>
      <c r="B561" s="3203" t="s">
        <v>3334</v>
      </c>
      <c r="C561" s="3204"/>
      <c r="D561" s="3100" t="s">
        <v>3748</v>
      </c>
      <c r="E561" s="3100" t="s">
        <v>463</v>
      </c>
      <c r="F561" s="3101">
        <v>64.099999999999994</v>
      </c>
      <c r="G561" s="3102" t="s">
        <v>3188</v>
      </c>
    </row>
    <row r="562" spans="1:7" ht="15" thickBot="1">
      <c r="A562" s="3099">
        <v>1229</v>
      </c>
      <c r="B562" s="3203" t="s">
        <v>3334</v>
      </c>
      <c r="C562" s="3204"/>
      <c r="D562" s="3100" t="s">
        <v>3749</v>
      </c>
      <c r="E562" s="3100" t="s">
        <v>463</v>
      </c>
      <c r="F562" s="3101">
        <v>88.6</v>
      </c>
      <c r="G562" s="3102" t="s">
        <v>3188</v>
      </c>
    </row>
    <row r="563" spans="1:7" ht="15" thickBot="1">
      <c r="A563" s="3099">
        <v>1230</v>
      </c>
      <c r="B563" s="3203" t="s">
        <v>3334</v>
      </c>
      <c r="C563" s="3204"/>
      <c r="D563" s="3100" t="s">
        <v>3750</v>
      </c>
      <c r="E563" s="3100" t="s">
        <v>463</v>
      </c>
      <c r="F563" s="3101">
        <v>88.6</v>
      </c>
      <c r="G563" s="3102" t="s">
        <v>3188</v>
      </c>
    </row>
    <row r="564" spans="1:7" ht="15" thickBot="1">
      <c r="A564" s="3099">
        <v>1231</v>
      </c>
      <c r="B564" s="3203" t="s">
        <v>3334</v>
      </c>
      <c r="C564" s="3204"/>
      <c r="D564" s="3100" t="s">
        <v>3751</v>
      </c>
      <c r="E564" s="3100" t="s">
        <v>463</v>
      </c>
      <c r="F564" s="3101">
        <v>64.099999999999994</v>
      </c>
      <c r="G564" s="3102" t="s">
        <v>3188</v>
      </c>
    </row>
    <row r="565" spans="1:7" ht="15" thickBot="1">
      <c r="A565" s="3099">
        <v>1232</v>
      </c>
      <c r="B565" s="3203" t="s">
        <v>3334</v>
      </c>
      <c r="C565" s="3204"/>
      <c r="D565" s="3100" t="s">
        <v>3752</v>
      </c>
      <c r="E565" s="3100" t="s">
        <v>463</v>
      </c>
      <c r="F565" s="3101">
        <v>64.099999999999994</v>
      </c>
      <c r="G565" s="3102" t="s">
        <v>3188</v>
      </c>
    </row>
    <row r="566" spans="1:7" ht="15" thickBot="1">
      <c r="A566" s="3099">
        <v>1233</v>
      </c>
      <c r="B566" s="3203" t="s">
        <v>3334</v>
      </c>
      <c r="C566" s="3204"/>
      <c r="D566" s="3100" t="s">
        <v>3753</v>
      </c>
      <c r="E566" s="3100" t="s">
        <v>463</v>
      </c>
      <c r="F566" s="3101">
        <v>88.6</v>
      </c>
      <c r="G566" s="3102" t="s">
        <v>3188</v>
      </c>
    </row>
    <row r="567" spans="1:7" ht="15" thickBot="1">
      <c r="A567" s="3099">
        <v>1234</v>
      </c>
      <c r="B567" s="3203" t="s">
        <v>3334</v>
      </c>
      <c r="C567" s="3204"/>
      <c r="D567" s="3100" t="s">
        <v>3754</v>
      </c>
      <c r="E567" s="3100" t="s">
        <v>463</v>
      </c>
      <c r="F567" s="3101">
        <v>88.6</v>
      </c>
      <c r="G567" s="3102" t="s">
        <v>3188</v>
      </c>
    </row>
    <row r="568" spans="1:7" ht="15" thickBot="1">
      <c r="A568" s="3099">
        <v>1235</v>
      </c>
      <c r="B568" s="3203" t="s">
        <v>3334</v>
      </c>
      <c r="C568" s="3204"/>
      <c r="D568" s="3100" t="s">
        <v>3755</v>
      </c>
      <c r="E568" s="3100" t="s">
        <v>463</v>
      </c>
      <c r="F568" s="3101">
        <v>64.099999999999994</v>
      </c>
      <c r="G568" s="3102" t="s">
        <v>3188</v>
      </c>
    </row>
    <row r="569" spans="1:7" ht="15" thickBot="1">
      <c r="A569" s="3099">
        <v>1236</v>
      </c>
      <c r="B569" s="3203" t="s">
        <v>3334</v>
      </c>
      <c r="C569" s="3204"/>
      <c r="D569" s="3100" t="s">
        <v>3756</v>
      </c>
      <c r="E569" s="3100" t="s">
        <v>463</v>
      </c>
      <c r="F569" s="3101">
        <v>64.099999999999994</v>
      </c>
      <c r="G569" s="3102" t="s">
        <v>3188</v>
      </c>
    </row>
    <row r="570" spans="1:7" ht="15" thickBot="1">
      <c r="A570" s="3099">
        <v>1237</v>
      </c>
      <c r="B570" s="3203" t="s">
        <v>3334</v>
      </c>
      <c r="C570" s="3204"/>
      <c r="D570" s="3100" t="s">
        <v>3757</v>
      </c>
      <c r="E570" s="3100" t="s">
        <v>463</v>
      </c>
      <c r="F570" s="3101">
        <v>88.6</v>
      </c>
      <c r="G570" s="3102" t="s">
        <v>3188</v>
      </c>
    </row>
    <row r="571" spans="1:7" ht="15" thickBot="1">
      <c r="A571" s="3099">
        <v>1238</v>
      </c>
      <c r="B571" s="3203" t="s">
        <v>3334</v>
      </c>
      <c r="C571" s="3204"/>
      <c r="D571" s="3100" t="s">
        <v>3758</v>
      </c>
      <c r="E571" s="3100" t="s">
        <v>463</v>
      </c>
      <c r="F571" s="3101">
        <v>88.6</v>
      </c>
      <c r="G571" s="3102" t="s">
        <v>3188</v>
      </c>
    </row>
    <row r="572" spans="1:7" ht="15" thickBot="1">
      <c r="A572" s="3099">
        <v>1239</v>
      </c>
      <c r="B572" s="3203" t="s">
        <v>3334</v>
      </c>
      <c r="C572" s="3204"/>
      <c r="D572" s="3100" t="s">
        <v>3759</v>
      </c>
      <c r="E572" s="3100" t="s">
        <v>463</v>
      </c>
      <c r="F572" s="3101">
        <v>64.099999999999994</v>
      </c>
      <c r="G572" s="3102" t="s">
        <v>3188</v>
      </c>
    </row>
    <row r="573" spans="1:7" ht="15" thickBot="1">
      <c r="A573" s="3099">
        <v>1240</v>
      </c>
      <c r="B573" s="3203" t="s">
        <v>3334</v>
      </c>
      <c r="C573" s="3204"/>
      <c r="D573" s="3100" t="s">
        <v>3760</v>
      </c>
      <c r="E573" s="3100" t="s">
        <v>463</v>
      </c>
      <c r="F573" s="3101">
        <v>64.099999999999994</v>
      </c>
      <c r="G573" s="3102" t="s">
        <v>3188</v>
      </c>
    </row>
    <row r="574" spans="1:7" ht="15" thickBot="1">
      <c r="A574" s="3099">
        <v>1241</v>
      </c>
      <c r="B574" s="3203" t="s">
        <v>3334</v>
      </c>
      <c r="C574" s="3204"/>
      <c r="D574" s="3100" t="s">
        <v>3761</v>
      </c>
      <c r="E574" s="3100" t="s">
        <v>463</v>
      </c>
      <c r="F574" s="3101">
        <v>88.6</v>
      </c>
      <c r="G574" s="3102" t="s">
        <v>3188</v>
      </c>
    </row>
    <row r="575" spans="1:7" ht="15" thickBot="1">
      <c r="A575" s="3099">
        <v>1242</v>
      </c>
      <c r="B575" s="3203" t="s">
        <v>3334</v>
      </c>
      <c r="C575" s="3204"/>
      <c r="D575" s="3100" t="s">
        <v>3762</v>
      </c>
      <c r="E575" s="3100" t="s">
        <v>463</v>
      </c>
      <c r="F575" s="3101">
        <v>88.6</v>
      </c>
      <c r="G575" s="3102" t="s">
        <v>3188</v>
      </c>
    </row>
    <row r="576" spans="1:7" ht="15" thickBot="1">
      <c r="A576" s="3099">
        <v>1243</v>
      </c>
      <c r="B576" s="3203" t="s">
        <v>3334</v>
      </c>
      <c r="C576" s="3204"/>
      <c r="D576" s="3100" t="s">
        <v>3763</v>
      </c>
      <c r="E576" s="3100" t="s">
        <v>463</v>
      </c>
      <c r="F576" s="3101">
        <v>64.099999999999994</v>
      </c>
      <c r="G576" s="3102" t="s">
        <v>3188</v>
      </c>
    </row>
    <row r="577" spans="1:7" ht="15" thickBot="1">
      <c r="A577" s="3099">
        <v>1244</v>
      </c>
      <c r="B577" s="3203" t="s">
        <v>3334</v>
      </c>
      <c r="C577" s="3204"/>
      <c r="D577" s="3100" t="s">
        <v>3764</v>
      </c>
      <c r="E577" s="3100" t="s">
        <v>463</v>
      </c>
      <c r="F577" s="3101">
        <v>64.099999999999994</v>
      </c>
      <c r="G577" s="3102" t="s">
        <v>3188</v>
      </c>
    </row>
    <row r="578" spans="1:7" ht="15" thickBot="1">
      <c r="A578" s="3099">
        <v>1245</v>
      </c>
      <c r="B578" s="3203" t="s">
        <v>3334</v>
      </c>
      <c r="C578" s="3204"/>
      <c r="D578" s="3100" t="s">
        <v>3765</v>
      </c>
      <c r="E578" s="3100" t="s">
        <v>463</v>
      </c>
      <c r="F578" s="3101">
        <v>88.6</v>
      </c>
      <c r="G578" s="3102" t="s">
        <v>3188</v>
      </c>
    </row>
    <row r="579" spans="1:7" ht="15" thickBot="1">
      <c r="A579" s="3099">
        <v>1246</v>
      </c>
      <c r="B579" s="3203" t="s">
        <v>3334</v>
      </c>
      <c r="C579" s="3204"/>
      <c r="D579" s="3100" t="s">
        <v>3766</v>
      </c>
      <c r="E579" s="3100" t="s">
        <v>463</v>
      </c>
      <c r="F579" s="3101">
        <v>88.6</v>
      </c>
      <c r="G579" s="3102" t="s">
        <v>3188</v>
      </c>
    </row>
    <row r="580" spans="1:7" ht="15" thickBot="1">
      <c r="A580" s="3099">
        <v>1247</v>
      </c>
      <c r="B580" s="3203" t="s">
        <v>3334</v>
      </c>
      <c r="C580" s="3204"/>
      <c r="D580" s="3100" t="s">
        <v>3767</v>
      </c>
      <c r="E580" s="3100" t="s">
        <v>463</v>
      </c>
      <c r="F580" s="3101">
        <v>64.099999999999994</v>
      </c>
      <c r="G580" s="3102" t="s">
        <v>3188</v>
      </c>
    </row>
    <row r="581" spans="1:7" ht="15" thickBot="1">
      <c r="A581" s="3099">
        <v>1248</v>
      </c>
      <c r="B581" s="3203" t="s">
        <v>3334</v>
      </c>
      <c r="C581" s="3204"/>
      <c r="D581" s="3100" t="s">
        <v>3768</v>
      </c>
      <c r="E581" s="3100" t="s">
        <v>463</v>
      </c>
      <c r="F581" s="3101">
        <v>64.099999999999994</v>
      </c>
      <c r="G581" s="3102" t="s">
        <v>3188</v>
      </c>
    </row>
    <row r="582" spans="1:7" ht="15" thickBot="1">
      <c r="A582" s="3099">
        <v>1249</v>
      </c>
      <c r="B582" s="3203" t="s">
        <v>3334</v>
      </c>
      <c r="C582" s="3204"/>
      <c r="D582" s="3100" t="s">
        <v>3769</v>
      </c>
      <c r="E582" s="3100" t="s">
        <v>463</v>
      </c>
      <c r="F582" s="3101">
        <v>88.6</v>
      </c>
      <c r="G582" s="3102" t="s">
        <v>3188</v>
      </c>
    </row>
    <row r="583" spans="1:7" ht="15" thickBot="1">
      <c r="A583" s="3099">
        <v>1250</v>
      </c>
      <c r="B583" s="3203" t="s">
        <v>3334</v>
      </c>
      <c r="C583" s="3204"/>
      <c r="D583" s="3100" t="s">
        <v>3770</v>
      </c>
      <c r="E583" s="3100" t="s">
        <v>463</v>
      </c>
      <c r="F583" s="3101">
        <v>88.6</v>
      </c>
      <c r="G583" s="3102" t="s">
        <v>3188</v>
      </c>
    </row>
    <row r="584" spans="1:7" ht="15" thickBot="1">
      <c r="A584" s="3099">
        <v>1251</v>
      </c>
      <c r="B584" s="3203" t="s">
        <v>3334</v>
      </c>
      <c r="C584" s="3204"/>
      <c r="D584" s="3100" t="s">
        <v>3771</v>
      </c>
      <c r="E584" s="3100" t="s">
        <v>463</v>
      </c>
      <c r="F584" s="3101">
        <v>64.099999999999994</v>
      </c>
      <c r="G584" s="3102" t="s">
        <v>3188</v>
      </c>
    </row>
    <row r="585" spans="1:7" ht="15" thickBot="1">
      <c r="A585" s="3099">
        <v>1252</v>
      </c>
      <c r="B585" s="3203" t="s">
        <v>3334</v>
      </c>
      <c r="C585" s="3204"/>
      <c r="D585" s="3100" t="s">
        <v>3772</v>
      </c>
      <c r="E585" s="3100" t="s">
        <v>463</v>
      </c>
      <c r="F585" s="3101">
        <v>64.099999999999994</v>
      </c>
      <c r="G585" s="3102" t="s">
        <v>3188</v>
      </c>
    </row>
    <row r="586" spans="1:7" ht="15" thickBot="1">
      <c r="A586" s="3099">
        <v>1253</v>
      </c>
      <c r="B586" s="3203" t="s">
        <v>3334</v>
      </c>
      <c r="C586" s="3204"/>
      <c r="D586" s="3100" t="s">
        <v>3773</v>
      </c>
      <c r="E586" s="3100" t="s">
        <v>463</v>
      </c>
      <c r="F586" s="3101">
        <v>88.6</v>
      </c>
      <c r="G586" s="3102" t="s">
        <v>3188</v>
      </c>
    </row>
    <row r="587" spans="1:7" ht="15" thickBot="1">
      <c r="A587" s="3099">
        <v>1254</v>
      </c>
      <c r="B587" s="3203" t="s">
        <v>3334</v>
      </c>
      <c r="C587" s="3204"/>
      <c r="D587" s="3100" t="s">
        <v>3774</v>
      </c>
      <c r="E587" s="3100" t="s">
        <v>463</v>
      </c>
      <c r="F587" s="3101">
        <v>88.6</v>
      </c>
      <c r="G587" s="3102" t="s">
        <v>3188</v>
      </c>
    </row>
    <row r="588" spans="1:7" ht="15" thickBot="1">
      <c r="A588" s="3099">
        <v>1255</v>
      </c>
      <c r="B588" s="3203" t="s">
        <v>3334</v>
      </c>
      <c r="C588" s="3204"/>
      <c r="D588" s="3100" t="s">
        <v>3775</v>
      </c>
      <c r="E588" s="3100" t="s">
        <v>463</v>
      </c>
      <c r="F588" s="3101">
        <v>64.099999999999994</v>
      </c>
      <c r="G588" s="3102" t="s">
        <v>3188</v>
      </c>
    </row>
    <row r="589" spans="1:7" ht="15" thickBot="1">
      <c r="A589" s="3099">
        <v>1256</v>
      </c>
      <c r="B589" s="3203" t="s">
        <v>3334</v>
      </c>
      <c r="C589" s="3204"/>
      <c r="D589" s="3100" t="s">
        <v>3776</v>
      </c>
      <c r="E589" s="3100" t="s">
        <v>463</v>
      </c>
      <c r="F589" s="3101">
        <v>64.099999999999994</v>
      </c>
      <c r="G589" s="3102" t="s">
        <v>3188</v>
      </c>
    </row>
    <row r="590" spans="1:7" ht="15" thickBot="1">
      <c r="A590" s="3099">
        <v>1257</v>
      </c>
      <c r="B590" s="3203" t="s">
        <v>3334</v>
      </c>
      <c r="C590" s="3204"/>
      <c r="D590" s="3100" t="s">
        <v>3777</v>
      </c>
      <c r="E590" s="3100" t="s">
        <v>463</v>
      </c>
      <c r="F590" s="3101">
        <v>88.6</v>
      </c>
      <c r="G590" s="3102" t="s">
        <v>3188</v>
      </c>
    </row>
    <row r="591" spans="1:7" ht="15" thickBot="1">
      <c r="A591" s="3099">
        <v>1258</v>
      </c>
      <c r="B591" s="3203" t="s">
        <v>3334</v>
      </c>
      <c r="C591" s="3204"/>
      <c r="D591" s="3100" t="s">
        <v>3778</v>
      </c>
      <c r="E591" s="3100" t="s">
        <v>463</v>
      </c>
      <c r="F591" s="3101">
        <v>88.6</v>
      </c>
      <c r="G591" s="3102" t="s">
        <v>3188</v>
      </c>
    </row>
    <row r="592" spans="1:7" ht="15" thickBot="1">
      <c r="A592" s="3099">
        <v>1259</v>
      </c>
      <c r="B592" s="3203" t="s">
        <v>3334</v>
      </c>
      <c r="C592" s="3204"/>
      <c r="D592" s="3100" t="s">
        <v>3779</v>
      </c>
      <c r="E592" s="3100" t="s">
        <v>463</v>
      </c>
      <c r="F592" s="3101">
        <v>64.099999999999994</v>
      </c>
      <c r="G592" s="3102" t="s">
        <v>3188</v>
      </c>
    </row>
    <row r="593" spans="1:7" ht="15" thickBot="1">
      <c r="A593" s="3099">
        <v>1260</v>
      </c>
      <c r="B593" s="3203" t="s">
        <v>3334</v>
      </c>
      <c r="C593" s="3204"/>
      <c r="D593" s="3100" t="s">
        <v>3780</v>
      </c>
      <c r="E593" s="3100" t="s">
        <v>463</v>
      </c>
      <c r="F593" s="3101">
        <v>64.099999999999994</v>
      </c>
      <c r="G593" s="3102" t="s">
        <v>3188</v>
      </c>
    </row>
    <row r="594" spans="1:7" ht="15" thickBot="1">
      <c r="A594" s="3099">
        <v>1261</v>
      </c>
      <c r="B594" s="3203" t="s">
        <v>3334</v>
      </c>
      <c r="C594" s="3204"/>
      <c r="D594" s="3100" t="s">
        <v>3781</v>
      </c>
      <c r="E594" s="3100" t="s">
        <v>463</v>
      </c>
      <c r="F594" s="3101">
        <v>88.6</v>
      </c>
      <c r="G594" s="3102" t="s">
        <v>3188</v>
      </c>
    </row>
    <row r="595" spans="1:7" ht="15" thickBot="1">
      <c r="A595" s="3099">
        <v>1262</v>
      </c>
      <c r="B595" s="3203" t="s">
        <v>3334</v>
      </c>
      <c r="C595" s="3204"/>
      <c r="D595" s="3100" t="s">
        <v>3782</v>
      </c>
      <c r="E595" s="3100" t="s">
        <v>463</v>
      </c>
      <c r="F595" s="3101">
        <v>88.6</v>
      </c>
      <c r="G595" s="3102" t="s">
        <v>3188</v>
      </c>
    </row>
    <row r="596" spans="1:7" ht="15" thickBot="1">
      <c r="A596" s="3099">
        <v>1263</v>
      </c>
      <c r="B596" s="3203" t="s">
        <v>3334</v>
      </c>
      <c r="C596" s="3204"/>
      <c r="D596" s="3100" t="s">
        <v>3783</v>
      </c>
      <c r="E596" s="3100" t="s">
        <v>463</v>
      </c>
      <c r="F596" s="3101">
        <v>64.099999999999994</v>
      </c>
      <c r="G596" s="3102" t="s">
        <v>3188</v>
      </c>
    </row>
    <row r="597" spans="1:7" ht="15" thickBot="1">
      <c r="A597" s="3099">
        <v>1264</v>
      </c>
      <c r="B597" s="3203" t="s">
        <v>3334</v>
      </c>
      <c r="C597" s="3204"/>
      <c r="D597" s="3100" t="s">
        <v>3784</v>
      </c>
      <c r="E597" s="3100" t="s">
        <v>463</v>
      </c>
      <c r="F597" s="3101">
        <v>64.099999999999994</v>
      </c>
      <c r="G597" s="3102" t="s">
        <v>3188</v>
      </c>
    </row>
    <row r="598" spans="1:7" ht="15" thickBot="1">
      <c r="A598" s="3099">
        <v>1265</v>
      </c>
      <c r="B598" s="3203" t="s">
        <v>3334</v>
      </c>
      <c r="C598" s="3204"/>
      <c r="D598" s="3100" t="s">
        <v>3785</v>
      </c>
      <c r="E598" s="3100" t="s">
        <v>463</v>
      </c>
      <c r="F598" s="3101">
        <v>88.6</v>
      </c>
      <c r="G598" s="3102" t="s">
        <v>3188</v>
      </c>
    </row>
    <row r="599" spans="1:7" ht="15" thickBot="1">
      <c r="A599" s="3099">
        <v>1266</v>
      </c>
      <c r="B599" s="3203" t="s">
        <v>3334</v>
      </c>
      <c r="C599" s="3204"/>
      <c r="D599" s="3100" t="s">
        <v>3786</v>
      </c>
      <c r="E599" s="3100" t="s">
        <v>463</v>
      </c>
      <c r="F599" s="3101">
        <v>88.6</v>
      </c>
      <c r="G599" s="3102" t="s">
        <v>3188</v>
      </c>
    </row>
    <row r="600" spans="1:7" ht="15" thickBot="1">
      <c r="A600" s="3099">
        <v>1267</v>
      </c>
      <c r="B600" s="3203" t="s">
        <v>3334</v>
      </c>
      <c r="C600" s="3204"/>
      <c r="D600" s="3100" t="s">
        <v>3787</v>
      </c>
      <c r="E600" s="3100" t="s">
        <v>463</v>
      </c>
      <c r="F600" s="3101">
        <v>64.099999999999994</v>
      </c>
      <c r="G600" s="3102" t="s">
        <v>3188</v>
      </c>
    </row>
    <row r="601" spans="1:7" ht="15" thickBot="1">
      <c r="A601" s="3099">
        <v>1268</v>
      </c>
      <c r="B601" s="3203" t="s">
        <v>3334</v>
      </c>
      <c r="C601" s="3204"/>
      <c r="D601" s="3100" t="s">
        <v>3788</v>
      </c>
      <c r="E601" s="3100" t="s">
        <v>463</v>
      </c>
      <c r="F601" s="3101">
        <v>64.099999999999994</v>
      </c>
      <c r="G601" s="3102" t="s">
        <v>3188</v>
      </c>
    </row>
    <row r="602" spans="1:7" ht="15" thickBot="1">
      <c r="A602" s="3099">
        <v>1269</v>
      </c>
      <c r="B602" s="3203" t="s">
        <v>3334</v>
      </c>
      <c r="C602" s="3204"/>
      <c r="D602" s="3100" t="s">
        <v>3789</v>
      </c>
      <c r="E602" s="3100" t="s">
        <v>463</v>
      </c>
      <c r="F602" s="3101">
        <v>88.6</v>
      </c>
      <c r="G602" s="3102" t="s">
        <v>3188</v>
      </c>
    </row>
    <row r="603" spans="1:7" ht="15" thickBot="1">
      <c r="A603" s="3099">
        <v>1270</v>
      </c>
      <c r="B603" s="3203" t="s">
        <v>3334</v>
      </c>
      <c r="C603" s="3204"/>
      <c r="D603" s="3100" t="s">
        <v>3790</v>
      </c>
      <c r="E603" s="3100" t="s">
        <v>463</v>
      </c>
      <c r="F603" s="3101">
        <v>88.6</v>
      </c>
      <c r="G603" s="3102" t="s">
        <v>3188</v>
      </c>
    </row>
    <row r="604" spans="1:7" ht="15" thickBot="1">
      <c r="A604" s="3099">
        <v>1271</v>
      </c>
      <c r="B604" s="3203" t="s">
        <v>3334</v>
      </c>
      <c r="C604" s="3204"/>
      <c r="D604" s="3100" t="s">
        <v>3791</v>
      </c>
      <c r="E604" s="3100" t="s">
        <v>463</v>
      </c>
      <c r="F604" s="3101">
        <v>64.099999999999994</v>
      </c>
      <c r="G604" s="3102" t="s">
        <v>3188</v>
      </c>
    </row>
    <row r="605" spans="1:7" ht="15" thickBot="1">
      <c r="A605" s="3099">
        <v>1272</v>
      </c>
      <c r="B605" s="3203" t="s">
        <v>3334</v>
      </c>
      <c r="C605" s="3204"/>
      <c r="D605" s="3100" t="s">
        <v>3792</v>
      </c>
      <c r="E605" s="3100" t="s">
        <v>463</v>
      </c>
      <c r="F605" s="3101">
        <v>64.099999999999994</v>
      </c>
      <c r="G605" s="3102" t="s">
        <v>3188</v>
      </c>
    </row>
    <row r="606" spans="1:7" ht="15" thickBot="1">
      <c r="A606" s="3099">
        <v>1273</v>
      </c>
      <c r="B606" s="3203" t="s">
        <v>3334</v>
      </c>
      <c r="C606" s="3204"/>
      <c r="D606" s="3100" t="s">
        <v>3793</v>
      </c>
      <c r="E606" s="3100" t="s">
        <v>463</v>
      </c>
      <c r="F606" s="3101">
        <v>88.6</v>
      </c>
      <c r="G606" s="3102" t="s">
        <v>3188</v>
      </c>
    </row>
    <row r="607" spans="1:7" ht="15" thickBot="1">
      <c r="A607" s="3099">
        <v>1274</v>
      </c>
      <c r="B607" s="3203" t="s">
        <v>3334</v>
      </c>
      <c r="C607" s="3204"/>
      <c r="D607" s="3100" t="s">
        <v>3794</v>
      </c>
      <c r="E607" s="3100" t="s">
        <v>463</v>
      </c>
      <c r="F607" s="3101">
        <v>51.33</v>
      </c>
      <c r="G607" s="3102" t="s">
        <v>3188</v>
      </c>
    </row>
    <row r="608" spans="1:7" ht="15" thickBot="1">
      <c r="A608" s="3099">
        <v>1275</v>
      </c>
      <c r="B608" s="3203" t="s">
        <v>3334</v>
      </c>
      <c r="C608" s="3204"/>
      <c r="D608" s="3100" t="s">
        <v>3795</v>
      </c>
      <c r="E608" s="3100" t="s">
        <v>463</v>
      </c>
      <c r="F608" s="3101">
        <v>61.24</v>
      </c>
      <c r="G608" s="3102" t="s">
        <v>3188</v>
      </c>
    </row>
    <row r="609" spans="1:7" ht="15" thickBot="1">
      <c r="A609" s="3099">
        <v>1276</v>
      </c>
      <c r="B609" s="3203" t="s">
        <v>3334</v>
      </c>
      <c r="C609" s="3204"/>
      <c r="D609" s="3100" t="s">
        <v>3796</v>
      </c>
      <c r="E609" s="3100" t="s">
        <v>463</v>
      </c>
      <c r="F609" s="3101">
        <v>88.56</v>
      </c>
      <c r="G609" s="3102" t="s">
        <v>3188</v>
      </c>
    </row>
    <row r="610" spans="1:7" ht="15" thickBot="1">
      <c r="A610" s="3099">
        <v>1277</v>
      </c>
      <c r="B610" s="3203" t="s">
        <v>3334</v>
      </c>
      <c r="C610" s="3204"/>
      <c r="D610" s="3100" t="s">
        <v>3797</v>
      </c>
      <c r="E610" s="3100" t="s">
        <v>463</v>
      </c>
      <c r="F610" s="3101">
        <v>51.62</v>
      </c>
      <c r="G610" s="3102" t="s">
        <v>3188</v>
      </c>
    </row>
    <row r="611" spans="1:7" ht="15" thickBot="1">
      <c r="A611" s="3099">
        <v>1278</v>
      </c>
      <c r="B611" s="3203" t="s">
        <v>3334</v>
      </c>
      <c r="C611" s="3204"/>
      <c r="D611" s="3100" t="s">
        <v>3798</v>
      </c>
      <c r="E611" s="3100" t="s">
        <v>463</v>
      </c>
      <c r="F611" s="3101">
        <v>61.24</v>
      </c>
      <c r="G611" s="3102" t="s">
        <v>3188</v>
      </c>
    </row>
    <row r="612" spans="1:7" ht="15" thickBot="1">
      <c r="A612" s="3099">
        <v>1279</v>
      </c>
      <c r="B612" s="3203" t="s">
        <v>3334</v>
      </c>
      <c r="C612" s="3204"/>
      <c r="D612" s="3100" t="s">
        <v>3799</v>
      </c>
      <c r="E612" s="3100" t="s">
        <v>463</v>
      </c>
      <c r="F612" s="3101">
        <v>88.69</v>
      </c>
      <c r="G612" s="3102" t="s">
        <v>3188</v>
      </c>
    </row>
    <row r="613" spans="1:7" ht="15" thickBot="1">
      <c r="A613" s="3099">
        <v>1280</v>
      </c>
      <c r="B613" s="3203" t="s">
        <v>3334</v>
      </c>
      <c r="C613" s="3204"/>
      <c r="D613" s="3100" t="s">
        <v>3800</v>
      </c>
      <c r="E613" s="3100" t="s">
        <v>463</v>
      </c>
      <c r="F613" s="3101">
        <v>51.62</v>
      </c>
      <c r="G613" s="3102" t="s">
        <v>3188</v>
      </c>
    </row>
    <row r="614" spans="1:7" ht="15" thickBot="1">
      <c r="A614" s="3099">
        <v>1281</v>
      </c>
      <c r="B614" s="3203" t="s">
        <v>3334</v>
      </c>
      <c r="C614" s="3204"/>
      <c r="D614" s="3100" t="s">
        <v>3801</v>
      </c>
      <c r="E614" s="3100" t="s">
        <v>463</v>
      </c>
      <c r="F614" s="3101">
        <v>61.24</v>
      </c>
      <c r="G614" s="3102" t="s">
        <v>3188</v>
      </c>
    </row>
    <row r="615" spans="1:7" ht="15" thickBot="1">
      <c r="A615" s="3099">
        <v>1282</v>
      </c>
      <c r="B615" s="3203" t="s">
        <v>3334</v>
      </c>
      <c r="C615" s="3204"/>
      <c r="D615" s="3100" t="s">
        <v>3802</v>
      </c>
      <c r="E615" s="3100" t="s">
        <v>463</v>
      </c>
      <c r="F615" s="3101">
        <v>88.69</v>
      </c>
      <c r="G615" s="3102" t="s">
        <v>3188</v>
      </c>
    </row>
    <row r="616" spans="1:7" ht="15" thickBot="1">
      <c r="A616" s="3099">
        <v>1283</v>
      </c>
      <c r="B616" s="3203" t="s">
        <v>3334</v>
      </c>
      <c r="C616" s="3204"/>
      <c r="D616" s="3100" t="s">
        <v>3803</v>
      </c>
      <c r="E616" s="3100" t="s">
        <v>463</v>
      </c>
      <c r="F616" s="3101">
        <v>51.62</v>
      </c>
      <c r="G616" s="3102" t="s">
        <v>3188</v>
      </c>
    </row>
    <row r="617" spans="1:7" ht="15" thickBot="1">
      <c r="A617" s="3099">
        <v>1284</v>
      </c>
      <c r="B617" s="3203" t="s">
        <v>3334</v>
      </c>
      <c r="C617" s="3204"/>
      <c r="D617" s="3100" t="s">
        <v>3804</v>
      </c>
      <c r="E617" s="3100" t="s">
        <v>463</v>
      </c>
      <c r="F617" s="3101">
        <v>61.24</v>
      </c>
      <c r="G617" s="3102" t="s">
        <v>3188</v>
      </c>
    </row>
    <row r="618" spans="1:7" ht="15" thickBot="1">
      <c r="A618" s="3099">
        <v>1285</v>
      </c>
      <c r="B618" s="3203" t="s">
        <v>3334</v>
      </c>
      <c r="C618" s="3204"/>
      <c r="D618" s="3100" t="s">
        <v>3805</v>
      </c>
      <c r="E618" s="3100" t="s">
        <v>463</v>
      </c>
      <c r="F618" s="3101">
        <v>88.69</v>
      </c>
      <c r="G618" s="3102" t="s">
        <v>3188</v>
      </c>
    </row>
    <row r="619" spans="1:7" ht="15" thickBot="1">
      <c r="A619" s="3099">
        <v>1286</v>
      </c>
      <c r="B619" s="3203" t="s">
        <v>3334</v>
      </c>
      <c r="C619" s="3204"/>
      <c r="D619" s="3100" t="s">
        <v>3806</v>
      </c>
      <c r="E619" s="3100" t="s">
        <v>463</v>
      </c>
      <c r="F619" s="3101">
        <v>51.62</v>
      </c>
      <c r="G619" s="3102" t="s">
        <v>3188</v>
      </c>
    </row>
    <row r="620" spans="1:7" ht="15" thickBot="1">
      <c r="A620" s="3099">
        <v>1287</v>
      </c>
      <c r="B620" s="3203" t="s">
        <v>3334</v>
      </c>
      <c r="C620" s="3204"/>
      <c r="D620" s="3100" t="s">
        <v>3807</v>
      </c>
      <c r="E620" s="3100" t="s">
        <v>463</v>
      </c>
      <c r="F620" s="3101">
        <v>61.24</v>
      </c>
      <c r="G620" s="3102" t="s">
        <v>3188</v>
      </c>
    </row>
    <row r="621" spans="1:7" ht="15" thickBot="1">
      <c r="A621" s="3099">
        <v>1288</v>
      </c>
      <c r="B621" s="3203" t="s">
        <v>3334</v>
      </c>
      <c r="C621" s="3204"/>
      <c r="D621" s="3100" t="s">
        <v>3808</v>
      </c>
      <c r="E621" s="3100" t="s">
        <v>463</v>
      </c>
      <c r="F621" s="3101">
        <v>88.69</v>
      </c>
      <c r="G621" s="3102" t="s">
        <v>3188</v>
      </c>
    </row>
    <row r="622" spans="1:7" ht="15" thickBot="1">
      <c r="A622" s="3099">
        <v>1289</v>
      </c>
      <c r="B622" s="3203" t="s">
        <v>3334</v>
      </c>
      <c r="C622" s="3204"/>
      <c r="D622" s="3100" t="s">
        <v>3809</v>
      </c>
      <c r="E622" s="3100" t="s">
        <v>463</v>
      </c>
      <c r="F622" s="3101">
        <v>51.62</v>
      </c>
      <c r="G622" s="3102" t="s">
        <v>3188</v>
      </c>
    </row>
    <row r="623" spans="1:7" ht="15" thickBot="1">
      <c r="A623" s="3099">
        <v>1290</v>
      </c>
      <c r="B623" s="3203" t="s">
        <v>3334</v>
      </c>
      <c r="C623" s="3204"/>
      <c r="D623" s="3100" t="s">
        <v>3810</v>
      </c>
      <c r="E623" s="3100" t="s">
        <v>463</v>
      </c>
      <c r="F623" s="3101">
        <v>61.24</v>
      </c>
      <c r="G623" s="3102" t="s">
        <v>3188</v>
      </c>
    </row>
    <row r="624" spans="1:7" ht="15" thickBot="1">
      <c r="A624" s="3099">
        <v>1291</v>
      </c>
      <c r="B624" s="3203" t="s">
        <v>3334</v>
      </c>
      <c r="C624" s="3204"/>
      <c r="D624" s="3100" t="s">
        <v>3811</v>
      </c>
      <c r="E624" s="3100" t="s">
        <v>463</v>
      </c>
      <c r="F624" s="3101">
        <v>88.69</v>
      </c>
      <c r="G624" s="3102" t="s">
        <v>3188</v>
      </c>
    </row>
    <row r="625" spans="1:7" ht="15" thickBot="1">
      <c r="A625" s="3099">
        <v>1292</v>
      </c>
      <c r="B625" s="3203" t="s">
        <v>3334</v>
      </c>
      <c r="C625" s="3204"/>
      <c r="D625" s="3100" t="s">
        <v>3812</v>
      </c>
      <c r="E625" s="3100" t="s">
        <v>463</v>
      </c>
      <c r="F625" s="3101">
        <v>51.62</v>
      </c>
      <c r="G625" s="3102" t="s">
        <v>3188</v>
      </c>
    </row>
    <row r="626" spans="1:7" ht="15" thickBot="1">
      <c r="A626" s="3099">
        <v>1293</v>
      </c>
      <c r="B626" s="3203" t="s">
        <v>3334</v>
      </c>
      <c r="C626" s="3204"/>
      <c r="D626" s="3100" t="s">
        <v>3813</v>
      </c>
      <c r="E626" s="3100" t="s">
        <v>463</v>
      </c>
      <c r="F626" s="3101">
        <v>61.24</v>
      </c>
      <c r="G626" s="3102" t="s">
        <v>3188</v>
      </c>
    </row>
    <row r="627" spans="1:7" ht="15" thickBot="1">
      <c r="A627" s="3099">
        <v>1294</v>
      </c>
      <c r="B627" s="3203" t="s">
        <v>3334</v>
      </c>
      <c r="C627" s="3204"/>
      <c r="D627" s="3100" t="s">
        <v>3814</v>
      </c>
      <c r="E627" s="3100" t="s">
        <v>463</v>
      </c>
      <c r="F627" s="3101">
        <v>88.69</v>
      </c>
      <c r="G627" s="3102" t="s">
        <v>3188</v>
      </c>
    </row>
    <row r="628" spans="1:7" ht="15" thickBot="1">
      <c r="A628" s="3099">
        <v>1295</v>
      </c>
      <c r="B628" s="3203" t="s">
        <v>3334</v>
      </c>
      <c r="C628" s="3204"/>
      <c r="D628" s="3100" t="s">
        <v>3815</v>
      </c>
      <c r="E628" s="3100" t="s">
        <v>463</v>
      </c>
      <c r="F628" s="3101">
        <v>51.62</v>
      </c>
      <c r="G628" s="3102" t="s">
        <v>3188</v>
      </c>
    </row>
    <row r="629" spans="1:7" ht="15" thickBot="1">
      <c r="A629" s="3099">
        <v>1296</v>
      </c>
      <c r="B629" s="3203" t="s">
        <v>3334</v>
      </c>
      <c r="C629" s="3204"/>
      <c r="D629" s="3100" t="s">
        <v>3816</v>
      </c>
      <c r="E629" s="3100" t="s">
        <v>463</v>
      </c>
      <c r="F629" s="3101">
        <v>61.24</v>
      </c>
      <c r="G629" s="3102" t="s">
        <v>3188</v>
      </c>
    </row>
    <row r="630" spans="1:7" ht="15" thickBot="1">
      <c r="A630" s="3099">
        <v>1297</v>
      </c>
      <c r="B630" s="3203" t="s">
        <v>3334</v>
      </c>
      <c r="C630" s="3204"/>
      <c r="D630" s="3100" t="s">
        <v>3817</v>
      </c>
      <c r="E630" s="3100" t="s">
        <v>463</v>
      </c>
      <c r="F630" s="3101">
        <v>88.69</v>
      </c>
      <c r="G630" s="3102" t="s">
        <v>3188</v>
      </c>
    </row>
    <row r="631" spans="1:7" ht="15" thickBot="1">
      <c r="A631" s="3099">
        <v>1298</v>
      </c>
      <c r="B631" s="3203" t="s">
        <v>3334</v>
      </c>
      <c r="C631" s="3204"/>
      <c r="D631" s="3100" t="s">
        <v>3818</v>
      </c>
      <c r="E631" s="3100" t="s">
        <v>463</v>
      </c>
      <c r="F631" s="3101">
        <v>51.62</v>
      </c>
      <c r="G631" s="3102" t="s">
        <v>3188</v>
      </c>
    </row>
    <row r="632" spans="1:7" ht="15" thickBot="1">
      <c r="A632" s="3099">
        <v>1299</v>
      </c>
      <c r="B632" s="3203" t="s">
        <v>3334</v>
      </c>
      <c r="C632" s="3204"/>
      <c r="D632" s="3100" t="s">
        <v>3819</v>
      </c>
      <c r="E632" s="3100" t="s">
        <v>463</v>
      </c>
      <c r="F632" s="3101">
        <v>61.24</v>
      </c>
      <c r="G632" s="3102" t="s">
        <v>3188</v>
      </c>
    </row>
    <row r="633" spans="1:7" ht="15" thickBot="1">
      <c r="A633" s="3099">
        <v>1300</v>
      </c>
      <c r="B633" s="3203" t="s">
        <v>3334</v>
      </c>
      <c r="C633" s="3204"/>
      <c r="D633" s="3100" t="s">
        <v>3820</v>
      </c>
      <c r="E633" s="3100" t="s">
        <v>463</v>
      </c>
      <c r="F633" s="3101">
        <v>88.69</v>
      </c>
      <c r="G633" s="3102" t="s">
        <v>3188</v>
      </c>
    </row>
    <row r="634" spans="1:7" ht="15" thickBot="1">
      <c r="A634" s="3099">
        <v>1301</v>
      </c>
      <c r="B634" s="3203" t="s">
        <v>3334</v>
      </c>
      <c r="C634" s="3204"/>
      <c r="D634" s="3100" t="s">
        <v>3821</v>
      </c>
      <c r="E634" s="3100" t="s">
        <v>463</v>
      </c>
      <c r="F634" s="3101">
        <v>88.56</v>
      </c>
      <c r="G634" s="3102" t="s">
        <v>3188</v>
      </c>
    </row>
    <row r="635" spans="1:7" ht="15" thickBot="1">
      <c r="A635" s="3099">
        <v>1302</v>
      </c>
      <c r="B635" s="3203" t="s">
        <v>3334</v>
      </c>
      <c r="C635" s="3204"/>
      <c r="D635" s="3100" t="s">
        <v>3822</v>
      </c>
      <c r="E635" s="3100" t="s">
        <v>463</v>
      </c>
      <c r="F635" s="3101">
        <v>88.69</v>
      </c>
      <c r="G635" s="3102" t="s">
        <v>3188</v>
      </c>
    </row>
    <row r="636" spans="1:7" ht="15" thickBot="1">
      <c r="A636" s="3099">
        <v>1303</v>
      </c>
      <c r="B636" s="3203" t="s">
        <v>3334</v>
      </c>
      <c r="C636" s="3204"/>
      <c r="D636" s="3100" t="s">
        <v>3823</v>
      </c>
      <c r="E636" s="3100" t="s">
        <v>463</v>
      </c>
      <c r="F636" s="3101">
        <v>88.69</v>
      </c>
      <c r="G636" s="3102" t="s">
        <v>3188</v>
      </c>
    </row>
    <row r="637" spans="1:7" ht="15" thickBot="1">
      <c r="A637" s="3099">
        <v>1304</v>
      </c>
      <c r="B637" s="3203" t="s">
        <v>3334</v>
      </c>
      <c r="C637" s="3204"/>
      <c r="D637" s="3100" t="s">
        <v>3824</v>
      </c>
      <c r="E637" s="3100" t="s">
        <v>463</v>
      </c>
      <c r="F637" s="3101">
        <v>88.69</v>
      </c>
      <c r="G637" s="3102" t="s">
        <v>3188</v>
      </c>
    </row>
    <row r="638" spans="1:7" ht="15" thickBot="1">
      <c r="A638" s="3099">
        <v>1305</v>
      </c>
      <c r="B638" s="3203" t="s">
        <v>3334</v>
      </c>
      <c r="C638" s="3204"/>
      <c r="D638" s="3100" t="s">
        <v>3825</v>
      </c>
      <c r="E638" s="3100" t="s">
        <v>463</v>
      </c>
      <c r="F638" s="3101">
        <v>88.69</v>
      </c>
      <c r="G638" s="3102" t="s">
        <v>3188</v>
      </c>
    </row>
    <row r="639" spans="1:7" ht="15" thickBot="1">
      <c r="A639" s="3099">
        <v>1306</v>
      </c>
      <c r="B639" s="3203" t="s">
        <v>3334</v>
      </c>
      <c r="C639" s="3204"/>
      <c r="D639" s="3100" t="s">
        <v>3826</v>
      </c>
      <c r="E639" s="3100" t="s">
        <v>463</v>
      </c>
      <c r="F639" s="3101">
        <v>88.69</v>
      </c>
      <c r="G639" s="3102" t="s">
        <v>3188</v>
      </c>
    </row>
    <row r="640" spans="1:7" ht="15" thickBot="1">
      <c r="A640" s="3099">
        <v>1307</v>
      </c>
      <c r="B640" s="3203" t="s">
        <v>3334</v>
      </c>
      <c r="C640" s="3204"/>
      <c r="D640" s="3100" t="s">
        <v>3827</v>
      </c>
      <c r="E640" s="3100" t="s">
        <v>463</v>
      </c>
      <c r="F640" s="3101">
        <v>88.69</v>
      </c>
      <c r="G640" s="3102" t="s">
        <v>3188</v>
      </c>
    </row>
    <row r="641" spans="1:7" ht="15" thickBot="1">
      <c r="A641" s="3099">
        <v>1308</v>
      </c>
      <c r="B641" s="3203" t="s">
        <v>3334</v>
      </c>
      <c r="C641" s="3204"/>
      <c r="D641" s="3100" t="s">
        <v>3828</v>
      </c>
      <c r="E641" s="3100" t="s">
        <v>463</v>
      </c>
      <c r="F641" s="3101">
        <v>88.69</v>
      </c>
      <c r="G641" s="3102" t="s">
        <v>3188</v>
      </c>
    </row>
    <row r="642" spans="1:7" ht="15" thickBot="1">
      <c r="A642" s="3099">
        <v>1309</v>
      </c>
      <c r="B642" s="3203" t="s">
        <v>3334</v>
      </c>
      <c r="C642" s="3204"/>
      <c r="D642" s="3100" t="s">
        <v>3829</v>
      </c>
      <c r="E642" s="3100" t="s">
        <v>463</v>
      </c>
      <c r="F642" s="3101">
        <v>88.69</v>
      </c>
      <c r="G642" s="3102" t="s">
        <v>3188</v>
      </c>
    </row>
    <row r="643" spans="1:7" ht="15" thickBot="1">
      <c r="A643" s="3099">
        <v>1310</v>
      </c>
      <c r="B643" s="3203" t="s">
        <v>3334</v>
      </c>
      <c r="C643" s="3204"/>
      <c r="D643" s="3100" t="s">
        <v>3830</v>
      </c>
      <c r="E643" s="3100" t="s">
        <v>463</v>
      </c>
      <c r="F643" s="3101">
        <v>88.69</v>
      </c>
      <c r="G643" s="3102" t="s">
        <v>3188</v>
      </c>
    </row>
    <row r="644" spans="1:7" ht="15" thickBot="1">
      <c r="A644" s="3099">
        <v>1311</v>
      </c>
      <c r="B644" s="3203" t="s">
        <v>3334</v>
      </c>
      <c r="C644" s="3204"/>
      <c r="D644" s="3100" t="s">
        <v>3831</v>
      </c>
      <c r="E644" s="3100" t="s">
        <v>463</v>
      </c>
      <c r="F644" s="3101">
        <v>88.69</v>
      </c>
      <c r="G644" s="3102" t="s">
        <v>3188</v>
      </c>
    </row>
    <row r="645" spans="1:7" ht="15" thickBot="1">
      <c r="A645" s="3099">
        <v>1312</v>
      </c>
      <c r="B645" s="3203" t="s">
        <v>3334</v>
      </c>
      <c r="C645" s="3204"/>
      <c r="D645" s="3100" t="s">
        <v>3832</v>
      </c>
      <c r="E645" s="3100" t="s">
        <v>463</v>
      </c>
      <c r="F645" s="3101">
        <v>88.69</v>
      </c>
      <c r="G645" s="3102" t="s">
        <v>3188</v>
      </c>
    </row>
    <row r="646" spans="1:7" ht="15" thickBot="1">
      <c r="A646" s="3099">
        <v>1313</v>
      </c>
      <c r="B646" s="3203" t="s">
        <v>3334</v>
      </c>
      <c r="C646" s="3204"/>
      <c r="D646" s="3100" t="s">
        <v>3833</v>
      </c>
      <c r="E646" s="3100" t="s">
        <v>463</v>
      </c>
      <c r="F646" s="3101">
        <v>88.69</v>
      </c>
      <c r="G646" s="3102" t="s">
        <v>3188</v>
      </c>
    </row>
    <row r="647" spans="1:7" ht="15" thickBot="1">
      <c r="A647" s="3099">
        <v>1314</v>
      </c>
      <c r="B647" s="3203" t="s">
        <v>3334</v>
      </c>
      <c r="C647" s="3204"/>
      <c r="D647" s="3100" t="s">
        <v>3834</v>
      </c>
      <c r="E647" s="3100" t="s">
        <v>463</v>
      </c>
      <c r="F647" s="3101">
        <v>88.69</v>
      </c>
      <c r="G647" s="3102" t="s">
        <v>3188</v>
      </c>
    </row>
    <row r="648" spans="1:7" ht="15" thickBot="1">
      <c r="A648" s="3099">
        <v>1315</v>
      </c>
      <c r="B648" s="3203" t="s">
        <v>3334</v>
      </c>
      <c r="C648" s="3204"/>
      <c r="D648" s="3100" t="s">
        <v>3835</v>
      </c>
      <c r="E648" s="3100" t="s">
        <v>463</v>
      </c>
      <c r="F648" s="3101">
        <v>88.69</v>
      </c>
      <c r="G648" s="3102" t="s">
        <v>3188</v>
      </c>
    </row>
    <row r="649" spans="1:7" ht="15" thickBot="1">
      <c r="A649" s="3099">
        <v>1316</v>
      </c>
      <c r="B649" s="3203" t="s">
        <v>3334</v>
      </c>
      <c r="C649" s="3204"/>
      <c r="D649" s="3100" t="s">
        <v>3836</v>
      </c>
      <c r="E649" s="3100" t="s">
        <v>463</v>
      </c>
      <c r="F649" s="3101">
        <v>88.69</v>
      </c>
      <c r="G649" s="3102" t="s">
        <v>3188</v>
      </c>
    </row>
    <row r="650" spans="1:7" ht="15" thickBot="1">
      <c r="A650" s="3099">
        <v>1317</v>
      </c>
      <c r="B650" s="3203" t="s">
        <v>3334</v>
      </c>
      <c r="C650" s="3204"/>
      <c r="D650" s="3100" t="s">
        <v>3837</v>
      </c>
      <c r="E650" s="3100" t="s">
        <v>463</v>
      </c>
      <c r="F650" s="3101">
        <v>88.69</v>
      </c>
      <c r="G650" s="3102" t="s">
        <v>3188</v>
      </c>
    </row>
    <row r="651" spans="1:7" ht="15" thickBot="1">
      <c r="A651" s="3099">
        <v>1318</v>
      </c>
      <c r="B651" s="3203" t="s">
        <v>3334</v>
      </c>
      <c r="C651" s="3204"/>
      <c r="D651" s="3100" t="s">
        <v>3838</v>
      </c>
      <c r="E651" s="3100" t="s">
        <v>463</v>
      </c>
      <c r="F651" s="3101">
        <v>88.69</v>
      </c>
      <c r="G651" s="3102" t="s">
        <v>3188</v>
      </c>
    </row>
    <row r="652" spans="1:7" ht="15" thickBot="1">
      <c r="A652" s="3099">
        <v>1319</v>
      </c>
      <c r="B652" s="3203" t="s">
        <v>3334</v>
      </c>
      <c r="C652" s="3204"/>
      <c r="D652" s="3100" t="s">
        <v>3839</v>
      </c>
      <c r="E652" s="3100" t="s">
        <v>463</v>
      </c>
      <c r="F652" s="3101">
        <v>89.04</v>
      </c>
      <c r="G652" s="3102" t="s">
        <v>3188</v>
      </c>
    </row>
    <row r="653" spans="1:7" ht="15" thickBot="1">
      <c r="A653" s="3099">
        <v>1320</v>
      </c>
      <c r="B653" s="3203" t="s">
        <v>3334</v>
      </c>
      <c r="C653" s="3204"/>
      <c r="D653" s="3100" t="s">
        <v>3840</v>
      </c>
      <c r="E653" s="3100" t="s">
        <v>463</v>
      </c>
      <c r="F653" s="3101">
        <v>88.69</v>
      </c>
      <c r="G653" s="3102" t="s">
        <v>3188</v>
      </c>
    </row>
    <row r="654" spans="1:7" ht="15" thickBot="1">
      <c r="A654" s="3099">
        <v>1321</v>
      </c>
      <c r="B654" s="3203" t="s">
        <v>3334</v>
      </c>
      <c r="C654" s="3204"/>
      <c r="D654" s="3100" t="s">
        <v>3841</v>
      </c>
      <c r="E654" s="3100" t="s">
        <v>463</v>
      </c>
      <c r="F654" s="3101">
        <v>88.69</v>
      </c>
      <c r="G654" s="3102" t="s">
        <v>3188</v>
      </c>
    </row>
    <row r="655" spans="1:7" ht="15" thickBot="1">
      <c r="A655" s="3099">
        <v>1322</v>
      </c>
      <c r="B655" s="3203" t="s">
        <v>3334</v>
      </c>
      <c r="C655" s="3204"/>
      <c r="D655" s="3100" t="s">
        <v>3842</v>
      </c>
      <c r="E655" s="3100" t="s">
        <v>463</v>
      </c>
      <c r="F655" s="3101">
        <v>88.56</v>
      </c>
      <c r="G655" s="3102" t="s">
        <v>3188</v>
      </c>
    </row>
    <row r="656" spans="1:7" ht="15" thickBot="1">
      <c r="A656" s="3099">
        <v>1323</v>
      </c>
      <c r="B656" s="3203" t="s">
        <v>3334</v>
      </c>
      <c r="C656" s="3204"/>
      <c r="D656" s="3100" t="s">
        <v>3843</v>
      </c>
      <c r="E656" s="3100" t="s">
        <v>463</v>
      </c>
      <c r="F656" s="3101">
        <v>88.69</v>
      </c>
      <c r="G656" s="3102" t="s">
        <v>3188</v>
      </c>
    </row>
    <row r="657" spans="1:7" ht="15" thickBot="1">
      <c r="A657" s="3099">
        <v>1324</v>
      </c>
      <c r="B657" s="3203" t="s">
        <v>3334</v>
      </c>
      <c r="C657" s="3204"/>
      <c r="D657" s="3100" t="s">
        <v>3844</v>
      </c>
      <c r="E657" s="3100" t="s">
        <v>463</v>
      </c>
      <c r="F657" s="3101">
        <v>88.69</v>
      </c>
      <c r="G657" s="3102" t="s">
        <v>3188</v>
      </c>
    </row>
    <row r="658" spans="1:7" ht="15" thickBot="1">
      <c r="A658" s="3099">
        <v>1325</v>
      </c>
      <c r="B658" s="3203" t="s">
        <v>3334</v>
      </c>
      <c r="C658" s="3204"/>
      <c r="D658" s="3100" t="s">
        <v>3845</v>
      </c>
      <c r="E658" s="3100" t="s">
        <v>463</v>
      </c>
      <c r="F658" s="3101">
        <v>88.69</v>
      </c>
      <c r="G658" s="3102" t="s">
        <v>3188</v>
      </c>
    </row>
    <row r="659" spans="1:7" ht="15" thickBot="1">
      <c r="A659" s="3099">
        <v>1326</v>
      </c>
      <c r="B659" s="3203" t="s">
        <v>3334</v>
      </c>
      <c r="C659" s="3204"/>
      <c r="D659" s="3100" t="s">
        <v>3846</v>
      </c>
      <c r="E659" s="3100" t="s">
        <v>463</v>
      </c>
      <c r="F659" s="3101">
        <v>88.69</v>
      </c>
      <c r="G659" s="3102" t="s">
        <v>3188</v>
      </c>
    </row>
    <row r="660" spans="1:7" ht="15" thickBot="1">
      <c r="A660" s="3099">
        <v>1327</v>
      </c>
      <c r="B660" s="3203" t="s">
        <v>3334</v>
      </c>
      <c r="C660" s="3204"/>
      <c r="D660" s="3100" t="s">
        <v>3847</v>
      </c>
      <c r="E660" s="3100" t="s">
        <v>463</v>
      </c>
      <c r="F660" s="3101">
        <v>88.69</v>
      </c>
      <c r="G660" s="3102" t="s">
        <v>3188</v>
      </c>
    </row>
    <row r="661" spans="1:7" ht="15" thickBot="1">
      <c r="A661" s="3099">
        <v>1328</v>
      </c>
      <c r="B661" s="3203" t="s">
        <v>3334</v>
      </c>
      <c r="C661" s="3204"/>
      <c r="D661" s="3100" t="s">
        <v>3848</v>
      </c>
      <c r="E661" s="3100" t="s">
        <v>463</v>
      </c>
      <c r="F661" s="3101">
        <v>88.69</v>
      </c>
      <c r="G661" s="3102" t="s">
        <v>3188</v>
      </c>
    </row>
    <row r="662" spans="1:7" ht="15" thickBot="1">
      <c r="A662" s="3099">
        <v>1329</v>
      </c>
      <c r="B662" s="3203" t="s">
        <v>3334</v>
      </c>
      <c r="C662" s="3204"/>
      <c r="D662" s="3100" t="s">
        <v>3849</v>
      </c>
      <c r="E662" s="3100" t="s">
        <v>463</v>
      </c>
      <c r="F662" s="3101">
        <v>88.69</v>
      </c>
      <c r="G662" s="3102" t="s">
        <v>3188</v>
      </c>
    </row>
    <row r="663" spans="1:7" ht="15" thickBot="1">
      <c r="A663" s="3099">
        <v>1330</v>
      </c>
      <c r="B663" s="3203" t="s">
        <v>3334</v>
      </c>
      <c r="C663" s="3204"/>
      <c r="D663" s="3100" t="s">
        <v>3850</v>
      </c>
      <c r="E663" s="3100" t="s">
        <v>463</v>
      </c>
      <c r="F663" s="3101">
        <v>88.69</v>
      </c>
      <c r="G663" s="3102" t="s">
        <v>3188</v>
      </c>
    </row>
    <row r="664" spans="1:7" ht="15" thickBot="1">
      <c r="A664" s="3099">
        <v>1331</v>
      </c>
      <c r="B664" s="3203" t="s">
        <v>3334</v>
      </c>
      <c r="C664" s="3204"/>
      <c r="D664" s="3100" t="s">
        <v>3851</v>
      </c>
      <c r="E664" s="3100" t="s">
        <v>463</v>
      </c>
      <c r="F664" s="3101">
        <v>88.69</v>
      </c>
      <c r="G664" s="3102" t="s">
        <v>3188</v>
      </c>
    </row>
    <row r="665" spans="1:7" ht="15" thickBot="1">
      <c r="A665" s="3099">
        <v>1332</v>
      </c>
      <c r="B665" s="3203" t="s">
        <v>3334</v>
      </c>
      <c r="C665" s="3204"/>
      <c r="D665" s="3100" t="s">
        <v>3852</v>
      </c>
      <c r="E665" s="3100" t="s">
        <v>463</v>
      </c>
      <c r="F665" s="3101">
        <v>88.69</v>
      </c>
      <c r="G665" s="3102" t="s">
        <v>3188</v>
      </c>
    </row>
    <row r="666" spans="1:7" ht="15" thickBot="1">
      <c r="A666" s="3099">
        <v>1333</v>
      </c>
      <c r="B666" s="3203" t="s">
        <v>3334</v>
      </c>
      <c r="C666" s="3204"/>
      <c r="D666" s="3100" t="s">
        <v>3853</v>
      </c>
      <c r="E666" s="3100" t="s">
        <v>463</v>
      </c>
      <c r="F666" s="3101">
        <v>88.69</v>
      </c>
      <c r="G666" s="3102" t="s">
        <v>3188</v>
      </c>
    </row>
    <row r="667" spans="1:7" ht="15" thickBot="1">
      <c r="A667" s="3099">
        <v>1334</v>
      </c>
      <c r="B667" s="3203" t="s">
        <v>3334</v>
      </c>
      <c r="C667" s="3204"/>
      <c r="D667" s="3100" t="s">
        <v>3854</v>
      </c>
      <c r="E667" s="3100" t="s">
        <v>463</v>
      </c>
      <c r="F667" s="3101">
        <v>88.69</v>
      </c>
      <c r="G667" s="3102" t="s">
        <v>3188</v>
      </c>
    </row>
    <row r="668" spans="1:7" ht="15" thickBot="1">
      <c r="A668" s="3099">
        <v>1335</v>
      </c>
      <c r="B668" s="3203" t="s">
        <v>3334</v>
      </c>
      <c r="C668" s="3204"/>
      <c r="D668" s="3100" t="s">
        <v>3855</v>
      </c>
      <c r="E668" s="3100" t="s">
        <v>463</v>
      </c>
      <c r="F668" s="3101">
        <v>88.69</v>
      </c>
      <c r="G668" s="3102" t="s">
        <v>3188</v>
      </c>
    </row>
    <row r="669" spans="1:7" ht="15" thickBot="1">
      <c r="A669" s="3099">
        <v>1336</v>
      </c>
      <c r="B669" s="3203" t="s">
        <v>3334</v>
      </c>
      <c r="C669" s="3204"/>
      <c r="D669" s="3100" t="s">
        <v>3856</v>
      </c>
      <c r="E669" s="3100" t="s">
        <v>463</v>
      </c>
      <c r="F669" s="3101">
        <v>88.69</v>
      </c>
      <c r="G669" s="3102" t="s">
        <v>3188</v>
      </c>
    </row>
    <row r="670" spans="1:7" ht="15" thickBot="1">
      <c r="A670" s="3099">
        <v>1337</v>
      </c>
      <c r="B670" s="3203" t="s">
        <v>3334</v>
      </c>
      <c r="C670" s="3204"/>
      <c r="D670" s="3100" t="s">
        <v>3857</v>
      </c>
      <c r="E670" s="3100" t="s">
        <v>463</v>
      </c>
      <c r="F670" s="3101">
        <v>88.69</v>
      </c>
      <c r="G670" s="3102" t="s">
        <v>3188</v>
      </c>
    </row>
    <row r="671" spans="1:7" ht="15" thickBot="1">
      <c r="A671" s="3099">
        <v>1338</v>
      </c>
      <c r="B671" s="3203" t="s">
        <v>3334</v>
      </c>
      <c r="C671" s="3204"/>
      <c r="D671" s="3100" t="s">
        <v>3858</v>
      </c>
      <c r="E671" s="3100" t="s">
        <v>463</v>
      </c>
      <c r="F671" s="3101">
        <v>88.69</v>
      </c>
      <c r="G671" s="3102" t="s">
        <v>3188</v>
      </c>
    </row>
    <row r="672" spans="1:7" ht="15" thickBot="1">
      <c r="A672" s="3099">
        <v>1339</v>
      </c>
      <c r="B672" s="3203" t="s">
        <v>3334</v>
      </c>
      <c r="C672" s="3204"/>
      <c r="D672" s="3100" t="s">
        <v>3859</v>
      </c>
      <c r="E672" s="3100" t="s">
        <v>463</v>
      </c>
      <c r="F672" s="3101">
        <v>88.69</v>
      </c>
      <c r="G672" s="3102" t="s">
        <v>3188</v>
      </c>
    </row>
    <row r="673" spans="1:7" ht="15" thickBot="1">
      <c r="A673" s="3099">
        <v>1340</v>
      </c>
      <c r="B673" s="3203" t="s">
        <v>3334</v>
      </c>
      <c r="C673" s="3204"/>
      <c r="D673" s="3100" t="s">
        <v>3860</v>
      </c>
      <c r="E673" s="3100" t="s">
        <v>463</v>
      </c>
      <c r="F673" s="3101">
        <v>61.24</v>
      </c>
      <c r="G673" s="3102" t="s">
        <v>3188</v>
      </c>
    </row>
    <row r="674" spans="1:7" ht="15" thickBot="1">
      <c r="A674" s="3099">
        <v>1341</v>
      </c>
      <c r="B674" s="3203" t="s">
        <v>3334</v>
      </c>
      <c r="C674" s="3204"/>
      <c r="D674" s="3100" t="s">
        <v>3861</v>
      </c>
      <c r="E674" s="3100" t="s">
        <v>463</v>
      </c>
      <c r="F674" s="3101">
        <v>51.62</v>
      </c>
      <c r="G674" s="3102" t="s">
        <v>3188</v>
      </c>
    </row>
    <row r="675" spans="1:7" ht="15" thickBot="1">
      <c r="A675" s="3099">
        <v>1342</v>
      </c>
      <c r="B675" s="3203" t="s">
        <v>3334</v>
      </c>
      <c r="C675" s="3204"/>
      <c r="D675" s="3100" t="s">
        <v>3862</v>
      </c>
      <c r="E675" s="3100" t="s">
        <v>463</v>
      </c>
      <c r="F675" s="3101">
        <v>88.56</v>
      </c>
      <c r="G675" s="3102" t="s">
        <v>3188</v>
      </c>
    </row>
    <row r="676" spans="1:7" ht="15" thickBot="1">
      <c r="A676" s="3099">
        <v>1343</v>
      </c>
      <c r="B676" s="3203" t="s">
        <v>3334</v>
      </c>
      <c r="C676" s="3204"/>
      <c r="D676" s="3100" t="s">
        <v>3863</v>
      </c>
      <c r="E676" s="3100" t="s">
        <v>463</v>
      </c>
      <c r="F676" s="3101">
        <v>61.24</v>
      </c>
      <c r="G676" s="3102" t="s">
        <v>3188</v>
      </c>
    </row>
    <row r="677" spans="1:7" ht="15" thickBot="1">
      <c r="A677" s="3099">
        <v>1344</v>
      </c>
      <c r="B677" s="3203" t="s">
        <v>3334</v>
      </c>
      <c r="C677" s="3204"/>
      <c r="D677" s="3100" t="s">
        <v>3864</v>
      </c>
      <c r="E677" s="3100" t="s">
        <v>463</v>
      </c>
      <c r="F677" s="3101">
        <v>51.33</v>
      </c>
      <c r="G677" s="3102" t="s">
        <v>3188</v>
      </c>
    </row>
    <row r="678" spans="1:7" ht="15" thickBot="1">
      <c r="A678" s="3099">
        <v>1345</v>
      </c>
      <c r="B678" s="3203" t="s">
        <v>3334</v>
      </c>
      <c r="C678" s="3204"/>
      <c r="D678" s="3100" t="s">
        <v>3865</v>
      </c>
      <c r="E678" s="3100" t="s">
        <v>463</v>
      </c>
      <c r="F678" s="3101">
        <v>88.69</v>
      </c>
      <c r="G678" s="3102" t="s">
        <v>3188</v>
      </c>
    </row>
    <row r="679" spans="1:7" ht="15" thickBot="1">
      <c r="A679" s="3099">
        <v>1346</v>
      </c>
      <c r="B679" s="3203" t="s">
        <v>3334</v>
      </c>
      <c r="C679" s="3204"/>
      <c r="D679" s="3100" t="s">
        <v>3866</v>
      </c>
      <c r="E679" s="3100" t="s">
        <v>463</v>
      </c>
      <c r="F679" s="3101">
        <v>61.24</v>
      </c>
      <c r="G679" s="3102" t="s">
        <v>3188</v>
      </c>
    </row>
    <row r="680" spans="1:7" ht="15" thickBot="1">
      <c r="A680" s="3099">
        <v>1347</v>
      </c>
      <c r="B680" s="3203" t="s">
        <v>3334</v>
      </c>
      <c r="C680" s="3204"/>
      <c r="D680" s="3100" t="s">
        <v>3867</v>
      </c>
      <c r="E680" s="3100" t="s">
        <v>463</v>
      </c>
      <c r="F680" s="3101">
        <v>51.62</v>
      </c>
      <c r="G680" s="3102" t="s">
        <v>3188</v>
      </c>
    </row>
    <row r="681" spans="1:7" ht="15" thickBot="1">
      <c r="A681" s="3099">
        <v>1348</v>
      </c>
      <c r="B681" s="3203" t="s">
        <v>3334</v>
      </c>
      <c r="C681" s="3204"/>
      <c r="D681" s="3100" t="s">
        <v>3868</v>
      </c>
      <c r="E681" s="3100" t="s">
        <v>463</v>
      </c>
      <c r="F681" s="3101">
        <v>88.69</v>
      </c>
      <c r="G681" s="3102" t="s">
        <v>3188</v>
      </c>
    </row>
    <row r="682" spans="1:7" ht="15" thickBot="1">
      <c r="A682" s="3099">
        <v>1349</v>
      </c>
      <c r="B682" s="3203" t="s">
        <v>3334</v>
      </c>
      <c r="C682" s="3204"/>
      <c r="D682" s="3100" t="s">
        <v>3869</v>
      </c>
      <c r="E682" s="3100" t="s">
        <v>463</v>
      </c>
      <c r="F682" s="3101">
        <v>61.24</v>
      </c>
      <c r="G682" s="3102" t="s">
        <v>3188</v>
      </c>
    </row>
    <row r="683" spans="1:7" ht="15" thickBot="1">
      <c r="A683" s="3099">
        <v>1350</v>
      </c>
      <c r="B683" s="3203" t="s">
        <v>3334</v>
      </c>
      <c r="C683" s="3204"/>
      <c r="D683" s="3100" t="s">
        <v>3870</v>
      </c>
      <c r="E683" s="3100" t="s">
        <v>463</v>
      </c>
      <c r="F683" s="3101">
        <v>51.62</v>
      </c>
      <c r="G683" s="3102" t="s">
        <v>3188</v>
      </c>
    </row>
    <row r="684" spans="1:7" ht="15" thickBot="1">
      <c r="A684" s="3099">
        <v>1351</v>
      </c>
      <c r="B684" s="3203" t="s">
        <v>3334</v>
      </c>
      <c r="C684" s="3204"/>
      <c r="D684" s="3100" t="s">
        <v>3871</v>
      </c>
      <c r="E684" s="3100" t="s">
        <v>463</v>
      </c>
      <c r="F684" s="3101">
        <v>88.69</v>
      </c>
      <c r="G684" s="3102" t="s">
        <v>3188</v>
      </c>
    </row>
    <row r="685" spans="1:7" ht="15" thickBot="1">
      <c r="A685" s="3099">
        <v>1352</v>
      </c>
      <c r="B685" s="3203" t="s">
        <v>3334</v>
      </c>
      <c r="C685" s="3204"/>
      <c r="D685" s="3100" t="s">
        <v>3872</v>
      </c>
      <c r="E685" s="3100" t="s">
        <v>463</v>
      </c>
      <c r="F685" s="3101">
        <v>61.24</v>
      </c>
      <c r="G685" s="3102" t="s">
        <v>3188</v>
      </c>
    </row>
    <row r="686" spans="1:7" ht="15" thickBot="1">
      <c r="A686" s="3099">
        <v>1353</v>
      </c>
      <c r="B686" s="3203" t="s">
        <v>3334</v>
      </c>
      <c r="C686" s="3204"/>
      <c r="D686" s="3100" t="s">
        <v>3873</v>
      </c>
      <c r="E686" s="3100" t="s">
        <v>463</v>
      </c>
      <c r="F686" s="3101">
        <v>51.62</v>
      </c>
      <c r="G686" s="3102" t="s">
        <v>3188</v>
      </c>
    </row>
    <row r="687" spans="1:7" ht="15" thickBot="1">
      <c r="A687" s="3099">
        <v>1354</v>
      </c>
      <c r="B687" s="3203" t="s">
        <v>3334</v>
      </c>
      <c r="C687" s="3204"/>
      <c r="D687" s="3100" t="s">
        <v>3874</v>
      </c>
      <c r="E687" s="3100" t="s">
        <v>463</v>
      </c>
      <c r="F687" s="3101">
        <v>88.69</v>
      </c>
      <c r="G687" s="3102" t="s">
        <v>3188</v>
      </c>
    </row>
    <row r="688" spans="1:7" ht="15" thickBot="1">
      <c r="A688" s="3099">
        <v>1355</v>
      </c>
      <c r="B688" s="3203" t="s">
        <v>3334</v>
      </c>
      <c r="C688" s="3204"/>
      <c r="D688" s="3100" t="s">
        <v>3875</v>
      </c>
      <c r="E688" s="3100" t="s">
        <v>463</v>
      </c>
      <c r="F688" s="3101">
        <v>61.24</v>
      </c>
      <c r="G688" s="3102" t="s">
        <v>3188</v>
      </c>
    </row>
    <row r="689" spans="1:7" ht="15" thickBot="1">
      <c r="A689" s="3099">
        <v>1356</v>
      </c>
      <c r="B689" s="3203" t="s">
        <v>3334</v>
      </c>
      <c r="C689" s="3204"/>
      <c r="D689" s="3100" t="s">
        <v>3876</v>
      </c>
      <c r="E689" s="3100" t="s">
        <v>463</v>
      </c>
      <c r="F689" s="3101">
        <v>51.62</v>
      </c>
      <c r="G689" s="3102" t="s">
        <v>3188</v>
      </c>
    </row>
    <row r="690" spans="1:7" ht="15" thickBot="1">
      <c r="A690" s="3099">
        <v>1357</v>
      </c>
      <c r="B690" s="3203" t="s">
        <v>3334</v>
      </c>
      <c r="C690" s="3204"/>
      <c r="D690" s="3100" t="s">
        <v>3877</v>
      </c>
      <c r="E690" s="3100" t="s">
        <v>463</v>
      </c>
      <c r="F690" s="3101">
        <v>88.69</v>
      </c>
      <c r="G690" s="3102" t="s">
        <v>3188</v>
      </c>
    </row>
    <row r="691" spans="1:7" ht="15" thickBot="1">
      <c r="A691" s="3099">
        <v>1358</v>
      </c>
      <c r="B691" s="3203" t="s">
        <v>3334</v>
      </c>
      <c r="C691" s="3204"/>
      <c r="D691" s="3100" t="s">
        <v>3878</v>
      </c>
      <c r="E691" s="3100" t="s">
        <v>463</v>
      </c>
      <c r="F691" s="3101">
        <v>61.24</v>
      </c>
      <c r="G691" s="3102" t="s">
        <v>3188</v>
      </c>
    </row>
    <row r="692" spans="1:7" ht="15" thickBot="1">
      <c r="A692" s="3099">
        <v>1359</v>
      </c>
      <c r="B692" s="3203" t="s">
        <v>3334</v>
      </c>
      <c r="C692" s="3204"/>
      <c r="D692" s="3100" t="s">
        <v>3879</v>
      </c>
      <c r="E692" s="3100" t="s">
        <v>463</v>
      </c>
      <c r="F692" s="3101">
        <v>51.62</v>
      </c>
      <c r="G692" s="3102" t="s">
        <v>3188</v>
      </c>
    </row>
    <row r="693" spans="1:7" ht="15" thickBot="1">
      <c r="A693" s="3099">
        <v>1360</v>
      </c>
      <c r="B693" s="3203" t="s">
        <v>3334</v>
      </c>
      <c r="C693" s="3204"/>
      <c r="D693" s="3100" t="s">
        <v>3880</v>
      </c>
      <c r="E693" s="3100" t="s">
        <v>463</v>
      </c>
      <c r="F693" s="3101">
        <v>88.69</v>
      </c>
      <c r="G693" s="3102" t="s">
        <v>3188</v>
      </c>
    </row>
    <row r="694" spans="1:7" ht="15" thickBot="1">
      <c r="A694" s="3099">
        <v>1361</v>
      </c>
      <c r="B694" s="3203" t="s">
        <v>3334</v>
      </c>
      <c r="C694" s="3204"/>
      <c r="D694" s="3100" t="s">
        <v>3881</v>
      </c>
      <c r="E694" s="3100" t="s">
        <v>463</v>
      </c>
      <c r="F694" s="3101">
        <v>61.24</v>
      </c>
      <c r="G694" s="3102" t="s">
        <v>3188</v>
      </c>
    </row>
    <row r="695" spans="1:7" ht="15" thickBot="1">
      <c r="A695" s="3099">
        <v>1362</v>
      </c>
      <c r="B695" s="3203" t="s">
        <v>3334</v>
      </c>
      <c r="C695" s="3204"/>
      <c r="D695" s="3100" t="s">
        <v>3882</v>
      </c>
      <c r="E695" s="3100" t="s">
        <v>463</v>
      </c>
      <c r="F695" s="3101">
        <v>51.62</v>
      </c>
      <c r="G695" s="3102" t="s">
        <v>3188</v>
      </c>
    </row>
    <row r="696" spans="1:7" ht="15" thickBot="1">
      <c r="A696" s="3099">
        <v>1363</v>
      </c>
      <c r="B696" s="3203" t="s">
        <v>3334</v>
      </c>
      <c r="C696" s="3204"/>
      <c r="D696" s="3100" t="s">
        <v>3883</v>
      </c>
      <c r="E696" s="3100" t="s">
        <v>463</v>
      </c>
      <c r="F696" s="3101">
        <v>88.69</v>
      </c>
      <c r="G696" s="3102" t="s">
        <v>3188</v>
      </c>
    </row>
    <row r="697" spans="1:7" ht="15" thickBot="1">
      <c r="A697" s="3099">
        <v>1364</v>
      </c>
      <c r="B697" s="3203" t="s">
        <v>3334</v>
      </c>
      <c r="C697" s="3204"/>
      <c r="D697" s="3100" t="s">
        <v>3884</v>
      </c>
      <c r="E697" s="3100" t="s">
        <v>463</v>
      </c>
      <c r="F697" s="3101">
        <v>61.24</v>
      </c>
      <c r="G697" s="3102" t="s">
        <v>3188</v>
      </c>
    </row>
    <row r="698" spans="1:7" ht="15" thickBot="1">
      <c r="A698" s="3099">
        <v>1365</v>
      </c>
      <c r="B698" s="3203" t="s">
        <v>3334</v>
      </c>
      <c r="C698" s="3204"/>
      <c r="D698" s="3100" t="s">
        <v>3885</v>
      </c>
      <c r="E698" s="3100" t="s">
        <v>463</v>
      </c>
      <c r="F698" s="3101">
        <v>51.62</v>
      </c>
      <c r="G698" s="3102" t="s">
        <v>3188</v>
      </c>
    </row>
    <row r="699" spans="1:7" ht="15" thickBot="1">
      <c r="A699" s="3099">
        <v>1366</v>
      </c>
      <c r="B699" s="3203" t="s">
        <v>3334</v>
      </c>
      <c r="C699" s="3204"/>
      <c r="D699" s="3100" t="s">
        <v>3886</v>
      </c>
      <c r="E699" s="3100" t="s">
        <v>463</v>
      </c>
      <c r="F699" s="3101">
        <v>88.69</v>
      </c>
      <c r="G699" s="3102" t="s">
        <v>3188</v>
      </c>
    </row>
    <row r="700" spans="1:7" ht="15" thickBot="1">
      <c r="A700" s="3099">
        <v>1367</v>
      </c>
      <c r="B700" s="3203" t="s">
        <v>3334</v>
      </c>
      <c r="C700" s="3204"/>
      <c r="D700" s="3100" t="s">
        <v>3887</v>
      </c>
      <c r="E700" s="3100" t="s">
        <v>463</v>
      </c>
      <c r="F700" s="3101">
        <v>61.24</v>
      </c>
      <c r="G700" s="3102" t="s">
        <v>3188</v>
      </c>
    </row>
    <row r="701" spans="1:7" ht="15" thickBot="1">
      <c r="A701" s="3099">
        <v>1368</v>
      </c>
      <c r="B701" s="3203" t="s">
        <v>3334</v>
      </c>
      <c r="C701" s="3204"/>
      <c r="D701" s="3100" t="s">
        <v>3888</v>
      </c>
      <c r="E701" s="3100" t="s">
        <v>463</v>
      </c>
      <c r="F701" s="3101">
        <v>51.62</v>
      </c>
      <c r="G701" s="3102" t="s">
        <v>3188</v>
      </c>
    </row>
    <row r="702" spans="1:7" ht="15" thickBot="1">
      <c r="A702" s="3099">
        <v>1369</v>
      </c>
      <c r="B702" s="3203" t="s">
        <v>3334</v>
      </c>
      <c r="C702" s="3204"/>
      <c r="D702" s="3100" t="s">
        <v>3889</v>
      </c>
      <c r="E702" s="3100" t="s">
        <v>463</v>
      </c>
      <c r="F702" s="3101">
        <v>50.42</v>
      </c>
      <c r="G702" s="3102" t="s">
        <v>3188</v>
      </c>
    </row>
    <row r="703" spans="1:7" ht="15" thickBot="1">
      <c r="A703" s="3099">
        <v>1370</v>
      </c>
      <c r="B703" s="3203" t="s">
        <v>3334</v>
      </c>
      <c r="C703" s="3204"/>
      <c r="D703" s="3100" t="s">
        <v>3890</v>
      </c>
      <c r="E703" s="3100" t="s">
        <v>463</v>
      </c>
      <c r="F703" s="3101">
        <v>50.12</v>
      </c>
      <c r="G703" s="3102" t="s">
        <v>3188</v>
      </c>
    </row>
    <row r="704" spans="1:7" ht="15" thickBot="1">
      <c r="A704" s="3099">
        <v>1371</v>
      </c>
      <c r="B704" s="3203" t="s">
        <v>3334</v>
      </c>
      <c r="C704" s="3204"/>
      <c r="D704" s="3100" t="s">
        <v>3891</v>
      </c>
      <c r="E704" s="3100" t="s">
        <v>463</v>
      </c>
      <c r="F704" s="3101">
        <v>49.78</v>
      </c>
      <c r="G704" s="3102" t="s">
        <v>3188</v>
      </c>
    </row>
    <row r="705" spans="1:7" ht="15" thickBot="1">
      <c r="A705" s="3099">
        <v>1372</v>
      </c>
      <c r="B705" s="3203" t="s">
        <v>3334</v>
      </c>
      <c r="C705" s="3204"/>
      <c r="D705" s="3100" t="s">
        <v>3892</v>
      </c>
      <c r="E705" s="3100" t="s">
        <v>463</v>
      </c>
      <c r="F705" s="3101">
        <v>50.42</v>
      </c>
      <c r="G705" s="3102" t="s">
        <v>3188</v>
      </c>
    </row>
    <row r="706" spans="1:7" ht="15" thickBot="1">
      <c r="A706" s="3099">
        <v>1373</v>
      </c>
      <c r="B706" s="3203" t="s">
        <v>3334</v>
      </c>
      <c r="C706" s="3204"/>
      <c r="D706" s="3100" t="s">
        <v>3893</v>
      </c>
      <c r="E706" s="3100" t="s">
        <v>463</v>
      </c>
      <c r="F706" s="3101">
        <v>50.12</v>
      </c>
      <c r="G706" s="3102" t="s">
        <v>3188</v>
      </c>
    </row>
    <row r="707" spans="1:7" ht="15" thickBot="1">
      <c r="A707" s="3099">
        <v>1374</v>
      </c>
      <c r="B707" s="3203" t="s">
        <v>3334</v>
      </c>
      <c r="C707" s="3204"/>
      <c r="D707" s="3100" t="s">
        <v>3894</v>
      </c>
      <c r="E707" s="3100" t="s">
        <v>463</v>
      </c>
      <c r="F707" s="3101">
        <v>49.78</v>
      </c>
      <c r="G707" s="3102" t="s">
        <v>3188</v>
      </c>
    </row>
    <row r="708" spans="1:7" ht="15" thickBot="1">
      <c r="A708" s="3099">
        <v>1375</v>
      </c>
      <c r="B708" s="3203" t="s">
        <v>3334</v>
      </c>
      <c r="C708" s="3204"/>
      <c r="D708" s="3100" t="s">
        <v>3895</v>
      </c>
      <c r="E708" s="3100" t="s">
        <v>463</v>
      </c>
      <c r="F708" s="3101">
        <v>50.42</v>
      </c>
      <c r="G708" s="3102" t="s">
        <v>3188</v>
      </c>
    </row>
    <row r="709" spans="1:7" ht="15" thickBot="1">
      <c r="A709" s="3099">
        <v>1376</v>
      </c>
      <c r="B709" s="3203" t="s">
        <v>3334</v>
      </c>
      <c r="C709" s="3204"/>
      <c r="D709" s="3100" t="s">
        <v>3896</v>
      </c>
      <c r="E709" s="3100" t="s">
        <v>463</v>
      </c>
      <c r="F709" s="3101">
        <v>50.12</v>
      </c>
      <c r="G709" s="3102" t="s">
        <v>3188</v>
      </c>
    </row>
    <row r="710" spans="1:7" ht="15" thickBot="1">
      <c r="A710" s="3099">
        <v>1377</v>
      </c>
      <c r="B710" s="3203" t="s">
        <v>3334</v>
      </c>
      <c r="C710" s="3204"/>
      <c r="D710" s="3100" t="s">
        <v>3897</v>
      </c>
      <c r="E710" s="3100" t="s">
        <v>463</v>
      </c>
      <c r="F710" s="3101">
        <v>49.78</v>
      </c>
      <c r="G710" s="3102" t="s">
        <v>3188</v>
      </c>
    </row>
    <row r="711" spans="1:7" ht="15" thickBot="1">
      <c r="A711" s="3099">
        <v>1378</v>
      </c>
      <c r="B711" s="3203" t="s">
        <v>3334</v>
      </c>
      <c r="C711" s="3204"/>
      <c r="D711" s="3100" t="s">
        <v>3898</v>
      </c>
      <c r="E711" s="3100" t="s">
        <v>463</v>
      </c>
      <c r="F711" s="3101">
        <v>50.42</v>
      </c>
      <c r="G711" s="3102" t="s">
        <v>3188</v>
      </c>
    </row>
    <row r="712" spans="1:7" ht="15" thickBot="1">
      <c r="A712" s="3099">
        <v>1379</v>
      </c>
      <c r="B712" s="3203" t="s">
        <v>3334</v>
      </c>
      <c r="C712" s="3204"/>
      <c r="D712" s="3100" t="s">
        <v>3899</v>
      </c>
      <c r="E712" s="3100" t="s">
        <v>463</v>
      </c>
      <c r="F712" s="3101">
        <v>50.12</v>
      </c>
      <c r="G712" s="3102" t="s">
        <v>3188</v>
      </c>
    </row>
    <row r="713" spans="1:7" ht="15" thickBot="1">
      <c r="A713" s="3099">
        <v>1380</v>
      </c>
      <c r="B713" s="3203" t="s">
        <v>3334</v>
      </c>
      <c r="C713" s="3204"/>
      <c r="D713" s="3100" t="s">
        <v>3900</v>
      </c>
      <c r="E713" s="3100" t="s">
        <v>463</v>
      </c>
      <c r="F713" s="3101">
        <v>49.78</v>
      </c>
      <c r="G713" s="3102" t="s">
        <v>3188</v>
      </c>
    </row>
    <row r="714" spans="1:7" ht="15" thickBot="1">
      <c r="A714" s="3099">
        <v>1381</v>
      </c>
      <c r="B714" s="3203" t="s">
        <v>3334</v>
      </c>
      <c r="C714" s="3204"/>
      <c r="D714" s="3100" t="s">
        <v>3901</v>
      </c>
      <c r="E714" s="3100" t="s">
        <v>463</v>
      </c>
      <c r="F714" s="3101">
        <v>50.42</v>
      </c>
      <c r="G714" s="3102" t="s">
        <v>3188</v>
      </c>
    </row>
    <row r="715" spans="1:7" ht="15" thickBot="1">
      <c r="A715" s="3099">
        <v>1382</v>
      </c>
      <c r="B715" s="3203" t="s">
        <v>3334</v>
      </c>
      <c r="C715" s="3204"/>
      <c r="D715" s="3100" t="s">
        <v>3902</v>
      </c>
      <c r="E715" s="3100" t="s">
        <v>463</v>
      </c>
      <c r="F715" s="3101">
        <v>50.12</v>
      </c>
      <c r="G715" s="3102" t="s">
        <v>3188</v>
      </c>
    </row>
    <row r="716" spans="1:7" ht="15" thickBot="1">
      <c r="A716" s="3099">
        <v>1383</v>
      </c>
      <c r="B716" s="3203" t="s">
        <v>3334</v>
      </c>
      <c r="C716" s="3204"/>
      <c r="D716" s="3100" t="s">
        <v>3903</v>
      </c>
      <c r="E716" s="3100" t="s">
        <v>463</v>
      </c>
      <c r="F716" s="3101">
        <v>49.78</v>
      </c>
      <c r="G716" s="3102" t="s">
        <v>3188</v>
      </c>
    </row>
    <row r="717" spans="1:7" ht="15" thickBot="1">
      <c r="A717" s="3099">
        <v>1384</v>
      </c>
      <c r="B717" s="3203" t="s">
        <v>3334</v>
      </c>
      <c r="C717" s="3204"/>
      <c r="D717" s="3100" t="s">
        <v>3904</v>
      </c>
      <c r="E717" s="3100" t="s">
        <v>463</v>
      </c>
      <c r="F717" s="3101">
        <v>50.42</v>
      </c>
      <c r="G717" s="3102" t="s">
        <v>3188</v>
      </c>
    </row>
    <row r="718" spans="1:7" ht="15" thickBot="1">
      <c r="A718" s="3099">
        <v>1385</v>
      </c>
      <c r="B718" s="3203" t="s">
        <v>3334</v>
      </c>
      <c r="C718" s="3204"/>
      <c r="D718" s="3100" t="s">
        <v>3905</v>
      </c>
      <c r="E718" s="3100" t="s">
        <v>463</v>
      </c>
      <c r="F718" s="3101">
        <v>50.12</v>
      </c>
      <c r="G718" s="3102" t="s">
        <v>3188</v>
      </c>
    </row>
    <row r="719" spans="1:7" ht="15" thickBot="1">
      <c r="A719" s="3099">
        <v>1386</v>
      </c>
      <c r="B719" s="3203" t="s">
        <v>3334</v>
      </c>
      <c r="C719" s="3204"/>
      <c r="D719" s="3100" t="s">
        <v>3906</v>
      </c>
      <c r="E719" s="3100" t="s">
        <v>463</v>
      </c>
      <c r="F719" s="3101">
        <v>49.94</v>
      </c>
      <c r="G719" s="3102" t="s">
        <v>3188</v>
      </c>
    </row>
    <row r="720" spans="1:7" ht="15" thickBot="1">
      <c r="A720" s="3099">
        <v>1387</v>
      </c>
      <c r="B720" s="3203" t="s">
        <v>3334</v>
      </c>
      <c r="C720" s="3204"/>
      <c r="D720" s="3100" t="s">
        <v>3907</v>
      </c>
      <c r="E720" s="3100" t="s">
        <v>463</v>
      </c>
      <c r="F720" s="3101">
        <v>49.78</v>
      </c>
      <c r="G720" s="3102" t="s">
        <v>3188</v>
      </c>
    </row>
    <row r="721" spans="1:7" ht="15" thickBot="1">
      <c r="A721" s="3099">
        <v>1388</v>
      </c>
      <c r="B721" s="3203" t="s">
        <v>3334</v>
      </c>
      <c r="C721" s="3204"/>
      <c r="D721" s="3100" t="s">
        <v>3908</v>
      </c>
      <c r="E721" s="3100" t="s">
        <v>463</v>
      </c>
      <c r="F721" s="3101">
        <v>50.12</v>
      </c>
      <c r="G721" s="3102" t="s">
        <v>3188</v>
      </c>
    </row>
    <row r="722" spans="1:7" ht="15" thickBot="1">
      <c r="A722" s="3099">
        <v>1389</v>
      </c>
      <c r="B722" s="3203" t="s">
        <v>3334</v>
      </c>
      <c r="C722" s="3204"/>
      <c r="D722" s="3100" t="s">
        <v>3909</v>
      </c>
      <c r="E722" s="3100" t="s">
        <v>463</v>
      </c>
      <c r="F722" s="3101">
        <v>49.94</v>
      </c>
      <c r="G722" s="3102" t="s">
        <v>3188</v>
      </c>
    </row>
    <row r="723" spans="1:7" ht="15" thickBot="1">
      <c r="A723" s="3099">
        <v>1390</v>
      </c>
      <c r="B723" s="3203" t="s">
        <v>3334</v>
      </c>
      <c r="C723" s="3204"/>
      <c r="D723" s="3100" t="s">
        <v>3910</v>
      </c>
      <c r="E723" s="3100" t="s">
        <v>463</v>
      </c>
      <c r="F723" s="3101">
        <v>50.42</v>
      </c>
      <c r="G723" s="3102" t="s">
        <v>3188</v>
      </c>
    </row>
    <row r="724" spans="1:7" ht="15" thickBot="1">
      <c r="A724" s="3099">
        <v>1391</v>
      </c>
      <c r="B724" s="3203" t="s">
        <v>3334</v>
      </c>
      <c r="C724" s="3204"/>
      <c r="D724" s="3100" t="s">
        <v>3911</v>
      </c>
      <c r="E724" s="3100" t="s">
        <v>463</v>
      </c>
      <c r="F724" s="3101">
        <v>50.12</v>
      </c>
      <c r="G724" s="3102" t="s">
        <v>3188</v>
      </c>
    </row>
    <row r="725" spans="1:7" ht="15" thickBot="1">
      <c r="A725" s="3099">
        <v>1392</v>
      </c>
      <c r="B725" s="3203" t="s">
        <v>3334</v>
      </c>
      <c r="C725" s="3204"/>
      <c r="D725" s="3100" t="s">
        <v>3912</v>
      </c>
      <c r="E725" s="3100" t="s">
        <v>463</v>
      </c>
      <c r="F725" s="3101">
        <v>49.94</v>
      </c>
      <c r="G725" s="3102" t="s">
        <v>3188</v>
      </c>
    </row>
    <row r="726" spans="1:7" ht="15" thickBot="1">
      <c r="A726" s="3099">
        <v>1393</v>
      </c>
      <c r="B726" s="3203" t="s">
        <v>3334</v>
      </c>
      <c r="C726" s="3204"/>
      <c r="D726" s="3100" t="s">
        <v>3913</v>
      </c>
      <c r="E726" s="3100" t="s">
        <v>463</v>
      </c>
      <c r="F726" s="3101">
        <v>49.78</v>
      </c>
      <c r="G726" s="3102" t="s">
        <v>3188</v>
      </c>
    </row>
    <row r="727" spans="1:7" ht="15" thickBot="1">
      <c r="A727" s="3099">
        <v>1394</v>
      </c>
      <c r="B727" s="3203" t="s">
        <v>3334</v>
      </c>
      <c r="C727" s="3204"/>
      <c r="D727" s="3100" t="s">
        <v>3914</v>
      </c>
      <c r="E727" s="3100" t="s">
        <v>463</v>
      </c>
      <c r="F727" s="3101">
        <v>50.12</v>
      </c>
      <c r="G727" s="3102" t="s">
        <v>3188</v>
      </c>
    </row>
    <row r="728" spans="1:7" ht="15" thickBot="1">
      <c r="A728" s="3099">
        <v>1395</v>
      </c>
      <c r="B728" s="3203" t="s">
        <v>3334</v>
      </c>
      <c r="C728" s="3204"/>
      <c r="D728" s="3100" t="s">
        <v>3915</v>
      </c>
      <c r="E728" s="3100" t="s">
        <v>463</v>
      </c>
      <c r="F728" s="3101">
        <v>49.94</v>
      </c>
      <c r="G728" s="3102" t="s">
        <v>3188</v>
      </c>
    </row>
    <row r="729" spans="1:7" ht="15" thickBot="1">
      <c r="A729" s="3099">
        <v>1396</v>
      </c>
      <c r="B729" s="3203" t="s">
        <v>3334</v>
      </c>
      <c r="C729" s="3204"/>
      <c r="D729" s="3100" t="s">
        <v>3916</v>
      </c>
      <c r="E729" s="3100" t="s">
        <v>463</v>
      </c>
      <c r="F729" s="3101">
        <v>49.78</v>
      </c>
      <c r="G729" s="3102" t="s">
        <v>3188</v>
      </c>
    </row>
    <row r="730" spans="1:7" ht="15" thickBot="1">
      <c r="A730" s="3099">
        <v>1397</v>
      </c>
      <c r="B730" s="3203" t="s">
        <v>3334</v>
      </c>
      <c r="C730" s="3204"/>
      <c r="D730" s="3100" t="s">
        <v>3917</v>
      </c>
      <c r="E730" s="3100" t="s">
        <v>463</v>
      </c>
      <c r="F730" s="3101">
        <v>50.12</v>
      </c>
      <c r="G730" s="3102" t="s">
        <v>3188</v>
      </c>
    </row>
    <row r="731" spans="1:7" ht="15" thickBot="1">
      <c r="A731" s="3099">
        <v>1398</v>
      </c>
      <c r="B731" s="3203" t="s">
        <v>3334</v>
      </c>
      <c r="C731" s="3204"/>
      <c r="D731" s="3100" t="s">
        <v>3918</v>
      </c>
      <c r="E731" s="3100" t="s">
        <v>463</v>
      </c>
      <c r="F731" s="3101">
        <v>49.94</v>
      </c>
      <c r="G731" s="3102" t="s">
        <v>3188</v>
      </c>
    </row>
    <row r="732" spans="1:7" ht="15" thickBot="1">
      <c r="A732" s="3099">
        <v>1399</v>
      </c>
      <c r="B732" s="3203" t="s">
        <v>3334</v>
      </c>
      <c r="C732" s="3204"/>
      <c r="D732" s="3100" t="s">
        <v>3919</v>
      </c>
      <c r="E732" s="3100" t="s">
        <v>463</v>
      </c>
      <c r="F732" s="3101">
        <v>49.78</v>
      </c>
      <c r="G732" s="3102" t="s">
        <v>3188</v>
      </c>
    </row>
    <row r="733" spans="1:7" ht="15" thickBot="1">
      <c r="A733" s="3099">
        <v>1400</v>
      </c>
      <c r="B733" s="3203" t="s">
        <v>3334</v>
      </c>
      <c r="C733" s="3204"/>
      <c r="D733" s="3100" t="s">
        <v>3920</v>
      </c>
      <c r="E733" s="3100" t="s">
        <v>463</v>
      </c>
      <c r="F733" s="3101">
        <v>50.12</v>
      </c>
      <c r="G733" s="3102" t="s">
        <v>3188</v>
      </c>
    </row>
    <row r="734" spans="1:7" ht="15" thickBot="1">
      <c r="A734" s="3099">
        <v>1401</v>
      </c>
      <c r="B734" s="3203" t="s">
        <v>3334</v>
      </c>
      <c r="C734" s="3204"/>
      <c r="D734" s="3100" t="s">
        <v>3921</v>
      </c>
      <c r="E734" s="3100" t="s">
        <v>463</v>
      </c>
      <c r="F734" s="3101">
        <v>49.94</v>
      </c>
      <c r="G734" s="3102" t="s">
        <v>3188</v>
      </c>
    </row>
    <row r="735" spans="1:7" ht="15" thickBot="1">
      <c r="A735" s="3099">
        <v>1402</v>
      </c>
      <c r="B735" s="3203" t="s">
        <v>3334</v>
      </c>
      <c r="C735" s="3204"/>
      <c r="D735" s="3100" t="s">
        <v>3922</v>
      </c>
      <c r="E735" s="3100" t="s">
        <v>463</v>
      </c>
      <c r="F735" s="3101">
        <v>49.78</v>
      </c>
      <c r="G735" s="3102" t="s">
        <v>3188</v>
      </c>
    </row>
    <row r="736" spans="1:7" ht="15" thickBot="1">
      <c r="A736" s="3099">
        <v>1403</v>
      </c>
      <c r="B736" s="3203" t="s">
        <v>3334</v>
      </c>
      <c r="C736" s="3204"/>
      <c r="D736" s="3100" t="s">
        <v>3923</v>
      </c>
      <c r="E736" s="3100" t="s">
        <v>463</v>
      </c>
      <c r="F736" s="3101">
        <v>50.12</v>
      </c>
      <c r="G736" s="3102" t="s">
        <v>3188</v>
      </c>
    </row>
    <row r="737" spans="1:7" ht="15" thickBot="1">
      <c r="A737" s="3099">
        <v>1404</v>
      </c>
      <c r="B737" s="3203" t="s">
        <v>3334</v>
      </c>
      <c r="C737" s="3204"/>
      <c r="D737" s="3100" t="s">
        <v>3924</v>
      </c>
      <c r="E737" s="3100" t="s">
        <v>463</v>
      </c>
      <c r="F737" s="3101">
        <v>49.94</v>
      </c>
      <c r="G737" s="3102" t="s">
        <v>3188</v>
      </c>
    </row>
    <row r="738" spans="1:7" ht="15" thickBot="1">
      <c r="A738" s="3099">
        <v>1405</v>
      </c>
      <c r="B738" s="3203" t="s">
        <v>3334</v>
      </c>
      <c r="C738" s="3204"/>
      <c r="D738" s="3100" t="s">
        <v>3925</v>
      </c>
      <c r="E738" s="3100" t="s">
        <v>463</v>
      </c>
      <c r="F738" s="3101">
        <v>50.42</v>
      </c>
      <c r="G738" s="3102" t="s">
        <v>3188</v>
      </c>
    </row>
    <row r="739" spans="1:7" ht="15" thickBot="1">
      <c r="A739" s="3099">
        <v>1406</v>
      </c>
      <c r="B739" s="3203" t="s">
        <v>3334</v>
      </c>
      <c r="C739" s="3204"/>
      <c r="D739" s="3100" t="s">
        <v>3926</v>
      </c>
      <c r="E739" s="3100" t="s">
        <v>463</v>
      </c>
      <c r="F739" s="3101">
        <v>50.12</v>
      </c>
      <c r="G739" s="3102" t="s">
        <v>3188</v>
      </c>
    </row>
    <row r="740" spans="1:7" ht="15" thickBot="1">
      <c r="A740" s="3099">
        <v>1407</v>
      </c>
      <c r="B740" s="3203" t="s">
        <v>3334</v>
      </c>
      <c r="C740" s="3204"/>
      <c r="D740" s="3100" t="s">
        <v>3927</v>
      </c>
      <c r="E740" s="3100" t="s">
        <v>463</v>
      </c>
      <c r="F740" s="3101">
        <v>49.94</v>
      </c>
      <c r="G740" s="3102" t="s">
        <v>3188</v>
      </c>
    </row>
    <row r="741" spans="1:7" ht="15" thickBot="1">
      <c r="A741" s="3099">
        <v>1408</v>
      </c>
      <c r="B741" s="3203" t="s">
        <v>3334</v>
      </c>
      <c r="C741" s="3204"/>
      <c r="D741" s="3100" t="s">
        <v>3928</v>
      </c>
      <c r="E741" s="3100" t="s">
        <v>463</v>
      </c>
      <c r="F741" s="3101">
        <v>50.42</v>
      </c>
      <c r="G741" s="3102" t="s">
        <v>3188</v>
      </c>
    </row>
    <row r="742" spans="1:7" ht="15" thickBot="1">
      <c r="A742" s="3099">
        <v>1409</v>
      </c>
      <c r="B742" s="3203" t="s">
        <v>3334</v>
      </c>
      <c r="C742" s="3204"/>
      <c r="D742" s="3100" t="s">
        <v>3929</v>
      </c>
      <c r="E742" s="3100" t="s">
        <v>463</v>
      </c>
      <c r="F742" s="3101">
        <v>50.12</v>
      </c>
      <c r="G742" s="3102" t="s">
        <v>3188</v>
      </c>
    </row>
    <row r="743" spans="1:7" ht="15" thickBot="1">
      <c r="A743" s="3099">
        <v>1410</v>
      </c>
      <c r="B743" s="3203" t="s">
        <v>3334</v>
      </c>
      <c r="C743" s="3204"/>
      <c r="D743" s="3100" t="s">
        <v>3930</v>
      </c>
      <c r="E743" s="3100" t="s">
        <v>463</v>
      </c>
      <c r="F743" s="3101">
        <v>49.94</v>
      </c>
      <c r="G743" s="3102" t="s">
        <v>3188</v>
      </c>
    </row>
    <row r="744" spans="1:7" ht="15" thickBot="1">
      <c r="A744" s="3099">
        <v>1411</v>
      </c>
      <c r="B744" s="3203" t="s">
        <v>3334</v>
      </c>
      <c r="C744" s="3204"/>
      <c r="D744" s="3100" t="s">
        <v>3931</v>
      </c>
      <c r="E744" s="3100" t="s">
        <v>463</v>
      </c>
      <c r="F744" s="3101">
        <v>50.42</v>
      </c>
      <c r="G744" s="3102" t="s">
        <v>3188</v>
      </c>
    </row>
    <row r="745" spans="1:7" ht="15" thickBot="1">
      <c r="A745" s="3099">
        <v>1412</v>
      </c>
      <c r="B745" s="3203" t="s">
        <v>3334</v>
      </c>
      <c r="C745" s="3204"/>
      <c r="D745" s="3100" t="s">
        <v>3932</v>
      </c>
      <c r="E745" s="3100" t="s">
        <v>463</v>
      </c>
      <c r="F745" s="3101">
        <v>50.12</v>
      </c>
      <c r="G745" s="3102" t="s">
        <v>3188</v>
      </c>
    </row>
    <row r="746" spans="1:7" ht="15" thickBot="1">
      <c r="A746" s="3099">
        <v>1413</v>
      </c>
      <c r="B746" s="3203" t="s">
        <v>3334</v>
      </c>
      <c r="C746" s="3204"/>
      <c r="D746" s="3100" t="s">
        <v>3933</v>
      </c>
      <c r="E746" s="3100" t="s">
        <v>463</v>
      </c>
      <c r="F746" s="3101">
        <v>49.94</v>
      </c>
      <c r="G746" s="3102" t="s">
        <v>3188</v>
      </c>
    </row>
    <row r="747" spans="1:7" ht="15" thickBot="1">
      <c r="A747" s="3099">
        <v>1414</v>
      </c>
      <c r="B747" s="3203" t="s">
        <v>3334</v>
      </c>
      <c r="C747" s="3204"/>
      <c r="D747" s="3100" t="s">
        <v>3934</v>
      </c>
      <c r="E747" s="3100" t="s">
        <v>463</v>
      </c>
      <c r="F747" s="3101">
        <v>50.42</v>
      </c>
      <c r="G747" s="3102" t="s">
        <v>3188</v>
      </c>
    </row>
    <row r="748" spans="1:7" ht="15" thickBot="1">
      <c r="A748" s="3099">
        <v>1415</v>
      </c>
      <c r="B748" s="3203" t="s">
        <v>3334</v>
      </c>
      <c r="C748" s="3204"/>
      <c r="D748" s="3100" t="s">
        <v>3935</v>
      </c>
      <c r="E748" s="3100" t="s">
        <v>463</v>
      </c>
      <c r="F748" s="3101">
        <v>50.12</v>
      </c>
      <c r="G748" s="3102" t="s">
        <v>3188</v>
      </c>
    </row>
    <row r="749" spans="1:7" ht="15" thickBot="1">
      <c r="A749" s="3099">
        <v>1416</v>
      </c>
      <c r="B749" s="3203" t="s">
        <v>3334</v>
      </c>
      <c r="C749" s="3204"/>
      <c r="D749" s="3100" t="s">
        <v>3936</v>
      </c>
      <c r="E749" s="3100" t="s">
        <v>463</v>
      </c>
      <c r="F749" s="3101">
        <v>49.94</v>
      </c>
      <c r="G749" s="3102" t="s">
        <v>3188</v>
      </c>
    </row>
    <row r="750" spans="1:7" ht="15" thickBot="1">
      <c r="A750" s="3099">
        <v>1417</v>
      </c>
      <c r="B750" s="3203" t="s">
        <v>3334</v>
      </c>
      <c r="C750" s="3204"/>
      <c r="D750" s="3100" t="s">
        <v>3937</v>
      </c>
      <c r="E750" s="3100" t="s">
        <v>463</v>
      </c>
      <c r="F750" s="3101">
        <v>49.24</v>
      </c>
      <c r="G750" s="3102" t="s">
        <v>3188</v>
      </c>
    </row>
    <row r="751" spans="1:7" ht="15" thickBot="1">
      <c r="A751" s="3099">
        <v>1418</v>
      </c>
      <c r="B751" s="3203" t="s">
        <v>3334</v>
      </c>
      <c r="C751" s="3204"/>
      <c r="D751" s="3100" t="s">
        <v>3938</v>
      </c>
      <c r="E751" s="3100" t="s">
        <v>463</v>
      </c>
      <c r="F751" s="3101">
        <v>49.94</v>
      </c>
      <c r="G751" s="3102" t="s">
        <v>3188</v>
      </c>
    </row>
    <row r="752" spans="1:7" ht="15" thickBot="1">
      <c r="A752" s="3099">
        <v>1419</v>
      </c>
      <c r="B752" s="3203" t="s">
        <v>3334</v>
      </c>
      <c r="C752" s="3204"/>
      <c r="D752" s="3100" t="s">
        <v>3939</v>
      </c>
      <c r="E752" s="3100" t="s">
        <v>463</v>
      </c>
      <c r="F752" s="3101">
        <v>49.99</v>
      </c>
      <c r="G752" s="3102" t="s">
        <v>3188</v>
      </c>
    </row>
    <row r="753" spans="1:7" ht="15" thickBot="1">
      <c r="A753" s="3099">
        <v>1420</v>
      </c>
      <c r="B753" s="3203" t="s">
        <v>3334</v>
      </c>
      <c r="C753" s="3204"/>
      <c r="D753" s="3100" t="s">
        <v>3940</v>
      </c>
      <c r="E753" s="3100" t="s">
        <v>463</v>
      </c>
      <c r="F753" s="3101">
        <v>64.099999999999994</v>
      </c>
      <c r="G753" s="3102" t="s">
        <v>3188</v>
      </c>
    </row>
    <row r="754" spans="1:7" ht="15" thickBot="1">
      <c r="A754" s="3099">
        <v>1421</v>
      </c>
      <c r="B754" s="3203" t="s">
        <v>3334</v>
      </c>
      <c r="C754" s="3204"/>
      <c r="D754" s="3100" t="s">
        <v>3941</v>
      </c>
      <c r="E754" s="3100" t="s">
        <v>463</v>
      </c>
      <c r="F754" s="3101">
        <v>64.2</v>
      </c>
      <c r="G754" s="3102" t="s">
        <v>3188</v>
      </c>
    </row>
    <row r="755" spans="1:7" ht="15" thickBot="1">
      <c r="A755" s="3099">
        <v>1422</v>
      </c>
      <c r="B755" s="3203" t="s">
        <v>3334</v>
      </c>
      <c r="C755" s="3204"/>
      <c r="D755" s="3100" t="s">
        <v>3942</v>
      </c>
      <c r="E755" s="3100" t="s">
        <v>463</v>
      </c>
      <c r="F755" s="3101">
        <v>88.92</v>
      </c>
      <c r="G755" s="3102" t="s">
        <v>3188</v>
      </c>
    </row>
    <row r="756" spans="1:7" ht="15" thickBot="1">
      <c r="A756" s="3099">
        <v>1423</v>
      </c>
      <c r="B756" s="3203" t="s">
        <v>3334</v>
      </c>
      <c r="C756" s="3204"/>
      <c r="D756" s="3100" t="s">
        <v>3943</v>
      </c>
      <c r="E756" s="3100" t="s">
        <v>463</v>
      </c>
      <c r="F756" s="3101">
        <v>49.08</v>
      </c>
      <c r="G756" s="3102" t="s">
        <v>3188</v>
      </c>
    </row>
    <row r="757" spans="1:7" ht="15" thickBot="1">
      <c r="A757" s="3099">
        <v>1424</v>
      </c>
      <c r="B757" s="3203" t="s">
        <v>3334</v>
      </c>
      <c r="C757" s="3204"/>
      <c r="D757" s="3100" t="s">
        <v>3944</v>
      </c>
      <c r="E757" s="3100" t="s">
        <v>463</v>
      </c>
      <c r="F757" s="3101">
        <v>49.94</v>
      </c>
      <c r="G757" s="3102" t="s">
        <v>3188</v>
      </c>
    </row>
    <row r="758" spans="1:7" ht="15" thickBot="1">
      <c r="A758" s="3099">
        <v>1425</v>
      </c>
      <c r="B758" s="3203" t="s">
        <v>3334</v>
      </c>
      <c r="C758" s="3204"/>
      <c r="D758" s="3100" t="s">
        <v>3945</v>
      </c>
      <c r="E758" s="3100" t="s">
        <v>463</v>
      </c>
      <c r="F758" s="3101">
        <v>49.99</v>
      </c>
      <c r="G758" s="3102" t="s">
        <v>3188</v>
      </c>
    </row>
    <row r="759" spans="1:7" ht="15" thickBot="1">
      <c r="A759" s="3099">
        <v>1426</v>
      </c>
      <c r="B759" s="3203" t="s">
        <v>3334</v>
      </c>
      <c r="C759" s="3204"/>
      <c r="D759" s="3100" t="s">
        <v>3946</v>
      </c>
      <c r="E759" s="3100" t="s">
        <v>463</v>
      </c>
      <c r="F759" s="3101">
        <v>64.099999999999994</v>
      </c>
      <c r="G759" s="3102" t="s">
        <v>3188</v>
      </c>
    </row>
    <row r="760" spans="1:7" ht="15" thickBot="1">
      <c r="A760" s="3099">
        <v>1427</v>
      </c>
      <c r="B760" s="3203" t="s">
        <v>3334</v>
      </c>
      <c r="C760" s="3204"/>
      <c r="D760" s="3100" t="s">
        <v>3947</v>
      </c>
      <c r="E760" s="3100" t="s">
        <v>463</v>
      </c>
      <c r="F760" s="3101">
        <v>64.2</v>
      </c>
      <c r="G760" s="3102" t="s">
        <v>3188</v>
      </c>
    </row>
    <row r="761" spans="1:7" ht="15" thickBot="1">
      <c r="A761" s="3099">
        <v>1428</v>
      </c>
      <c r="B761" s="3203" t="s">
        <v>3334</v>
      </c>
      <c r="C761" s="3204"/>
      <c r="D761" s="3100" t="s">
        <v>3948</v>
      </c>
      <c r="E761" s="3100" t="s">
        <v>463</v>
      </c>
      <c r="F761" s="3101">
        <v>88.84</v>
      </c>
      <c r="G761" s="3102" t="s">
        <v>3188</v>
      </c>
    </row>
    <row r="762" spans="1:7" ht="15" thickBot="1">
      <c r="A762" s="3099">
        <v>1429</v>
      </c>
      <c r="B762" s="3203" t="s">
        <v>3334</v>
      </c>
      <c r="C762" s="3204"/>
      <c r="D762" s="3100" t="s">
        <v>3949</v>
      </c>
      <c r="E762" s="3100" t="s">
        <v>463</v>
      </c>
      <c r="F762" s="3101">
        <v>49.24</v>
      </c>
      <c r="G762" s="3102" t="s">
        <v>3188</v>
      </c>
    </row>
    <row r="763" spans="1:7" ht="15" thickBot="1">
      <c r="A763" s="3099">
        <v>1430</v>
      </c>
      <c r="B763" s="3203" t="s">
        <v>3334</v>
      </c>
      <c r="C763" s="3204"/>
      <c r="D763" s="3100" t="s">
        <v>3950</v>
      </c>
      <c r="E763" s="3100" t="s">
        <v>463</v>
      </c>
      <c r="F763" s="3101">
        <v>49.94</v>
      </c>
      <c r="G763" s="3102" t="s">
        <v>3188</v>
      </c>
    </row>
    <row r="764" spans="1:7" ht="15" thickBot="1">
      <c r="A764" s="3099">
        <v>1431</v>
      </c>
      <c r="B764" s="3203" t="s">
        <v>3334</v>
      </c>
      <c r="C764" s="3204"/>
      <c r="D764" s="3100" t="s">
        <v>3951</v>
      </c>
      <c r="E764" s="3100" t="s">
        <v>463</v>
      </c>
      <c r="F764" s="3101">
        <v>49.99</v>
      </c>
      <c r="G764" s="3102" t="s">
        <v>3188</v>
      </c>
    </row>
    <row r="765" spans="1:7" ht="15" thickBot="1">
      <c r="A765" s="3099">
        <v>1432</v>
      </c>
      <c r="B765" s="3203" t="s">
        <v>3334</v>
      </c>
      <c r="C765" s="3204"/>
      <c r="D765" s="3100" t="s">
        <v>3952</v>
      </c>
      <c r="E765" s="3100" t="s">
        <v>463</v>
      </c>
      <c r="F765" s="3101">
        <v>64.099999999999994</v>
      </c>
      <c r="G765" s="3102" t="s">
        <v>3188</v>
      </c>
    </row>
    <row r="766" spans="1:7" ht="15" thickBot="1">
      <c r="A766" s="3099">
        <v>1433</v>
      </c>
      <c r="B766" s="3203" t="s">
        <v>3334</v>
      </c>
      <c r="C766" s="3204"/>
      <c r="D766" s="3100" t="s">
        <v>3953</v>
      </c>
      <c r="E766" s="3100" t="s">
        <v>463</v>
      </c>
      <c r="F766" s="3101">
        <v>64.2</v>
      </c>
      <c r="G766" s="3102" t="s">
        <v>3188</v>
      </c>
    </row>
    <row r="767" spans="1:7" ht="15" thickBot="1">
      <c r="A767" s="3099">
        <v>1434</v>
      </c>
      <c r="B767" s="3203" t="s">
        <v>3334</v>
      </c>
      <c r="C767" s="3204"/>
      <c r="D767" s="3100" t="s">
        <v>3954</v>
      </c>
      <c r="E767" s="3100" t="s">
        <v>463</v>
      </c>
      <c r="F767" s="3101">
        <v>88.92</v>
      </c>
      <c r="G767" s="3102" t="s">
        <v>3188</v>
      </c>
    </row>
    <row r="768" spans="1:7" ht="15" thickBot="1">
      <c r="A768" s="3099">
        <v>1435</v>
      </c>
      <c r="B768" s="3203" t="s">
        <v>3334</v>
      </c>
      <c r="C768" s="3204"/>
      <c r="D768" s="3100" t="s">
        <v>3955</v>
      </c>
      <c r="E768" s="3100" t="s">
        <v>463</v>
      </c>
      <c r="F768" s="3101">
        <v>49.7</v>
      </c>
      <c r="G768" s="3102" t="s">
        <v>3188</v>
      </c>
    </row>
    <row r="769" spans="1:7" ht="15" thickBot="1">
      <c r="A769" s="3099">
        <v>1436</v>
      </c>
      <c r="B769" s="3203" t="s">
        <v>3334</v>
      </c>
      <c r="C769" s="3204"/>
      <c r="D769" s="3100" t="s">
        <v>3956</v>
      </c>
      <c r="E769" s="3100" t="s">
        <v>463</v>
      </c>
      <c r="F769" s="3101">
        <v>49.94</v>
      </c>
      <c r="G769" s="3102" t="s">
        <v>3188</v>
      </c>
    </row>
    <row r="770" spans="1:7" ht="15" thickBot="1">
      <c r="A770" s="3099">
        <v>1437</v>
      </c>
      <c r="B770" s="3203" t="s">
        <v>3334</v>
      </c>
      <c r="C770" s="3204"/>
      <c r="D770" s="3100" t="s">
        <v>3957</v>
      </c>
      <c r="E770" s="3100" t="s">
        <v>463</v>
      </c>
      <c r="F770" s="3101">
        <v>49.99</v>
      </c>
      <c r="G770" s="3102" t="s">
        <v>3188</v>
      </c>
    </row>
    <row r="771" spans="1:7" ht="15" thickBot="1">
      <c r="A771" s="3099">
        <v>1438</v>
      </c>
      <c r="B771" s="3203" t="s">
        <v>3334</v>
      </c>
      <c r="C771" s="3204"/>
      <c r="D771" s="3100" t="s">
        <v>3958</v>
      </c>
      <c r="E771" s="3100" t="s">
        <v>463</v>
      </c>
      <c r="F771" s="3101">
        <v>64.099999999999994</v>
      </c>
      <c r="G771" s="3102" t="s">
        <v>3188</v>
      </c>
    </row>
    <row r="772" spans="1:7" ht="15" thickBot="1">
      <c r="A772" s="3099">
        <v>1439</v>
      </c>
      <c r="B772" s="3203" t="s">
        <v>3334</v>
      </c>
      <c r="C772" s="3204"/>
      <c r="D772" s="3100" t="s">
        <v>3959</v>
      </c>
      <c r="E772" s="3100" t="s">
        <v>463</v>
      </c>
      <c r="F772" s="3101">
        <v>64.2</v>
      </c>
      <c r="G772" s="3102" t="s">
        <v>3188</v>
      </c>
    </row>
    <row r="773" spans="1:7" ht="15" thickBot="1">
      <c r="A773" s="3099">
        <v>1440</v>
      </c>
      <c r="B773" s="3203" t="s">
        <v>3334</v>
      </c>
      <c r="C773" s="3204"/>
      <c r="D773" s="3100" t="s">
        <v>3960</v>
      </c>
      <c r="E773" s="3100" t="s">
        <v>463</v>
      </c>
      <c r="F773" s="3101">
        <v>88.92</v>
      </c>
      <c r="G773" s="3102" t="s">
        <v>3188</v>
      </c>
    </row>
    <row r="774" spans="1:7" ht="15" thickBot="1">
      <c r="A774" s="3099">
        <v>1441</v>
      </c>
      <c r="B774" s="3203" t="s">
        <v>3334</v>
      </c>
      <c r="C774" s="3204"/>
      <c r="D774" s="3100" t="s">
        <v>3961</v>
      </c>
      <c r="E774" s="3100" t="s">
        <v>463</v>
      </c>
      <c r="F774" s="3101">
        <v>49.7</v>
      </c>
      <c r="G774" s="3102" t="s">
        <v>3188</v>
      </c>
    </row>
    <row r="775" spans="1:7" ht="15" thickBot="1">
      <c r="A775" s="3099">
        <v>1442</v>
      </c>
      <c r="B775" s="3203" t="s">
        <v>3334</v>
      </c>
      <c r="C775" s="3204"/>
      <c r="D775" s="3100" t="s">
        <v>3962</v>
      </c>
      <c r="E775" s="3100" t="s">
        <v>463</v>
      </c>
      <c r="F775" s="3101">
        <v>49.94</v>
      </c>
      <c r="G775" s="3102" t="s">
        <v>3188</v>
      </c>
    </row>
    <row r="776" spans="1:7" ht="15" thickBot="1">
      <c r="A776" s="3099">
        <v>1443</v>
      </c>
      <c r="B776" s="3203" t="s">
        <v>3334</v>
      </c>
      <c r="C776" s="3204"/>
      <c r="D776" s="3100" t="s">
        <v>3963</v>
      </c>
      <c r="E776" s="3100" t="s">
        <v>463</v>
      </c>
      <c r="F776" s="3101">
        <v>49.99</v>
      </c>
      <c r="G776" s="3102" t="s">
        <v>3188</v>
      </c>
    </row>
    <row r="777" spans="1:7" ht="15" thickBot="1">
      <c r="A777" s="3099">
        <v>1444</v>
      </c>
      <c r="B777" s="3203" t="s">
        <v>3334</v>
      </c>
      <c r="C777" s="3204"/>
      <c r="D777" s="3100" t="s">
        <v>3964</v>
      </c>
      <c r="E777" s="3100" t="s">
        <v>463</v>
      </c>
      <c r="F777" s="3101">
        <v>64.099999999999994</v>
      </c>
      <c r="G777" s="3102" t="s">
        <v>3188</v>
      </c>
    </row>
    <row r="778" spans="1:7" ht="15" thickBot="1">
      <c r="A778" s="3099">
        <v>1445</v>
      </c>
      <c r="B778" s="3203" t="s">
        <v>3334</v>
      </c>
      <c r="C778" s="3204"/>
      <c r="D778" s="3100" t="s">
        <v>3965</v>
      </c>
      <c r="E778" s="3100" t="s">
        <v>463</v>
      </c>
      <c r="F778" s="3101">
        <v>64.2</v>
      </c>
      <c r="G778" s="3102" t="s">
        <v>3188</v>
      </c>
    </row>
    <row r="779" spans="1:7" ht="15" thickBot="1">
      <c r="A779" s="3099">
        <v>1446</v>
      </c>
      <c r="B779" s="3203" t="s">
        <v>3334</v>
      </c>
      <c r="C779" s="3204"/>
      <c r="D779" s="3100" t="s">
        <v>3966</v>
      </c>
      <c r="E779" s="3100" t="s">
        <v>463</v>
      </c>
      <c r="F779" s="3101">
        <v>88.92</v>
      </c>
      <c r="G779" s="3102" t="s">
        <v>3188</v>
      </c>
    </row>
    <row r="780" spans="1:7" ht="15" thickBot="1">
      <c r="A780" s="3099">
        <v>1447</v>
      </c>
      <c r="B780" s="3203" t="s">
        <v>3334</v>
      </c>
      <c r="C780" s="3204"/>
      <c r="D780" s="3100" t="s">
        <v>3967</v>
      </c>
      <c r="E780" s="3100" t="s">
        <v>463</v>
      </c>
      <c r="F780" s="3101">
        <v>49.7</v>
      </c>
      <c r="G780" s="3102" t="s">
        <v>3188</v>
      </c>
    </row>
    <row r="781" spans="1:7" ht="15" thickBot="1">
      <c r="A781" s="3099">
        <v>1448</v>
      </c>
      <c r="B781" s="3203" t="s">
        <v>3334</v>
      </c>
      <c r="C781" s="3204"/>
      <c r="D781" s="3100" t="s">
        <v>3968</v>
      </c>
      <c r="E781" s="3100" t="s">
        <v>463</v>
      </c>
      <c r="F781" s="3101">
        <v>49.94</v>
      </c>
      <c r="G781" s="3102" t="s">
        <v>3188</v>
      </c>
    </row>
    <row r="782" spans="1:7" ht="15" thickBot="1">
      <c r="A782" s="3099">
        <v>1449</v>
      </c>
      <c r="B782" s="3203" t="s">
        <v>3334</v>
      </c>
      <c r="C782" s="3204"/>
      <c r="D782" s="3100" t="s">
        <v>3969</v>
      </c>
      <c r="E782" s="3100" t="s">
        <v>463</v>
      </c>
      <c r="F782" s="3101">
        <v>49.99</v>
      </c>
      <c r="G782" s="3102" t="s">
        <v>3188</v>
      </c>
    </row>
    <row r="783" spans="1:7" ht="15" thickBot="1">
      <c r="A783" s="3099">
        <v>1450</v>
      </c>
      <c r="B783" s="3203" t="s">
        <v>3334</v>
      </c>
      <c r="C783" s="3204"/>
      <c r="D783" s="3100" t="s">
        <v>3970</v>
      </c>
      <c r="E783" s="3100" t="s">
        <v>463</v>
      </c>
      <c r="F783" s="3101">
        <v>64.099999999999994</v>
      </c>
      <c r="G783" s="3102" t="s">
        <v>3188</v>
      </c>
    </row>
    <row r="784" spans="1:7" ht="15" thickBot="1">
      <c r="A784" s="3099">
        <v>1451</v>
      </c>
      <c r="B784" s="3203" t="s">
        <v>3334</v>
      </c>
      <c r="C784" s="3204"/>
      <c r="D784" s="3100" t="s">
        <v>3971</v>
      </c>
      <c r="E784" s="3100" t="s">
        <v>463</v>
      </c>
      <c r="F784" s="3101">
        <v>64.2</v>
      </c>
      <c r="G784" s="3102" t="s">
        <v>3188</v>
      </c>
    </row>
    <row r="785" spans="1:7" ht="15" thickBot="1">
      <c r="A785" s="3099">
        <v>1452</v>
      </c>
      <c r="B785" s="3203" t="s">
        <v>3334</v>
      </c>
      <c r="C785" s="3204"/>
      <c r="D785" s="3100" t="s">
        <v>3972</v>
      </c>
      <c r="E785" s="3100" t="s">
        <v>463</v>
      </c>
      <c r="F785" s="3101">
        <v>88.92</v>
      </c>
      <c r="G785" s="3102" t="s">
        <v>3188</v>
      </c>
    </row>
    <row r="786" spans="1:7" ht="15" thickBot="1">
      <c r="A786" s="3099">
        <v>1453</v>
      </c>
      <c r="B786" s="3203" t="s">
        <v>3334</v>
      </c>
      <c r="C786" s="3204"/>
      <c r="D786" s="3100" t="s">
        <v>3973</v>
      </c>
      <c r="E786" s="3100" t="s">
        <v>463</v>
      </c>
      <c r="F786" s="3101">
        <v>49.7</v>
      </c>
      <c r="G786" s="3102" t="s">
        <v>3188</v>
      </c>
    </row>
    <row r="787" spans="1:7" ht="15" thickBot="1">
      <c r="A787" s="3099">
        <v>1454</v>
      </c>
      <c r="B787" s="3203" t="s">
        <v>3334</v>
      </c>
      <c r="C787" s="3204"/>
      <c r="D787" s="3100" t="s">
        <v>3974</v>
      </c>
      <c r="E787" s="3100" t="s">
        <v>463</v>
      </c>
      <c r="F787" s="3101">
        <v>49.94</v>
      </c>
      <c r="G787" s="3102" t="s">
        <v>3188</v>
      </c>
    </row>
    <row r="788" spans="1:7" ht="15" thickBot="1">
      <c r="A788" s="3099">
        <v>1455</v>
      </c>
      <c r="B788" s="3203" t="s">
        <v>3334</v>
      </c>
      <c r="C788" s="3204"/>
      <c r="D788" s="3100" t="s">
        <v>3975</v>
      </c>
      <c r="E788" s="3100" t="s">
        <v>463</v>
      </c>
      <c r="F788" s="3101">
        <v>49.99</v>
      </c>
      <c r="G788" s="3102" t="s">
        <v>3188</v>
      </c>
    </row>
    <row r="789" spans="1:7" ht="15" thickBot="1">
      <c r="A789" s="3099">
        <v>1456</v>
      </c>
      <c r="B789" s="3203" t="s">
        <v>3334</v>
      </c>
      <c r="C789" s="3204"/>
      <c r="D789" s="3100" t="s">
        <v>3976</v>
      </c>
      <c r="E789" s="3100" t="s">
        <v>463</v>
      </c>
      <c r="F789" s="3101">
        <v>64.099999999999994</v>
      </c>
      <c r="G789" s="3102" t="s">
        <v>3188</v>
      </c>
    </row>
    <row r="790" spans="1:7" ht="15" thickBot="1">
      <c r="A790" s="3099">
        <v>1457</v>
      </c>
      <c r="B790" s="3203" t="s">
        <v>3334</v>
      </c>
      <c r="C790" s="3204"/>
      <c r="D790" s="3100" t="s">
        <v>3977</v>
      </c>
      <c r="E790" s="3100" t="s">
        <v>463</v>
      </c>
      <c r="F790" s="3101">
        <v>64.2</v>
      </c>
      <c r="G790" s="3102" t="s">
        <v>3188</v>
      </c>
    </row>
    <row r="791" spans="1:7" ht="15" thickBot="1">
      <c r="A791" s="3099">
        <v>1458</v>
      </c>
      <c r="B791" s="3203" t="s">
        <v>3334</v>
      </c>
      <c r="C791" s="3204"/>
      <c r="D791" s="3100" t="s">
        <v>3978</v>
      </c>
      <c r="E791" s="3100" t="s">
        <v>463</v>
      </c>
      <c r="F791" s="3101">
        <v>88.92</v>
      </c>
      <c r="G791" s="3102" t="s">
        <v>3188</v>
      </c>
    </row>
    <row r="792" spans="1:7" ht="15" thickBot="1">
      <c r="A792" s="3099">
        <v>1459</v>
      </c>
      <c r="B792" s="3203" t="s">
        <v>3334</v>
      </c>
      <c r="C792" s="3204"/>
      <c r="D792" s="3100" t="s">
        <v>3979</v>
      </c>
      <c r="E792" s="3100" t="s">
        <v>463</v>
      </c>
      <c r="F792" s="3101">
        <v>49.15</v>
      </c>
      <c r="G792" s="3102" t="s">
        <v>3188</v>
      </c>
    </row>
    <row r="793" spans="1:7" ht="15" thickBot="1">
      <c r="A793" s="3099">
        <v>1460</v>
      </c>
      <c r="B793" s="3203" t="s">
        <v>3334</v>
      </c>
      <c r="C793" s="3204"/>
      <c r="D793" s="3100" t="s">
        <v>3980</v>
      </c>
      <c r="E793" s="3100" t="s">
        <v>463</v>
      </c>
      <c r="F793" s="3101">
        <v>49.94</v>
      </c>
      <c r="G793" s="3102" t="s">
        <v>3188</v>
      </c>
    </row>
    <row r="794" spans="1:7" ht="15" thickBot="1">
      <c r="A794" s="3099">
        <v>1461</v>
      </c>
      <c r="B794" s="3203" t="s">
        <v>3334</v>
      </c>
      <c r="C794" s="3204"/>
      <c r="D794" s="3100" t="s">
        <v>3981</v>
      </c>
      <c r="E794" s="3100" t="s">
        <v>463</v>
      </c>
      <c r="F794" s="3101">
        <v>49.99</v>
      </c>
      <c r="G794" s="3102" t="s">
        <v>3188</v>
      </c>
    </row>
    <row r="795" spans="1:7" ht="15" thickBot="1">
      <c r="A795" s="3099">
        <v>1462</v>
      </c>
      <c r="B795" s="3203" t="s">
        <v>3334</v>
      </c>
      <c r="C795" s="3204"/>
      <c r="D795" s="3100" t="s">
        <v>3982</v>
      </c>
      <c r="E795" s="3100" t="s">
        <v>463</v>
      </c>
      <c r="F795" s="3101">
        <v>64.099999999999994</v>
      </c>
      <c r="G795" s="3102" t="s">
        <v>3188</v>
      </c>
    </row>
    <row r="796" spans="1:7" ht="15" thickBot="1">
      <c r="A796" s="3099">
        <v>1463</v>
      </c>
      <c r="B796" s="3203" t="s">
        <v>3334</v>
      </c>
      <c r="C796" s="3204"/>
      <c r="D796" s="3100" t="s">
        <v>3983</v>
      </c>
      <c r="E796" s="3100" t="s">
        <v>463</v>
      </c>
      <c r="F796" s="3101">
        <v>64.2</v>
      </c>
      <c r="G796" s="3102" t="s">
        <v>3188</v>
      </c>
    </row>
    <row r="797" spans="1:7" ht="15" thickBot="1">
      <c r="A797" s="3099">
        <v>1464</v>
      </c>
      <c r="B797" s="3203" t="s">
        <v>3334</v>
      </c>
      <c r="C797" s="3204"/>
      <c r="D797" s="3100" t="s">
        <v>3984</v>
      </c>
      <c r="E797" s="3100" t="s">
        <v>463</v>
      </c>
      <c r="F797" s="3101">
        <v>88.84</v>
      </c>
      <c r="G797" s="3102" t="s">
        <v>3188</v>
      </c>
    </row>
    <row r="798" spans="1:7" ht="15" thickBot="1">
      <c r="A798" s="3099">
        <v>1465</v>
      </c>
      <c r="B798" s="3203" t="s">
        <v>3334</v>
      </c>
      <c r="C798" s="3204"/>
      <c r="D798" s="3100" t="s">
        <v>3985</v>
      </c>
      <c r="E798" s="3100" t="s">
        <v>463</v>
      </c>
      <c r="F798" s="3101">
        <v>49.24</v>
      </c>
      <c r="G798" s="3102" t="s">
        <v>3188</v>
      </c>
    </row>
    <row r="799" spans="1:7" ht="15" thickBot="1">
      <c r="A799" s="3099">
        <v>1466</v>
      </c>
      <c r="B799" s="3203" t="s">
        <v>3334</v>
      </c>
      <c r="C799" s="3204"/>
      <c r="D799" s="3100" t="s">
        <v>3986</v>
      </c>
      <c r="E799" s="3100" t="s">
        <v>463</v>
      </c>
      <c r="F799" s="3101">
        <v>49.94</v>
      </c>
      <c r="G799" s="3102" t="s">
        <v>3188</v>
      </c>
    </row>
    <row r="800" spans="1:7" ht="15" thickBot="1">
      <c r="A800" s="3099">
        <v>1467</v>
      </c>
      <c r="B800" s="3203" t="s">
        <v>3334</v>
      </c>
      <c r="C800" s="3204"/>
      <c r="D800" s="3100" t="s">
        <v>3987</v>
      </c>
      <c r="E800" s="3100" t="s">
        <v>463</v>
      </c>
      <c r="F800" s="3101">
        <v>49.99</v>
      </c>
      <c r="G800" s="3102" t="s">
        <v>3188</v>
      </c>
    </row>
    <row r="801" spans="1:7" ht="15" thickBot="1">
      <c r="A801" s="3099">
        <v>1468</v>
      </c>
      <c r="B801" s="3203" t="s">
        <v>3334</v>
      </c>
      <c r="C801" s="3204"/>
      <c r="D801" s="3100" t="s">
        <v>3988</v>
      </c>
      <c r="E801" s="3100" t="s">
        <v>463</v>
      </c>
      <c r="F801" s="3101">
        <v>64.099999999999994</v>
      </c>
      <c r="G801" s="3102" t="s">
        <v>3188</v>
      </c>
    </row>
    <row r="802" spans="1:7" ht="15" thickBot="1">
      <c r="A802" s="3099">
        <v>1469</v>
      </c>
      <c r="B802" s="3203" t="s">
        <v>3334</v>
      </c>
      <c r="C802" s="3204"/>
      <c r="D802" s="3100" t="s">
        <v>3989</v>
      </c>
      <c r="E802" s="3100" t="s">
        <v>463</v>
      </c>
      <c r="F802" s="3101">
        <v>64.2</v>
      </c>
      <c r="G802" s="3102" t="s">
        <v>3188</v>
      </c>
    </row>
    <row r="803" spans="1:7" ht="15" thickBot="1">
      <c r="A803" s="3099">
        <v>1470</v>
      </c>
      <c r="B803" s="3203" t="s">
        <v>3334</v>
      </c>
      <c r="C803" s="3204"/>
      <c r="D803" s="3100" t="s">
        <v>3990</v>
      </c>
      <c r="E803" s="3100" t="s">
        <v>463</v>
      </c>
      <c r="F803" s="3101">
        <v>88.92</v>
      </c>
      <c r="G803" s="3102" t="s">
        <v>3188</v>
      </c>
    </row>
    <row r="804" spans="1:7" ht="15" thickBot="1">
      <c r="A804" s="3099">
        <v>1471</v>
      </c>
      <c r="B804" s="3203" t="s">
        <v>3334</v>
      </c>
      <c r="C804" s="3204"/>
      <c r="D804" s="3100" t="s">
        <v>3991</v>
      </c>
      <c r="E804" s="3100" t="s">
        <v>463</v>
      </c>
      <c r="F804" s="3101">
        <v>49.24</v>
      </c>
      <c r="G804" s="3102" t="s">
        <v>3188</v>
      </c>
    </row>
    <row r="805" spans="1:7" ht="15" thickBot="1">
      <c r="A805" s="3099">
        <v>1472</v>
      </c>
      <c r="B805" s="3203" t="s">
        <v>3334</v>
      </c>
      <c r="C805" s="3204"/>
      <c r="D805" s="3100" t="s">
        <v>3992</v>
      </c>
      <c r="E805" s="3100" t="s">
        <v>463</v>
      </c>
      <c r="F805" s="3101">
        <v>49.94</v>
      </c>
      <c r="G805" s="3102" t="s">
        <v>3188</v>
      </c>
    </row>
    <row r="806" spans="1:7" ht="15" thickBot="1">
      <c r="A806" s="3099">
        <v>1473</v>
      </c>
      <c r="B806" s="3203" t="s">
        <v>3334</v>
      </c>
      <c r="C806" s="3204"/>
      <c r="D806" s="3100" t="s">
        <v>3993</v>
      </c>
      <c r="E806" s="3100" t="s">
        <v>463</v>
      </c>
      <c r="F806" s="3101">
        <v>49.99</v>
      </c>
      <c r="G806" s="3102" t="s">
        <v>3188</v>
      </c>
    </row>
    <row r="807" spans="1:7" ht="15" thickBot="1">
      <c r="A807" s="3099">
        <v>1474</v>
      </c>
      <c r="B807" s="3203" t="s">
        <v>3334</v>
      </c>
      <c r="C807" s="3204"/>
      <c r="D807" s="3100" t="s">
        <v>3994</v>
      </c>
      <c r="E807" s="3100" t="s">
        <v>463</v>
      </c>
      <c r="F807" s="3101">
        <v>64.099999999999994</v>
      </c>
      <c r="G807" s="3102" t="s">
        <v>3188</v>
      </c>
    </row>
    <row r="808" spans="1:7" ht="15" thickBot="1">
      <c r="A808" s="3099">
        <v>1475</v>
      </c>
      <c r="B808" s="3203" t="s">
        <v>3334</v>
      </c>
      <c r="C808" s="3204"/>
      <c r="D808" s="3100" t="s">
        <v>3995</v>
      </c>
      <c r="E808" s="3100" t="s">
        <v>463</v>
      </c>
      <c r="F808" s="3101">
        <v>64.2</v>
      </c>
      <c r="G808" s="3102" t="s">
        <v>3188</v>
      </c>
    </row>
    <row r="809" spans="1:7" ht="15" thickBot="1">
      <c r="A809" s="3099">
        <v>1476</v>
      </c>
      <c r="B809" s="3203" t="s">
        <v>3334</v>
      </c>
      <c r="C809" s="3204"/>
      <c r="D809" s="3100" t="s">
        <v>3996</v>
      </c>
      <c r="E809" s="3100" t="s">
        <v>463</v>
      </c>
      <c r="F809" s="3101">
        <v>88.92</v>
      </c>
      <c r="G809" s="3102" t="s">
        <v>3188</v>
      </c>
    </row>
    <row r="810" spans="1:7" ht="15" thickBot="1">
      <c r="A810" s="3099">
        <v>1477</v>
      </c>
      <c r="B810" s="3203" t="s">
        <v>3334</v>
      </c>
      <c r="C810" s="3204"/>
      <c r="D810" s="3100" t="s">
        <v>3997</v>
      </c>
      <c r="E810" s="3100" t="s">
        <v>463</v>
      </c>
      <c r="F810" s="3101">
        <v>49.24</v>
      </c>
      <c r="G810" s="3102" t="s">
        <v>3188</v>
      </c>
    </row>
    <row r="811" spans="1:7" ht="15" thickBot="1">
      <c r="A811" s="3099">
        <v>1478</v>
      </c>
      <c r="B811" s="3203" t="s">
        <v>3334</v>
      </c>
      <c r="C811" s="3204"/>
      <c r="D811" s="3100" t="s">
        <v>3998</v>
      </c>
      <c r="E811" s="3100" t="s">
        <v>463</v>
      </c>
      <c r="F811" s="3101">
        <v>49.94</v>
      </c>
      <c r="G811" s="3102" t="s">
        <v>3188</v>
      </c>
    </row>
    <row r="812" spans="1:7" ht="15" thickBot="1">
      <c r="A812" s="3099">
        <v>1479</v>
      </c>
      <c r="B812" s="3203" t="s">
        <v>3334</v>
      </c>
      <c r="C812" s="3204"/>
      <c r="D812" s="3100" t="s">
        <v>3999</v>
      </c>
      <c r="E812" s="3100" t="s">
        <v>463</v>
      </c>
      <c r="F812" s="3101">
        <v>49.99</v>
      </c>
      <c r="G812" s="3102" t="s">
        <v>3188</v>
      </c>
    </row>
    <row r="813" spans="1:7" ht="15" thickBot="1">
      <c r="A813" s="3099">
        <v>1480</v>
      </c>
      <c r="B813" s="3203" t="s">
        <v>3334</v>
      </c>
      <c r="C813" s="3204"/>
      <c r="D813" s="3100" t="s">
        <v>4000</v>
      </c>
      <c r="E813" s="3100" t="s">
        <v>463</v>
      </c>
      <c r="F813" s="3101">
        <v>64.099999999999994</v>
      </c>
      <c r="G813" s="3102" t="s">
        <v>3188</v>
      </c>
    </row>
    <row r="814" spans="1:7" ht="15" thickBot="1">
      <c r="A814" s="3099">
        <v>1481</v>
      </c>
      <c r="B814" s="3203" t="s">
        <v>3334</v>
      </c>
      <c r="C814" s="3204"/>
      <c r="D814" s="3100" t="s">
        <v>4001</v>
      </c>
      <c r="E814" s="3100" t="s">
        <v>463</v>
      </c>
      <c r="F814" s="3101">
        <v>64.2</v>
      </c>
      <c r="G814" s="3102" t="s">
        <v>3188</v>
      </c>
    </row>
    <row r="815" spans="1:7" ht="15" thickBot="1">
      <c r="A815" s="3099">
        <v>1482</v>
      </c>
      <c r="B815" s="3203" t="s">
        <v>3334</v>
      </c>
      <c r="C815" s="3204"/>
      <c r="D815" s="3100" t="s">
        <v>4002</v>
      </c>
      <c r="E815" s="3100" t="s">
        <v>463</v>
      </c>
      <c r="F815" s="3101">
        <v>88.92</v>
      </c>
      <c r="G815" s="3102" t="s">
        <v>3188</v>
      </c>
    </row>
    <row r="816" spans="1:7" ht="15" thickBot="1">
      <c r="A816" s="3099">
        <v>1483</v>
      </c>
      <c r="B816" s="3203" t="s">
        <v>3334</v>
      </c>
      <c r="C816" s="3204"/>
      <c r="D816" s="3100" t="s">
        <v>4003</v>
      </c>
      <c r="E816" s="3100" t="s">
        <v>463</v>
      </c>
      <c r="F816" s="3101">
        <v>49.24</v>
      </c>
      <c r="G816" s="3102" t="s">
        <v>3188</v>
      </c>
    </row>
    <row r="817" spans="1:7" ht="15" thickBot="1">
      <c r="A817" s="3099">
        <v>1484</v>
      </c>
      <c r="B817" s="3203" t="s">
        <v>3334</v>
      </c>
      <c r="C817" s="3204"/>
      <c r="D817" s="3100" t="s">
        <v>4004</v>
      </c>
      <c r="E817" s="3100" t="s">
        <v>463</v>
      </c>
      <c r="F817" s="3101">
        <v>49.94</v>
      </c>
      <c r="G817" s="3102" t="s">
        <v>3188</v>
      </c>
    </row>
    <row r="818" spans="1:7" ht="15" thickBot="1">
      <c r="A818" s="3099">
        <v>1485</v>
      </c>
      <c r="B818" s="3203" t="s">
        <v>3334</v>
      </c>
      <c r="C818" s="3204"/>
      <c r="D818" s="3100" t="s">
        <v>4005</v>
      </c>
      <c r="E818" s="3100" t="s">
        <v>463</v>
      </c>
      <c r="F818" s="3101">
        <v>49.99</v>
      </c>
      <c r="G818" s="3102" t="s">
        <v>3188</v>
      </c>
    </row>
    <row r="819" spans="1:7" ht="15" thickBot="1">
      <c r="A819" s="3099">
        <v>1486</v>
      </c>
      <c r="B819" s="3203" t="s">
        <v>3334</v>
      </c>
      <c r="C819" s="3204"/>
      <c r="D819" s="3100" t="s">
        <v>4006</v>
      </c>
      <c r="E819" s="3100" t="s">
        <v>463</v>
      </c>
      <c r="F819" s="3101">
        <v>64.099999999999994</v>
      </c>
      <c r="G819" s="3102" t="s">
        <v>3188</v>
      </c>
    </row>
    <row r="820" spans="1:7" ht="15" thickBot="1">
      <c r="A820" s="3099">
        <v>1487</v>
      </c>
      <c r="B820" s="3203" t="s">
        <v>3334</v>
      </c>
      <c r="C820" s="3204"/>
      <c r="D820" s="3100" t="s">
        <v>4007</v>
      </c>
      <c r="E820" s="3100" t="s">
        <v>463</v>
      </c>
      <c r="F820" s="3101">
        <v>64.2</v>
      </c>
      <c r="G820" s="3102" t="s">
        <v>3188</v>
      </c>
    </row>
    <row r="821" spans="1:7" ht="15" thickBot="1">
      <c r="A821" s="3099">
        <v>1488</v>
      </c>
      <c r="B821" s="3203" t="s">
        <v>3334</v>
      </c>
      <c r="C821" s="3204"/>
      <c r="D821" s="3100" t="s">
        <v>4008</v>
      </c>
      <c r="E821" s="3100" t="s">
        <v>463</v>
      </c>
      <c r="F821" s="3101">
        <v>88.92</v>
      </c>
      <c r="G821" s="3102" t="s">
        <v>3188</v>
      </c>
    </row>
    <row r="822" spans="1:7" ht="15" thickBot="1">
      <c r="A822" s="3099">
        <v>1489</v>
      </c>
      <c r="B822" s="3203" t="s">
        <v>3334</v>
      </c>
      <c r="C822" s="3204"/>
      <c r="D822" s="3100" t="s">
        <v>4009</v>
      </c>
      <c r="E822" s="3100" t="s">
        <v>463</v>
      </c>
      <c r="F822" s="3101">
        <v>49.24</v>
      </c>
      <c r="G822" s="3102" t="s">
        <v>3188</v>
      </c>
    </row>
    <row r="823" spans="1:7" ht="15" thickBot="1">
      <c r="A823" s="3099">
        <v>1490</v>
      </c>
      <c r="B823" s="3203" t="s">
        <v>3334</v>
      </c>
      <c r="C823" s="3204"/>
      <c r="D823" s="3100" t="s">
        <v>4010</v>
      </c>
      <c r="E823" s="3100" t="s">
        <v>463</v>
      </c>
      <c r="F823" s="3101">
        <v>49.94</v>
      </c>
      <c r="G823" s="3102" t="s">
        <v>3188</v>
      </c>
    </row>
    <row r="824" spans="1:7" ht="15" thickBot="1">
      <c r="A824" s="3099">
        <v>1491</v>
      </c>
      <c r="B824" s="3203" t="s">
        <v>3334</v>
      </c>
      <c r="C824" s="3204"/>
      <c r="D824" s="3100" t="s">
        <v>4011</v>
      </c>
      <c r="E824" s="3100" t="s">
        <v>463</v>
      </c>
      <c r="F824" s="3101">
        <v>49.99</v>
      </c>
      <c r="G824" s="3102" t="s">
        <v>3188</v>
      </c>
    </row>
    <row r="825" spans="1:7" ht="15" thickBot="1">
      <c r="A825" s="3099">
        <v>1492</v>
      </c>
      <c r="B825" s="3203" t="s">
        <v>3334</v>
      </c>
      <c r="C825" s="3204"/>
      <c r="D825" s="3100" t="s">
        <v>4012</v>
      </c>
      <c r="E825" s="3100" t="s">
        <v>463</v>
      </c>
      <c r="F825" s="3101">
        <v>64.099999999999994</v>
      </c>
      <c r="G825" s="3102" t="s">
        <v>3188</v>
      </c>
    </row>
    <row r="826" spans="1:7" ht="15" thickBot="1">
      <c r="A826" s="3099">
        <v>1493</v>
      </c>
      <c r="B826" s="3203" t="s">
        <v>3334</v>
      </c>
      <c r="C826" s="3204"/>
      <c r="D826" s="3100" t="s">
        <v>4013</v>
      </c>
      <c r="E826" s="3100" t="s">
        <v>463</v>
      </c>
      <c r="F826" s="3101">
        <v>64.2</v>
      </c>
      <c r="G826" s="3102" t="s">
        <v>3188</v>
      </c>
    </row>
    <row r="827" spans="1:7" ht="15" thickBot="1">
      <c r="A827" s="3099">
        <v>1494</v>
      </c>
      <c r="B827" s="3203" t="s">
        <v>3334</v>
      </c>
      <c r="C827" s="3204"/>
      <c r="D827" s="3100" t="s">
        <v>4014</v>
      </c>
      <c r="E827" s="3100" t="s">
        <v>463</v>
      </c>
      <c r="F827" s="3101">
        <v>88.92</v>
      </c>
      <c r="G827" s="3102" t="s">
        <v>3188</v>
      </c>
    </row>
    <row r="828" spans="1:7" ht="15" thickBot="1">
      <c r="A828" s="3099">
        <v>1495</v>
      </c>
      <c r="B828" s="3203" t="s">
        <v>3334</v>
      </c>
      <c r="C828" s="3204"/>
      <c r="D828" s="3100" t="s">
        <v>4015</v>
      </c>
      <c r="E828" s="3100" t="s">
        <v>463</v>
      </c>
      <c r="F828" s="3101">
        <v>49.24</v>
      </c>
      <c r="G828" s="3102" t="s">
        <v>3188</v>
      </c>
    </row>
    <row r="829" spans="1:7" ht="15" thickBot="1">
      <c r="A829" s="3099">
        <v>1496</v>
      </c>
      <c r="B829" s="3203" t="s">
        <v>3334</v>
      </c>
      <c r="C829" s="3204"/>
      <c r="D829" s="3100" t="s">
        <v>4016</v>
      </c>
      <c r="E829" s="3100" t="s">
        <v>463</v>
      </c>
      <c r="F829" s="3101">
        <v>49.94</v>
      </c>
      <c r="G829" s="3102" t="s">
        <v>3188</v>
      </c>
    </row>
    <row r="830" spans="1:7" ht="15" thickBot="1">
      <c r="A830" s="3099">
        <v>1497</v>
      </c>
      <c r="B830" s="3203" t="s">
        <v>3334</v>
      </c>
      <c r="C830" s="3204"/>
      <c r="D830" s="3100" t="s">
        <v>4017</v>
      </c>
      <c r="E830" s="3100" t="s">
        <v>463</v>
      </c>
      <c r="F830" s="3101">
        <v>49.99</v>
      </c>
      <c r="G830" s="3102" t="s">
        <v>3188</v>
      </c>
    </row>
    <row r="831" spans="1:7" ht="15" thickBot="1">
      <c r="A831" s="3099">
        <v>1498</v>
      </c>
      <c r="B831" s="3203" t="s">
        <v>3334</v>
      </c>
      <c r="C831" s="3204"/>
      <c r="D831" s="3100" t="s">
        <v>4018</v>
      </c>
      <c r="E831" s="3100" t="s">
        <v>463</v>
      </c>
      <c r="F831" s="3101">
        <v>64.099999999999994</v>
      </c>
      <c r="G831" s="3102" t="s">
        <v>3188</v>
      </c>
    </row>
    <row r="832" spans="1:7" ht="15" thickBot="1">
      <c r="A832" s="3099">
        <v>1499</v>
      </c>
      <c r="B832" s="3203" t="s">
        <v>3334</v>
      </c>
      <c r="C832" s="3204"/>
      <c r="D832" s="3100" t="s">
        <v>4019</v>
      </c>
      <c r="E832" s="3100" t="s">
        <v>463</v>
      </c>
      <c r="F832" s="3101">
        <v>64.2</v>
      </c>
      <c r="G832" s="3102" t="s">
        <v>3188</v>
      </c>
    </row>
    <row r="833" spans="1:7" ht="15" thickBot="1">
      <c r="A833" s="3099">
        <v>1500</v>
      </c>
      <c r="B833" s="3203" t="s">
        <v>3334</v>
      </c>
      <c r="C833" s="3204"/>
      <c r="D833" s="3100" t="s">
        <v>4020</v>
      </c>
      <c r="E833" s="3100" t="s">
        <v>463</v>
      </c>
      <c r="F833" s="3101">
        <v>88.92</v>
      </c>
      <c r="G833" s="3102" t="s">
        <v>3188</v>
      </c>
    </row>
    <row r="834" spans="1:7" ht="15" thickBot="1">
      <c r="A834" s="3099">
        <v>1501</v>
      </c>
      <c r="B834" s="3203" t="s">
        <v>3334</v>
      </c>
      <c r="C834" s="3204"/>
      <c r="D834" s="3100" t="s">
        <v>4021</v>
      </c>
      <c r="E834" s="3100" t="s">
        <v>463</v>
      </c>
      <c r="F834" s="3101">
        <v>49.24</v>
      </c>
      <c r="G834" s="3102" t="s">
        <v>3188</v>
      </c>
    </row>
    <row r="835" spans="1:7" ht="15" thickBot="1">
      <c r="A835" s="3099">
        <v>1502</v>
      </c>
      <c r="B835" s="3203" t="s">
        <v>3334</v>
      </c>
      <c r="C835" s="3204"/>
      <c r="D835" s="3100" t="s">
        <v>4022</v>
      </c>
      <c r="E835" s="3100" t="s">
        <v>463</v>
      </c>
      <c r="F835" s="3101">
        <v>49.94</v>
      </c>
      <c r="G835" s="3102" t="s">
        <v>3188</v>
      </c>
    </row>
    <row r="836" spans="1:7" ht="15" thickBot="1">
      <c r="A836" s="3099">
        <v>1503</v>
      </c>
      <c r="B836" s="3203" t="s">
        <v>3334</v>
      </c>
      <c r="C836" s="3204"/>
      <c r="D836" s="3100" t="s">
        <v>4023</v>
      </c>
      <c r="E836" s="3100" t="s">
        <v>463</v>
      </c>
      <c r="F836" s="3101">
        <v>49.99</v>
      </c>
      <c r="G836" s="3102" t="s">
        <v>3188</v>
      </c>
    </row>
    <row r="837" spans="1:7" ht="15" thickBot="1">
      <c r="A837" s="3099">
        <v>1504</v>
      </c>
      <c r="B837" s="3203" t="s">
        <v>3334</v>
      </c>
      <c r="C837" s="3204"/>
      <c r="D837" s="3100" t="s">
        <v>4024</v>
      </c>
      <c r="E837" s="3100" t="s">
        <v>463</v>
      </c>
      <c r="F837" s="3101">
        <v>64.099999999999994</v>
      </c>
      <c r="G837" s="3102" t="s">
        <v>3188</v>
      </c>
    </row>
    <row r="838" spans="1:7" ht="15" thickBot="1">
      <c r="A838" s="3099">
        <v>1505</v>
      </c>
      <c r="B838" s="3203" t="s">
        <v>3334</v>
      </c>
      <c r="C838" s="3204"/>
      <c r="D838" s="3100" t="s">
        <v>4025</v>
      </c>
      <c r="E838" s="3100" t="s">
        <v>463</v>
      </c>
      <c r="F838" s="3101">
        <v>64.2</v>
      </c>
      <c r="G838" s="3102" t="s">
        <v>3188</v>
      </c>
    </row>
    <row r="839" spans="1:7" ht="15" thickBot="1">
      <c r="A839" s="3099">
        <v>1506</v>
      </c>
      <c r="B839" s="3203" t="s">
        <v>3334</v>
      </c>
      <c r="C839" s="3204"/>
      <c r="D839" s="3100" t="s">
        <v>4026</v>
      </c>
      <c r="E839" s="3100" t="s">
        <v>463</v>
      </c>
      <c r="F839" s="3101">
        <v>88.92</v>
      </c>
      <c r="G839" s="3102" t="s">
        <v>3188</v>
      </c>
    </row>
    <row r="840" spans="1:7" ht="15" thickBot="1">
      <c r="A840" s="3099">
        <v>1507</v>
      </c>
      <c r="B840" s="3203" t="s">
        <v>3334</v>
      </c>
      <c r="C840" s="3204"/>
      <c r="D840" s="3100" t="s">
        <v>4027</v>
      </c>
      <c r="E840" s="3100" t="s">
        <v>463</v>
      </c>
      <c r="F840" s="3101">
        <v>52.12</v>
      </c>
      <c r="G840" s="3102" t="s">
        <v>3188</v>
      </c>
    </row>
    <row r="841" spans="1:7" ht="15" thickBot="1">
      <c r="A841" s="3099">
        <v>1508</v>
      </c>
      <c r="B841" s="3203" t="s">
        <v>3334</v>
      </c>
      <c r="C841" s="3204"/>
      <c r="D841" s="3100" t="s">
        <v>4028</v>
      </c>
      <c r="E841" s="3100" t="s">
        <v>463</v>
      </c>
      <c r="F841" s="3101">
        <v>52.23</v>
      </c>
      <c r="G841" s="3102" t="s">
        <v>3188</v>
      </c>
    </row>
    <row r="842" spans="1:7" ht="15" thickBot="1">
      <c r="A842" s="3099">
        <v>1509</v>
      </c>
      <c r="B842" s="3203" t="s">
        <v>3334</v>
      </c>
      <c r="C842" s="3204"/>
      <c r="D842" s="3100" t="s">
        <v>4029</v>
      </c>
      <c r="E842" s="3100" t="s">
        <v>463</v>
      </c>
      <c r="F842" s="3101">
        <v>52.23</v>
      </c>
      <c r="G842" s="3102" t="s">
        <v>3188</v>
      </c>
    </row>
    <row r="843" spans="1:7" ht="15" thickBot="1">
      <c r="A843" s="3099">
        <v>1510</v>
      </c>
      <c r="B843" s="3203" t="s">
        <v>3334</v>
      </c>
      <c r="C843" s="3204"/>
      <c r="D843" s="3100" t="s">
        <v>4030</v>
      </c>
      <c r="E843" s="3100" t="s">
        <v>463</v>
      </c>
      <c r="F843" s="3101">
        <v>51.55</v>
      </c>
      <c r="G843" s="3102" t="s">
        <v>3188</v>
      </c>
    </row>
    <row r="844" spans="1:7" ht="15" thickBot="1">
      <c r="A844" s="3099">
        <v>1511</v>
      </c>
      <c r="B844" s="3203" t="s">
        <v>3334</v>
      </c>
      <c r="C844" s="3204"/>
      <c r="D844" s="3100" t="s">
        <v>4031</v>
      </c>
      <c r="E844" s="3100" t="s">
        <v>463</v>
      </c>
      <c r="F844" s="3101">
        <v>52.12</v>
      </c>
      <c r="G844" s="3102" t="s">
        <v>3188</v>
      </c>
    </row>
    <row r="845" spans="1:7" ht="15" thickBot="1">
      <c r="A845" s="3099">
        <v>1512</v>
      </c>
      <c r="B845" s="3203" t="s">
        <v>3334</v>
      </c>
      <c r="C845" s="3204"/>
      <c r="D845" s="3100" t="s">
        <v>4032</v>
      </c>
      <c r="E845" s="3100" t="s">
        <v>463</v>
      </c>
      <c r="F845" s="3101">
        <v>52.12</v>
      </c>
      <c r="G845" s="3102" t="s">
        <v>3188</v>
      </c>
    </row>
    <row r="846" spans="1:7" ht="15" thickBot="1">
      <c r="A846" s="3099">
        <v>1513</v>
      </c>
      <c r="B846" s="3203" t="s">
        <v>3334</v>
      </c>
      <c r="C846" s="3204"/>
      <c r="D846" s="3100" t="s">
        <v>4033</v>
      </c>
      <c r="E846" s="3100" t="s">
        <v>463</v>
      </c>
      <c r="F846" s="3101">
        <v>80.45</v>
      </c>
      <c r="G846" s="3102" t="s">
        <v>3188</v>
      </c>
    </row>
    <row r="847" spans="1:7" ht="15" thickBot="1">
      <c r="A847" s="3099">
        <v>1514</v>
      </c>
      <c r="B847" s="3203" t="s">
        <v>3334</v>
      </c>
      <c r="C847" s="3204"/>
      <c r="D847" s="3100" t="s">
        <v>4034</v>
      </c>
      <c r="E847" s="3100" t="s">
        <v>463</v>
      </c>
      <c r="F847" s="3101">
        <v>52.12</v>
      </c>
      <c r="G847" s="3102" t="s">
        <v>3188</v>
      </c>
    </row>
    <row r="848" spans="1:7" ht="15" thickBot="1">
      <c r="A848" s="3099">
        <v>1515</v>
      </c>
      <c r="B848" s="3203" t="s">
        <v>3334</v>
      </c>
      <c r="C848" s="3204"/>
      <c r="D848" s="3100" t="s">
        <v>4035</v>
      </c>
      <c r="E848" s="3100" t="s">
        <v>463</v>
      </c>
      <c r="F848" s="3101">
        <v>52.23</v>
      </c>
      <c r="G848" s="3102" t="s">
        <v>3188</v>
      </c>
    </row>
    <row r="849" spans="1:7" ht="15" thickBot="1">
      <c r="A849" s="3099">
        <v>1516</v>
      </c>
      <c r="B849" s="3203" t="s">
        <v>3334</v>
      </c>
      <c r="C849" s="3204"/>
      <c r="D849" s="3100" t="s">
        <v>4036</v>
      </c>
      <c r="E849" s="3100" t="s">
        <v>463</v>
      </c>
      <c r="F849" s="3101">
        <v>52.23</v>
      </c>
      <c r="G849" s="3102" t="s">
        <v>3188</v>
      </c>
    </row>
    <row r="850" spans="1:7" ht="15" thickBot="1">
      <c r="A850" s="3099">
        <v>1517</v>
      </c>
      <c r="B850" s="3203" t="s">
        <v>3334</v>
      </c>
      <c r="C850" s="3204"/>
      <c r="D850" s="3100" t="s">
        <v>4037</v>
      </c>
      <c r="E850" s="3100" t="s">
        <v>463</v>
      </c>
      <c r="F850" s="3101">
        <v>51.55</v>
      </c>
      <c r="G850" s="3102" t="s">
        <v>3188</v>
      </c>
    </row>
    <row r="851" spans="1:7" ht="15" thickBot="1">
      <c r="A851" s="3099">
        <v>1518</v>
      </c>
      <c r="B851" s="3203" t="s">
        <v>3334</v>
      </c>
      <c r="C851" s="3204"/>
      <c r="D851" s="3100" t="s">
        <v>4038</v>
      </c>
      <c r="E851" s="3100" t="s">
        <v>463</v>
      </c>
      <c r="F851" s="3101">
        <v>52.12</v>
      </c>
      <c r="G851" s="3102" t="s">
        <v>3188</v>
      </c>
    </row>
    <row r="852" spans="1:7" ht="15" thickBot="1">
      <c r="A852" s="3099">
        <v>1519</v>
      </c>
      <c r="B852" s="3203" t="s">
        <v>3334</v>
      </c>
      <c r="C852" s="3204"/>
      <c r="D852" s="3100" t="s">
        <v>4039</v>
      </c>
      <c r="E852" s="3100" t="s">
        <v>463</v>
      </c>
      <c r="F852" s="3101">
        <v>52.23</v>
      </c>
      <c r="G852" s="3102" t="s">
        <v>3188</v>
      </c>
    </row>
    <row r="853" spans="1:7" ht="15" thickBot="1">
      <c r="A853" s="3099">
        <v>1520</v>
      </c>
      <c r="B853" s="3203" t="s">
        <v>3334</v>
      </c>
      <c r="C853" s="3204"/>
      <c r="D853" s="3100" t="s">
        <v>4040</v>
      </c>
      <c r="E853" s="3100" t="s">
        <v>463</v>
      </c>
      <c r="F853" s="3101">
        <v>52.23</v>
      </c>
      <c r="G853" s="3102" t="s">
        <v>3188</v>
      </c>
    </row>
    <row r="854" spans="1:7" ht="15" thickBot="1">
      <c r="A854" s="3099">
        <v>1521</v>
      </c>
      <c r="B854" s="3203" t="s">
        <v>3334</v>
      </c>
      <c r="C854" s="3204"/>
      <c r="D854" s="3100" t="s">
        <v>4041</v>
      </c>
      <c r="E854" s="3100" t="s">
        <v>463</v>
      </c>
      <c r="F854" s="3101">
        <v>51.55</v>
      </c>
      <c r="G854" s="3102" t="s">
        <v>3188</v>
      </c>
    </row>
    <row r="855" spans="1:7" ht="15" thickBot="1">
      <c r="A855" s="3099">
        <v>1522</v>
      </c>
      <c r="B855" s="3203" t="s">
        <v>3334</v>
      </c>
      <c r="C855" s="3204"/>
      <c r="D855" s="3100" t="s">
        <v>4042</v>
      </c>
      <c r="E855" s="3100" t="s">
        <v>463</v>
      </c>
      <c r="F855" s="3101">
        <v>52.12</v>
      </c>
      <c r="G855" s="3102" t="s">
        <v>3188</v>
      </c>
    </row>
    <row r="856" spans="1:7" ht="15" thickBot="1">
      <c r="A856" s="3099">
        <v>1523</v>
      </c>
      <c r="B856" s="3203" t="s">
        <v>3334</v>
      </c>
      <c r="C856" s="3204"/>
      <c r="D856" s="3100" t="s">
        <v>4043</v>
      </c>
      <c r="E856" s="3100" t="s">
        <v>463</v>
      </c>
      <c r="F856" s="3101">
        <v>52.23</v>
      </c>
      <c r="G856" s="3102" t="s">
        <v>3188</v>
      </c>
    </row>
    <row r="857" spans="1:7" ht="15" thickBot="1">
      <c r="A857" s="3099">
        <v>1524</v>
      </c>
      <c r="B857" s="3203" t="s">
        <v>3334</v>
      </c>
      <c r="C857" s="3204"/>
      <c r="D857" s="3100" t="s">
        <v>4044</v>
      </c>
      <c r="E857" s="3100" t="s">
        <v>463</v>
      </c>
      <c r="F857" s="3101">
        <v>52.23</v>
      </c>
      <c r="G857" s="3102" t="s">
        <v>3188</v>
      </c>
    </row>
    <row r="858" spans="1:7" ht="15" thickBot="1">
      <c r="A858" s="3099">
        <v>1525</v>
      </c>
      <c r="B858" s="3203" t="s">
        <v>3334</v>
      </c>
      <c r="C858" s="3204"/>
      <c r="D858" s="3100" t="s">
        <v>4045</v>
      </c>
      <c r="E858" s="3100" t="s">
        <v>463</v>
      </c>
      <c r="F858" s="3101">
        <v>51.55</v>
      </c>
      <c r="G858" s="3102" t="s">
        <v>3188</v>
      </c>
    </row>
    <row r="859" spans="1:7" ht="15" thickBot="1">
      <c r="A859" s="3099">
        <v>1526</v>
      </c>
      <c r="B859" s="3203" t="s">
        <v>3334</v>
      </c>
      <c r="C859" s="3204"/>
      <c r="D859" s="3100" t="s">
        <v>4046</v>
      </c>
      <c r="E859" s="3100" t="s">
        <v>463</v>
      </c>
      <c r="F859" s="3101">
        <v>52.12</v>
      </c>
      <c r="G859" s="3102" t="s">
        <v>3188</v>
      </c>
    </row>
    <row r="860" spans="1:7" ht="15" thickBot="1">
      <c r="A860" s="3099">
        <v>1527</v>
      </c>
      <c r="B860" s="3203" t="s">
        <v>3334</v>
      </c>
      <c r="C860" s="3204"/>
      <c r="D860" s="3100" t="s">
        <v>4047</v>
      </c>
      <c r="E860" s="3100" t="s">
        <v>463</v>
      </c>
      <c r="F860" s="3101">
        <v>52.23</v>
      </c>
      <c r="G860" s="3102" t="s">
        <v>3188</v>
      </c>
    </row>
    <row r="861" spans="1:7" ht="15" thickBot="1">
      <c r="A861" s="3099">
        <v>1528</v>
      </c>
      <c r="B861" s="3203" t="s">
        <v>3334</v>
      </c>
      <c r="C861" s="3204"/>
      <c r="D861" s="3100" t="s">
        <v>4048</v>
      </c>
      <c r="E861" s="3100" t="s">
        <v>463</v>
      </c>
      <c r="F861" s="3101">
        <v>52.23</v>
      </c>
      <c r="G861" s="3102" t="s">
        <v>3188</v>
      </c>
    </row>
    <row r="862" spans="1:7" ht="15" thickBot="1">
      <c r="A862" s="3099">
        <v>1529</v>
      </c>
      <c r="B862" s="3203" t="s">
        <v>3334</v>
      </c>
      <c r="C862" s="3204"/>
      <c r="D862" s="3100" t="s">
        <v>4049</v>
      </c>
      <c r="E862" s="3100" t="s">
        <v>463</v>
      </c>
      <c r="F862" s="3101">
        <v>51.55</v>
      </c>
      <c r="G862" s="3102" t="s">
        <v>3188</v>
      </c>
    </row>
    <row r="863" spans="1:7" ht="15" thickBot="1">
      <c r="A863" s="3099">
        <v>1530</v>
      </c>
      <c r="B863" s="3203" t="s">
        <v>3334</v>
      </c>
      <c r="C863" s="3204"/>
      <c r="D863" s="3100" t="s">
        <v>4050</v>
      </c>
      <c r="E863" s="3100" t="s">
        <v>463</v>
      </c>
      <c r="F863" s="3101">
        <v>52.12</v>
      </c>
      <c r="G863" s="3102" t="s">
        <v>3188</v>
      </c>
    </row>
    <row r="864" spans="1:7" ht="15" thickBot="1">
      <c r="A864" s="3099">
        <v>1531</v>
      </c>
      <c r="B864" s="3203" t="s">
        <v>3334</v>
      </c>
      <c r="C864" s="3204"/>
      <c r="D864" s="3100" t="s">
        <v>4051</v>
      </c>
      <c r="E864" s="3100" t="s">
        <v>463</v>
      </c>
      <c r="F864" s="3101">
        <v>52.23</v>
      </c>
      <c r="G864" s="3102" t="s">
        <v>3188</v>
      </c>
    </row>
    <row r="865" spans="1:7" ht="15" thickBot="1">
      <c r="A865" s="3099">
        <v>1532</v>
      </c>
      <c r="B865" s="3203" t="s">
        <v>3334</v>
      </c>
      <c r="C865" s="3204"/>
      <c r="D865" s="3100" t="s">
        <v>4052</v>
      </c>
      <c r="E865" s="3100" t="s">
        <v>463</v>
      </c>
      <c r="F865" s="3101">
        <v>52.23</v>
      </c>
      <c r="G865" s="3102" t="s">
        <v>3188</v>
      </c>
    </row>
    <row r="866" spans="1:7" ht="15" thickBot="1">
      <c r="A866" s="3099">
        <v>1533</v>
      </c>
      <c r="B866" s="3203" t="s">
        <v>3334</v>
      </c>
      <c r="C866" s="3204"/>
      <c r="D866" s="3100" t="s">
        <v>4053</v>
      </c>
      <c r="E866" s="3100" t="s">
        <v>463</v>
      </c>
      <c r="F866" s="3101">
        <v>51.55</v>
      </c>
      <c r="G866" s="3102" t="s">
        <v>3188</v>
      </c>
    </row>
    <row r="867" spans="1:7" ht="15" thickBot="1">
      <c r="A867" s="3099">
        <v>1534</v>
      </c>
      <c r="B867" s="3203" t="s">
        <v>3334</v>
      </c>
      <c r="C867" s="3204"/>
      <c r="D867" s="3100" t="s">
        <v>4054</v>
      </c>
      <c r="E867" s="3100" t="s">
        <v>463</v>
      </c>
      <c r="F867" s="3101">
        <v>52.12</v>
      </c>
      <c r="G867" s="3102" t="s">
        <v>3188</v>
      </c>
    </row>
    <row r="868" spans="1:7" ht="15" thickBot="1">
      <c r="A868" s="3099">
        <v>1535</v>
      </c>
      <c r="B868" s="3203" t="s">
        <v>3334</v>
      </c>
      <c r="C868" s="3204"/>
      <c r="D868" s="3100" t="s">
        <v>4055</v>
      </c>
      <c r="E868" s="3100" t="s">
        <v>463</v>
      </c>
      <c r="F868" s="3101">
        <v>52.23</v>
      </c>
      <c r="G868" s="3102" t="s">
        <v>3188</v>
      </c>
    </row>
    <row r="869" spans="1:7" ht="15" thickBot="1">
      <c r="A869" s="3099">
        <v>1536</v>
      </c>
      <c r="B869" s="3203" t="s">
        <v>3334</v>
      </c>
      <c r="C869" s="3204"/>
      <c r="D869" s="3100" t="s">
        <v>4056</v>
      </c>
      <c r="E869" s="3100" t="s">
        <v>463</v>
      </c>
      <c r="F869" s="3101">
        <v>52.23</v>
      </c>
      <c r="G869" s="3102" t="s">
        <v>3188</v>
      </c>
    </row>
    <row r="870" spans="1:7" ht="15" thickBot="1">
      <c r="A870" s="3099">
        <v>1537</v>
      </c>
      <c r="B870" s="3203" t="s">
        <v>3334</v>
      </c>
      <c r="C870" s="3204"/>
      <c r="D870" s="3100" t="s">
        <v>4057</v>
      </c>
      <c r="E870" s="3100" t="s">
        <v>463</v>
      </c>
      <c r="F870" s="3101">
        <v>51.55</v>
      </c>
      <c r="G870" s="3102" t="s">
        <v>3188</v>
      </c>
    </row>
    <row r="871" spans="1:7" ht="15" thickBot="1">
      <c r="A871" s="3099">
        <v>1538</v>
      </c>
      <c r="B871" s="3203" t="s">
        <v>3334</v>
      </c>
      <c r="C871" s="3204"/>
      <c r="D871" s="3100" t="s">
        <v>4058</v>
      </c>
      <c r="E871" s="3100" t="s">
        <v>463</v>
      </c>
      <c r="F871" s="3101">
        <v>52.12</v>
      </c>
      <c r="G871" s="3102" t="s">
        <v>3188</v>
      </c>
    </row>
    <row r="872" spans="1:7" ht="15" thickBot="1">
      <c r="A872" s="3099">
        <v>1539</v>
      </c>
      <c r="B872" s="3203" t="s">
        <v>3334</v>
      </c>
      <c r="C872" s="3204"/>
      <c r="D872" s="3100" t="s">
        <v>4059</v>
      </c>
      <c r="E872" s="3100" t="s">
        <v>463</v>
      </c>
      <c r="F872" s="3101">
        <v>52.23</v>
      </c>
      <c r="G872" s="3102" t="s">
        <v>3188</v>
      </c>
    </row>
    <row r="873" spans="1:7" ht="15" thickBot="1">
      <c r="A873" s="3099">
        <v>1540</v>
      </c>
      <c r="B873" s="3203" t="s">
        <v>3334</v>
      </c>
      <c r="C873" s="3204"/>
      <c r="D873" s="3100" t="s">
        <v>4060</v>
      </c>
      <c r="E873" s="3100" t="s">
        <v>463</v>
      </c>
      <c r="F873" s="3101">
        <v>52.23</v>
      </c>
      <c r="G873" s="3102" t="s">
        <v>3188</v>
      </c>
    </row>
    <row r="874" spans="1:7" ht="15" thickBot="1">
      <c r="A874" s="3099">
        <v>1541</v>
      </c>
      <c r="B874" s="3203" t="s">
        <v>3334</v>
      </c>
      <c r="C874" s="3204"/>
      <c r="D874" s="3100" t="s">
        <v>4061</v>
      </c>
      <c r="E874" s="3100" t="s">
        <v>463</v>
      </c>
      <c r="F874" s="3101">
        <v>51.55</v>
      </c>
      <c r="G874" s="3102" t="s">
        <v>3188</v>
      </c>
    </row>
    <row r="875" spans="1:7" ht="15" thickBot="1">
      <c r="A875" s="3099">
        <v>1542</v>
      </c>
      <c r="B875" s="3203" t="s">
        <v>3334</v>
      </c>
      <c r="C875" s="3204"/>
      <c r="D875" s="3100" t="s">
        <v>4062</v>
      </c>
      <c r="E875" s="3100" t="s">
        <v>463</v>
      </c>
      <c r="F875" s="3101">
        <v>52.12</v>
      </c>
      <c r="G875" s="3102" t="s">
        <v>3188</v>
      </c>
    </row>
    <row r="876" spans="1:7" ht="15" thickBot="1">
      <c r="A876" s="3099">
        <v>1543</v>
      </c>
      <c r="B876" s="3203" t="s">
        <v>3334</v>
      </c>
      <c r="C876" s="3204"/>
      <c r="D876" s="3100" t="s">
        <v>4063</v>
      </c>
      <c r="E876" s="3100" t="s">
        <v>463</v>
      </c>
      <c r="F876" s="3101">
        <v>52.23</v>
      </c>
      <c r="G876" s="3102" t="s">
        <v>3188</v>
      </c>
    </row>
    <row r="877" spans="1:7" ht="15" thickBot="1">
      <c r="A877" s="3099">
        <v>1544</v>
      </c>
      <c r="B877" s="3203" t="s">
        <v>3334</v>
      </c>
      <c r="C877" s="3204"/>
      <c r="D877" s="3100" t="s">
        <v>4064</v>
      </c>
      <c r="E877" s="3100" t="s">
        <v>463</v>
      </c>
      <c r="F877" s="3101">
        <v>52.23</v>
      </c>
      <c r="G877" s="3102" t="s">
        <v>3188</v>
      </c>
    </row>
    <row r="878" spans="1:7" ht="15" thickBot="1">
      <c r="A878" s="3099">
        <v>1545</v>
      </c>
      <c r="B878" s="3203" t="s">
        <v>3334</v>
      </c>
      <c r="C878" s="3204"/>
      <c r="D878" s="3100" t="s">
        <v>4065</v>
      </c>
      <c r="E878" s="3100" t="s">
        <v>463</v>
      </c>
      <c r="F878" s="3101">
        <v>51.55</v>
      </c>
      <c r="G878" s="3102" t="s">
        <v>3188</v>
      </c>
    </row>
    <row r="879" spans="1:7" ht="15" thickBot="1">
      <c r="A879" s="3099">
        <v>1546</v>
      </c>
      <c r="B879" s="3203" t="s">
        <v>3334</v>
      </c>
      <c r="C879" s="3204"/>
      <c r="D879" s="3100" t="s">
        <v>4066</v>
      </c>
      <c r="E879" s="3100" t="s">
        <v>463</v>
      </c>
      <c r="F879" s="3101">
        <v>52.12</v>
      </c>
      <c r="G879" s="3102" t="s">
        <v>3188</v>
      </c>
    </row>
    <row r="880" spans="1:7" ht="15" thickBot="1">
      <c r="A880" s="3099">
        <v>1547</v>
      </c>
      <c r="B880" s="3203" t="s">
        <v>3334</v>
      </c>
      <c r="C880" s="3204"/>
      <c r="D880" s="3100" t="s">
        <v>4067</v>
      </c>
      <c r="E880" s="3100" t="s">
        <v>463</v>
      </c>
      <c r="F880" s="3101">
        <v>52.23</v>
      </c>
      <c r="G880" s="3102" t="s">
        <v>3188</v>
      </c>
    </row>
    <row r="881" spans="1:7" ht="15" thickBot="1">
      <c r="A881" s="3099">
        <v>1548</v>
      </c>
      <c r="B881" s="3203" t="s">
        <v>3334</v>
      </c>
      <c r="C881" s="3204"/>
      <c r="D881" s="3100" t="s">
        <v>4068</v>
      </c>
      <c r="E881" s="3100" t="s">
        <v>463</v>
      </c>
      <c r="F881" s="3101">
        <v>52.23</v>
      </c>
      <c r="G881" s="3102" t="s">
        <v>3188</v>
      </c>
    </row>
    <row r="882" spans="1:7" ht="15" thickBot="1">
      <c r="A882" s="3099">
        <v>1549</v>
      </c>
      <c r="B882" s="3203" t="s">
        <v>3334</v>
      </c>
      <c r="C882" s="3204"/>
      <c r="D882" s="3100" t="s">
        <v>4069</v>
      </c>
      <c r="E882" s="3100" t="s">
        <v>463</v>
      </c>
      <c r="F882" s="3101">
        <v>51.55</v>
      </c>
      <c r="G882" s="3102" t="s">
        <v>3188</v>
      </c>
    </row>
    <row r="883" spans="1:7" ht="15" thickBot="1">
      <c r="A883" s="3099">
        <v>1550</v>
      </c>
      <c r="B883" s="3203" t="s">
        <v>3334</v>
      </c>
      <c r="C883" s="3204"/>
      <c r="D883" s="3100" t="s">
        <v>4070</v>
      </c>
      <c r="E883" s="3100" t="s">
        <v>463</v>
      </c>
      <c r="F883" s="3101">
        <v>52.12</v>
      </c>
      <c r="G883" s="3102" t="s">
        <v>3188</v>
      </c>
    </row>
    <row r="884" spans="1:7" ht="15" thickBot="1">
      <c r="A884" s="3099">
        <v>1551</v>
      </c>
      <c r="B884" s="3203" t="s">
        <v>3334</v>
      </c>
      <c r="C884" s="3204"/>
      <c r="D884" s="3100" t="s">
        <v>4071</v>
      </c>
      <c r="E884" s="3100" t="s">
        <v>463</v>
      </c>
      <c r="F884" s="3101">
        <v>52.23</v>
      </c>
      <c r="G884" s="3102" t="s">
        <v>3188</v>
      </c>
    </row>
    <row r="885" spans="1:7" ht="15" thickBot="1">
      <c r="A885" s="3099">
        <v>1552</v>
      </c>
      <c r="B885" s="3203" t="s">
        <v>3334</v>
      </c>
      <c r="C885" s="3204"/>
      <c r="D885" s="3100" t="s">
        <v>4072</v>
      </c>
      <c r="E885" s="3100" t="s">
        <v>463</v>
      </c>
      <c r="F885" s="3101">
        <v>52.23</v>
      </c>
      <c r="G885" s="3102" t="s">
        <v>3188</v>
      </c>
    </row>
    <row r="886" spans="1:7" ht="15" thickBot="1">
      <c r="A886" s="3099">
        <v>1553</v>
      </c>
      <c r="B886" s="3203" t="s">
        <v>3334</v>
      </c>
      <c r="C886" s="3204"/>
      <c r="D886" s="3100" t="s">
        <v>4073</v>
      </c>
      <c r="E886" s="3100" t="s">
        <v>463</v>
      </c>
      <c r="F886" s="3101">
        <v>51.55</v>
      </c>
      <c r="G886" s="3102" t="s">
        <v>3188</v>
      </c>
    </row>
    <row r="887" spans="1:7" ht="15" thickBot="1">
      <c r="A887" s="3099">
        <v>1554</v>
      </c>
      <c r="B887" s="3203" t="s">
        <v>3334</v>
      </c>
      <c r="C887" s="3204"/>
      <c r="D887" s="3100" t="s">
        <v>4074</v>
      </c>
      <c r="E887" s="3100" t="s">
        <v>463</v>
      </c>
      <c r="F887" s="3101">
        <v>52.12</v>
      </c>
      <c r="G887" s="3102" t="s">
        <v>3188</v>
      </c>
    </row>
    <row r="888" spans="1:7" ht="15" thickBot="1">
      <c r="A888" s="3099">
        <v>1555</v>
      </c>
      <c r="B888" s="3203" t="s">
        <v>3334</v>
      </c>
      <c r="C888" s="3204"/>
      <c r="D888" s="3100" t="s">
        <v>4075</v>
      </c>
      <c r="E888" s="3100" t="s">
        <v>463</v>
      </c>
      <c r="F888" s="3101">
        <v>52.23</v>
      </c>
      <c r="G888" s="3102" t="s">
        <v>3188</v>
      </c>
    </row>
    <row r="889" spans="1:7" ht="15" thickBot="1">
      <c r="A889" s="3099">
        <v>1556</v>
      </c>
      <c r="B889" s="3203" t="s">
        <v>3334</v>
      </c>
      <c r="C889" s="3204"/>
      <c r="D889" s="3100" t="s">
        <v>4076</v>
      </c>
      <c r="E889" s="3100" t="s">
        <v>463</v>
      </c>
      <c r="F889" s="3101">
        <v>52.23</v>
      </c>
      <c r="G889" s="3102" t="s">
        <v>3188</v>
      </c>
    </row>
    <row r="890" spans="1:7" ht="15" thickBot="1">
      <c r="A890" s="3099">
        <v>1557</v>
      </c>
      <c r="B890" s="3203" t="s">
        <v>3334</v>
      </c>
      <c r="C890" s="3204"/>
      <c r="D890" s="3100" t="s">
        <v>4077</v>
      </c>
      <c r="E890" s="3100" t="s">
        <v>463</v>
      </c>
      <c r="F890" s="3101">
        <v>51.55</v>
      </c>
      <c r="G890" s="3102" t="s">
        <v>3188</v>
      </c>
    </row>
    <row r="891" spans="1:7" ht="15" thickBot="1">
      <c r="A891" s="3099">
        <v>1558</v>
      </c>
      <c r="B891" s="3203" t="s">
        <v>3334</v>
      </c>
      <c r="C891" s="3204"/>
      <c r="D891" s="3100" t="s">
        <v>4078</v>
      </c>
      <c r="E891" s="3100" t="s">
        <v>463</v>
      </c>
      <c r="F891" s="3101">
        <v>52.12</v>
      </c>
      <c r="G891" s="3102" t="s">
        <v>3188</v>
      </c>
    </row>
    <row r="892" spans="1:7" ht="15" thickBot="1">
      <c r="A892" s="3099">
        <v>1559</v>
      </c>
      <c r="B892" s="3203" t="s">
        <v>3334</v>
      </c>
      <c r="C892" s="3204"/>
      <c r="D892" s="3100" t="s">
        <v>4079</v>
      </c>
      <c r="E892" s="3100" t="s">
        <v>463</v>
      </c>
      <c r="F892" s="3101">
        <v>52.23</v>
      </c>
      <c r="G892" s="3102" t="s">
        <v>3188</v>
      </c>
    </row>
    <row r="893" spans="1:7" ht="15" thickBot="1">
      <c r="A893" s="3099">
        <v>1560</v>
      </c>
      <c r="B893" s="3203" t="s">
        <v>3334</v>
      </c>
      <c r="C893" s="3204"/>
      <c r="D893" s="3100" t="s">
        <v>4080</v>
      </c>
      <c r="E893" s="3100" t="s">
        <v>463</v>
      </c>
      <c r="F893" s="3101">
        <v>52.23</v>
      </c>
      <c r="G893" s="3102" t="s">
        <v>3188</v>
      </c>
    </row>
    <row r="894" spans="1:7" ht="15" thickBot="1">
      <c r="A894" s="3099">
        <v>1561</v>
      </c>
      <c r="B894" s="3203" t="s">
        <v>3334</v>
      </c>
      <c r="C894" s="3204"/>
      <c r="D894" s="3100" t="s">
        <v>4081</v>
      </c>
      <c r="E894" s="3100" t="s">
        <v>463</v>
      </c>
      <c r="F894" s="3101">
        <v>51.55</v>
      </c>
      <c r="G894" s="3102" t="s">
        <v>3188</v>
      </c>
    </row>
    <row r="895" spans="1:7" ht="15" thickBot="1">
      <c r="A895" s="3099">
        <v>1562</v>
      </c>
      <c r="B895" s="3203" t="s">
        <v>3334</v>
      </c>
      <c r="C895" s="3204"/>
      <c r="D895" s="3100" t="s">
        <v>4082</v>
      </c>
      <c r="E895" s="3100" t="s">
        <v>463</v>
      </c>
      <c r="F895" s="3101">
        <v>52.12</v>
      </c>
      <c r="G895" s="3102" t="s">
        <v>3188</v>
      </c>
    </row>
    <row r="896" spans="1:7" ht="15" thickBot="1">
      <c r="A896" s="3099">
        <v>1563</v>
      </c>
      <c r="B896" s="3203" t="s">
        <v>3334</v>
      </c>
      <c r="C896" s="3204"/>
      <c r="D896" s="3100" t="s">
        <v>4083</v>
      </c>
      <c r="E896" s="3100" t="s">
        <v>463</v>
      </c>
      <c r="F896" s="3101">
        <v>52.23</v>
      </c>
      <c r="G896" s="3102" t="s">
        <v>3188</v>
      </c>
    </row>
    <row r="897" spans="1:7" ht="15" thickBot="1">
      <c r="A897" s="3099">
        <v>1564</v>
      </c>
      <c r="B897" s="3203" t="s">
        <v>3334</v>
      </c>
      <c r="C897" s="3204"/>
      <c r="D897" s="3100" t="s">
        <v>4084</v>
      </c>
      <c r="E897" s="3100" t="s">
        <v>463</v>
      </c>
      <c r="F897" s="3101">
        <v>52.23</v>
      </c>
      <c r="G897" s="3102" t="s">
        <v>3188</v>
      </c>
    </row>
    <row r="898" spans="1:7" ht="15" thickBot="1">
      <c r="A898" s="3099">
        <v>1565</v>
      </c>
      <c r="B898" s="3203" t="s">
        <v>3334</v>
      </c>
      <c r="C898" s="3204"/>
      <c r="D898" s="3100" t="s">
        <v>4085</v>
      </c>
      <c r="E898" s="3100" t="s">
        <v>463</v>
      </c>
      <c r="F898" s="3101">
        <v>51.55</v>
      </c>
      <c r="G898" s="3102" t="s">
        <v>3188</v>
      </c>
    </row>
    <row r="899" spans="1:7" ht="15" thickBot="1">
      <c r="A899" s="3099">
        <v>1566</v>
      </c>
      <c r="B899" s="3203" t="s">
        <v>3334</v>
      </c>
      <c r="C899" s="3204"/>
      <c r="D899" s="3100" t="s">
        <v>4086</v>
      </c>
      <c r="E899" s="3100" t="s">
        <v>463</v>
      </c>
      <c r="F899" s="3101">
        <v>51.48</v>
      </c>
      <c r="G899" s="3102" t="s">
        <v>3188</v>
      </c>
    </row>
    <row r="900" spans="1:7" ht="15" thickBot="1">
      <c r="A900" s="3099">
        <v>1567</v>
      </c>
      <c r="B900" s="3203" t="s">
        <v>3334</v>
      </c>
      <c r="C900" s="3204"/>
      <c r="D900" s="3100" t="s">
        <v>4087</v>
      </c>
      <c r="E900" s="3100" t="s">
        <v>463</v>
      </c>
      <c r="F900" s="3101">
        <v>52.23</v>
      </c>
      <c r="G900" s="3102" t="s">
        <v>3188</v>
      </c>
    </row>
    <row r="901" spans="1:7" ht="15" thickBot="1">
      <c r="A901" s="3099">
        <v>1568</v>
      </c>
      <c r="B901" s="3203" t="s">
        <v>3334</v>
      </c>
      <c r="C901" s="3204"/>
      <c r="D901" s="3100" t="s">
        <v>4088</v>
      </c>
      <c r="E901" s="3100" t="s">
        <v>463</v>
      </c>
      <c r="F901" s="3101">
        <v>52.23</v>
      </c>
      <c r="G901" s="3102" t="s">
        <v>3188</v>
      </c>
    </row>
    <row r="902" spans="1:7" ht="15" thickBot="1">
      <c r="A902" s="3099">
        <v>1569</v>
      </c>
      <c r="B902" s="3203" t="s">
        <v>3334</v>
      </c>
      <c r="C902" s="3204"/>
      <c r="D902" s="3100" t="s">
        <v>4089</v>
      </c>
      <c r="E902" s="3100" t="s">
        <v>463</v>
      </c>
      <c r="F902" s="3101">
        <v>51.66</v>
      </c>
      <c r="G902" s="3102" t="s">
        <v>3188</v>
      </c>
    </row>
    <row r="903" spans="1:7" ht="15" thickBot="1">
      <c r="A903" s="3099">
        <v>1570</v>
      </c>
      <c r="B903" s="3203" t="s">
        <v>3334</v>
      </c>
      <c r="C903" s="3204"/>
      <c r="D903" s="3100" t="s">
        <v>4090</v>
      </c>
      <c r="E903" s="3100" t="s">
        <v>463</v>
      </c>
      <c r="F903" s="3101">
        <v>51.48</v>
      </c>
      <c r="G903" s="3102" t="s">
        <v>3188</v>
      </c>
    </row>
    <row r="904" spans="1:7" ht="15" thickBot="1">
      <c r="A904" s="3099">
        <v>1571</v>
      </c>
      <c r="B904" s="3203" t="s">
        <v>3334</v>
      </c>
      <c r="C904" s="3204"/>
      <c r="D904" s="3100" t="s">
        <v>4091</v>
      </c>
      <c r="E904" s="3100" t="s">
        <v>463</v>
      </c>
      <c r="F904" s="3101">
        <v>52.12</v>
      </c>
      <c r="G904" s="3102" t="s">
        <v>3188</v>
      </c>
    </row>
    <row r="905" spans="1:7" ht="15" thickBot="1">
      <c r="A905" s="3099">
        <v>1572</v>
      </c>
      <c r="B905" s="3203" t="s">
        <v>3334</v>
      </c>
      <c r="C905" s="3204"/>
      <c r="D905" s="3100" t="s">
        <v>4092</v>
      </c>
      <c r="E905" s="3100" t="s">
        <v>463</v>
      </c>
      <c r="F905" s="3101">
        <v>80.56</v>
      </c>
      <c r="G905" s="3102" t="s">
        <v>3188</v>
      </c>
    </row>
    <row r="906" spans="1:7" ht="15" thickBot="1">
      <c r="A906" s="3099">
        <v>1573</v>
      </c>
      <c r="B906" s="3203" t="s">
        <v>3334</v>
      </c>
      <c r="C906" s="3204"/>
      <c r="D906" s="3100" t="s">
        <v>4093</v>
      </c>
      <c r="E906" s="3100" t="s">
        <v>463</v>
      </c>
      <c r="F906" s="3101">
        <v>51.48</v>
      </c>
      <c r="G906" s="3102" t="s">
        <v>3188</v>
      </c>
    </row>
    <row r="907" spans="1:7" ht="15" thickBot="1">
      <c r="A907" s="3099">
        <v>1574</v>
      </c>
      <c r="B907" s="3203" t="s">
        <v>3334</v>
      </c>
      <c r="C907" s="3204"/>
      <c r="D907" s="3100" t="s">
        <v>4094</v>
      </c>
      <c r="E907" s="3100" t="s">
        <v>463</v>
      </c>
      <c r="F907" s="3101">
        <v>52.23</v>
      </c>
      <c r="G907" s="3102" t="s">
        <v>3188</v>
      </c>
    </row>
    <row r="908" spans="1:7" ht="15" thickBot="1">
      <c r="A908" s="3099">
        <v>1575</v>
      </c>
      <c r="B908" s="3203" t="s">
        <v>3334</v>
      </c>
      <c r="C908" s="3204"/>
      <c r="D908" s="3100" t="s">
        <v>4095</v>
      </c>
      <c r="E908" s="3100" t="s">
        <v>463</v>
      </c>
      <c r="F908" s="3101">
        <v>52.23</v>
      </c>
      <c r="G908" s="3102" t="s">
        <v>3188</v>
      </c>
    </row>
    <row r="909" spans="1:7" ht="15" thickBot="1">
      <c r="A909" s="3099">
        <v>1576</v>
      </c>
      <c r="B909" s="3203" t="s">
        <v>3334</v>
      </c>
      <c r="C909" s="3204"/>
      <c r="D909" s="3100" t="s">
        <v>4096</v>
      </c>
      <c r="E909" s="3100" t="s">
        <v>463</v>
      </c>
      <c r="F909" s="3101">
        <v>51.66</v>
      </c>
      <c r="G909" s="3102" t="s">
        <v>3188</v>
      </c>
    </row>
    <row r="910" spans="1:7" ht="15" thickBot="1">
      <c r="A910" s="3099">
        <v>1577</v>
      </c>
      <c r="B910" s="3203" t="s">
        <v>3334</v>
      </c>
      <c r="C910" s="3204"/>
      <c r="D910" s="3100" t="s">
        <v>4097</v>
      </c>
      <c r="E910" s="3100" t="s">
        <v>463</v>
      </c>
      <c r="F910" s="3101">
        <v>51.48</v>
      </c>
      <c r="G910" s="3102" t="s">
        <v>3188</v>
      </c>
    </row>
    <row r="911" spans="1:7" ht="15" thickBot="1">
      <c r="A911" s="3099">
        <v>1578</v>
      </c>
      <c r="B911" s="3203" t="s">
        <v>3334</v>
      </c>
      <c r="C911" s="3204"/>
      <c r="D911" s="3100" t="s">
        <v>4098</v>
      </c>
      <c r="E911" s="3100" t="s">
        <v>463</v>
      </c>
      <c r="F911" s="3101">
        <v>52.23</v>
      </c>
      <c r="G911" s="3102" t="s">
        <v>3188</v>
      </c>
    </row>
    <row r="912" spans="1:7" ht="15" thickBot="1">
      <c r="A912" s="3099">
        <v>1579</v>
      </c>
      <c r="B912" s="3203" t="s">
        <v>3334</v>
      </c>
      <c r="C912" s="3204"/>
      <c r="D912" s="3100" t="s">
        <v>4099</v>
      </c>
      <c r="E912" s="3100" t="s">
        <v>463</v>
      </c>
      <c r="F912" s="3101">
        <v>52.23</v>
      </c>
      <c r="G912" s="3102" t="s">
        <v>3188</v>
      </c>
    </row>
    <row r="913" spans="1:7" ht="15" thickBot="1">
      <c r="A913" s="3099">
        <v>1580</v>
      </c>
      <c r="B913" s="3203" t="s">
        <v>3334</v>
      </c>
      <c r="C913" s="3204"/>
      <c r="D913" s="3100" t="s">
        <v>4100</v>
      </c>
      <c r="E913" s="3100" t="s">
        <v>463</v>
      </c>
      <c r="F913" s="3101">
        <v>51.66</v>
      </c>
      <c r="G913" s="3102" t="s">
        <v>3188</v>
      </c>
    </row>
    <row r="914" spans="1:7" ht="15" thickBot="1">
      <c r="A914" s="3099">
        <v>1581</v>
      </c>
      <c r="B914" s="3203" t="s">
        <v>3334</v>
      </c>
      <c r="C914" s="3204"/>
      <c r="D914" s="3100" t="s">
        <v>4101</v>
      </c>
      <c r="E914" s="3100" t="s">
        <v>463</v>
      </c>
      <c r="F914" s="3101">
        <v>51.48</v>
      </c>
      <c r="G914" s="3102" t="s">
        <v>3188</v>
      </c>
    </row>
    <row r="915" spans="1:7" ht="15" thickBot="1">
      <c r="A915" s="3099">
        <v>1582</v>
      </c>
      <c r="B915" s="3203" t="s">
        <v>3334</v>
      </c>
      <c r="C915" s="3204"/>
      <c r="D915" s="3100" t="s">
        <v>4102</v>
      </c>
      <c r="E915" s="3100" t="s">
        <v>463</v>
      </c>
      <c r="F915" s="3101">
        <v>52.23</v>
      </c>
      <c r="G915" s="3102" t="s">
        <v>3188</v>
      </c>
    </row>
    <row r="916" spans="1:7" ht="15" thickBot="1">
      <c r="A916" s="3099">
        <v>1583</v>
      </c>
      <c r="B916" s="3203" t="s">
        <v>3334</v>
      </c>
      <c r="C916" s="3204"/>
      <c r="D916" s="3100" t="s">
        <v>4103</v>
      </c>
      <c r="E916" s="3100" t="s">
        <v>463</v>
      </c>
      <c r="F916" s="3101">
        <v>52.23</v>
      </c>
      <c r="G916" s="3102" t="s">
        <v>3188</v>
      </c>
    </row>
    <row r="917" spans="1:7" ht="15" thickBot="1">
      <c r="A917" s="3099">
        <v>1584</v>
      </c>
      <c r="B917" s="3203" t="s">
        <v>3334</v>
      </c>
      <c r="C917" s="3204"/>
      <c r="D917" s="3100" t="s">
        <v>4104</v>
      </c>
      <c r="E917" s="3100" t="s">
        <v>463</v>
      </c>
      <c r="F917" s="3101">
        <v>51.66</v>
      </c>
      <c r="G917" s="3102" t="s">
        <v>3188</v>
      </c>
    </row>
    <row r="918" spans="1:7" ht="15" thickBot="1">
      <c r="A918" s="3099">
        <v>1585</v>
      </c>
      <c r="B918" s="3203" t="s">
        <v>3334</v>
      </c>
      <c r="C918" s="3204"/>
      <c r="D918" s="3100" t="s">
        <v>4105</v>
      </c>
      <c r="E918" s="3100" t="s">
        <v>463</v>
      </c>
      <c r="F918" s="3101">
        <v>51.48</v>
      </c>
      <c r="G918" s="3102" t="s">
        <v>3188</v>
      </c>
    </row>
    <row r="919" spans="1:7" ht="15" thickBot="1">
      <c r="A919" s="3099">
        <v>1586</v>
      </c>
      <c r="B919" s="3203" t="s">
        <v>3334</v>
      </c>
      <c r="C919" s="3204"/>
      <c r="D919" s="3100" t="s">
        <v>4106</v>
      </c>
      <c r="E919" s="3100" t="s">
        <v>463</v>
      </c>
      <c r="F919" s="3101">
        <v>52.23</v>
      </c>
      <c r="G919" s="3102" t="s">
        <v>3188</v>
      </c>
    </row>
    <row r="920" spans="1:7" ht="15" thickBot="1">
      <c r="A920" s="3099">
        <v>1587</v>
      </c>
      <c r="B920" s="3203" t="s">
        <v>3334</v>
      </c>
      <c r="C920" s="3204"/>
      <c r="D920" s="3100" t="s">
        <v>4107</v>
      </c>
      <c r="E920" s="3100" t="s">
        <v>463</v>
      </c>
      <c r="F920" s="3101">
        <v>52.23</v>
      </c>
      <c r="G920" s="3102" t="s">
        <v>3188</v>
      </c>
    </row>
    <row r="921" spans="1:7" ht="15" thickBot="1">
      <c r="A921" s="3099">
        <v>1588</v>
      </c>
      <c r="B921" s="3203" t="s">
        <v>3334</v>
      </c>
      <c r="C921" s="3204"/>
      <c r="D921" s="3100" t="s">
        <v>4108</v>
      </c>
      <c r="E921" s="3100" t="s">
        <v>463</v>
      </c>
      <c r="F921" s="3101">
        <v>51.66</v>
      </c>
      <c r="G921" s="3102" t="s">
        <v>3188</v>
      </c>
    </row>
    <row r="922" spans="1:7" ht="15" thickBot="1">
      <c r="A922" s="3099">
        <v>1589</v>
      </c>
      <c r="B922" s="3203" t="s">
        <v>3334</v>
      </c>
      <c r="C922" s="3204"/>
      <c r="D922" s="3100" t="s">
        <v>4109</v>
      </c>
      <c r="E922" s="3100" t="s">
        <v>463</v>
      </c>
      <c r="F922" s="3101">
        <v>51.48</v>
      </c>
      <c r="G922" s="3102" t="s">
        <v>3188</v>
      </c>
    </row>
    <row r="923" spans="1:7" ht="15" thickBot="1">
      <c r="A923" s="3099">
        <v>1590</v>
      </c>
      <c r="B923" s="3203" t="s">
        <v>3334</v>
      </c>
      <c r="C923" s="3204"/>
      <c r="D923" s="3100" t="s">
        <v>4110</v>
      </c>
      <c r="E923" s="3100" t="s">
        <v>463</v>
      </c>
      <c r="F923" s="3101">
        <v>52.23</v>
      </c>
      <c r="G923" s="3102" t="s">
        <v>3188</v>
      </c>
    </row>
    <row r="924" spans="1:7" ht="15" thickBot="1">
      <c r="A924" s="3099">
        <v>1591</v>
      </c>
      <c r="B924" s="3203" t="s">
        <v>3334</v>
      </c>
      <c r="C924" s="3204"/>
      <c r="D924" s="3100" t="s">
        <v>4111</v>
      </c>
      <c r="E924" s="3100" t="s">
        <v>463</v>
      </c>
      <c r="F924" s="3101">
        <v>52.23</v>
      </c>
      <c r="G924" s="3102" t="s">
        <v>3188</v>
      </c>
    </row>
    <row r="925" spans="1:7" ht="15" thickBot="1">
      <c r="A925" s="3099">
        <v>1592</v>
      </c>
      <c r="B925" s="3203" t="s">
        <v>3334</v>
      </c>
      <c r="C925" s="3204"/>
      <c r="D925" s="3100" t="s">
        <v>4112</v>
      </c>
      <c r="E925" s="3100" t="s">
        <v>463</v>
      </c>
      <c r="F925" s="3101">
        <v>51.66</v>
      </c>
      <c r="G925" s="3102" t="s">
        <v>3188</v>
      </c>
    </row>
    <row r="926" spans="1:7" ht="15" thickBot="1">
      <c r="A926" s="3099">
        <v>1593</v>
      </c>
      <c r="B926" s="3203" t="s">
        <v>3334</v>
      </c>
      <c r="C926" s="3204"/>
      <c r="D926" s="3100" t="s">
        <v>4113</v>
      </c>
      <c r="E926" s="3100" t="s">
        <v>463</v>
      </c>
      <c r="F926" s="3101">
        <v>51.48</v>
      </c>
      <c r="G926" s="3102" t="s">
        <v>3188</v>
      </c>
    </row>
    <row r="927" spans="1:7" ht="15" thickBot="1">
      <c r="A927" s="3099">
        <v>1594</v>
      </c>
      <c r="B927" s="3203" t="s">
        <v>3334</v>
      </c>
      <c r="C927" s="3204"/>
      <c r="D927" s="3100" t="s">
        <v>4114</v>
      </c>
      <c r="E927" s="3100" t="s">
        <v>463</v>
      </c>
      <c r="F927" s="3101">
        <v>52.23</v>
      </c>
      <c r="G927" s="3102" t="s">
        <v>3188</v>
      </c>
    </row>
    <row r="928" spans="1:7" ht="15" thickBot="1">
      <c r="A928" s="3099">
        <v>1595</v>
      </c>
      <c r="B928" s="3203" t="s">
        <v>3334</v>
      </c>
      <c r="C928" s="3204"/>
      <c r="D928" s="3100" t="s">
        <v>4115</v>
      </c>
      <c r="E928" s="3100" t="s">
        <v>463</v>
      </c>
      <c r="F928" s="3101">
        <v>52.23</v>
      </c>
      <c r="G928" s="3102" t="s">
        <v>3188</v>
      </c>
    </row>
    <row r="929" spans="1:7" ht="15" thickBot="1">
      <c r="A929" s="3099">
        <v>1596</v>
      </c>
      <c r="B929" s="3203" t="s">
        <v>3334</v>
      </c>
      <c r="C929" s="3204"/>
      <c r="D929" s="3100" t="s">
        <v>4116</v>
      </c>
      <c r="E929" s="3100" t="s">
        <v>463</v>
      </c>
      <c r="F929" s="3101">
        <v>51.66</v>
      </c>
      <c r="G929" s="3102" t="s">
        <v>3188</v>
      </c>
    </row>
    <row r="930" spans="1:7" ht="15" thickBot="1">
      <c r="A930" s="3099">
        <v>1597</v>
      </c>
      <c r="B930" s="3203" t="s">
        <v>3334</v>
      </c>
      <c r="C930" s="3204"/>
      <c r="D930" s="3100" t="s">
        <v>4117</v>
      </c>
      <c r="E930" s="3100" t="s">
        <v>463</v>
      </c>
      <c r="F930" s="3101">
        <v>51.48</v>
      </c>
      <c r="G930" s="3102" t="s">
        <v>3188</v>
      </c>
    </row>
    <row r="931" spans="1:7" ht="15" thickBot="1">
      <c r="A931" s="3099">
        <v>1598</v>
      </c>
      <c r="B931" s="3203" t="s">
        <v>3334</v>
      </c>
      <c r="C931" s="3204"/>
      <c r="D931" s="3100" t="s">
        <v>4118</v>
      </c>
      <c r="E931" s="3100" t="s">
        <v>463</v>
      </c>
      <c r="F931" s="3101">
        <v>52.23</v>
      </c>
      <c r="G931" s="3102" t="s">
        <v>3188</v>
      </c>
    </row>
    <row r="932" spans="1:7" ht="15" thickBot="1">
      <c r="A932" s="3099">
        <v>1599</v>
      </c>
      <c r="B932" s="3203" t="s">
        <v>3334</v>
      </c>
      <c r="C932" s="3204"/>
      <c r="D932" s="3100" t="s">
        <v>4119</v>
      </c>
      <c r="E932" s="3100" t="s">
        <v>463</v>
      </c>
      <c r="F932" s="3101">
        <v>52.23</v>
      </c>
      <c r="G932" s="3102" t="s">
        <v>3188</v>
      </c>
    </row>
    <row r="933" spans="1:7" ht="15" thickBot="1">
      <c r="A933" s="3099">
        <v>1600</v>
      </c>
      <c r="B933" s="3203" t="s">
        <v>3334</v>
      </c>
      <c r="C933" s="3204"/>
      <c r="D933" s="3100" t="s">
        <v>4120</v>
      </c>
      <c r="E933" s="3100" t="s">
        <v>463</v>
      </c>
      <c r="F933" s="3101">
        <v>51.66</v>
      </c>
      <c r="G933" s="3102" t="s">
        <v>3188</v>
      </c>
    </row>
    <row r="934" spans="1:7" ht="15" thickBot="1">
      <c r="A934" s="3099">
        <v>1601</v>
      </c>
      <c r="B934" s="3203" t="s">
        <v>3334</v>
      </c>
      <c r="C934" s="3204"/>
      <c r="D934" s="3100" t="s">
        <v>4121</v>
      </c>
      <c r="E934" s="3100" t="s">
        <v>463</v>
      </c>
      <c r="F934" s="3101">
        <v>51.48</v>
      </c>
      <c r="G934" s="3102" t="s">
        <v>3188</v>
      </c>
    </row>
    <row r="935" spans="1:7" ht="15" thickBot="1">
      <c r="A935" s="3099">
        <v>1602</v>
      </c>
      <c r="B935" s="3203" t="s">
        <v>3334</v>
      </c>
      <c r="C935" s="3204"/>
      <c r="D935" s="3100" t="s">
        <v>4122</v>
      </c>
      <c r="E935" s="3100" t="s">
        <v>463</v>
      </c>
      <c r="F935" s="3101">
        <v>52.23</v>
      </c>
      <c r="G935" s="3102" t="s">
        <v>3188</v>
      </c>
    </row>
    <row r="936" spans="1:7" ht="15" thickBot="1">
      <c r="A936" s="3099">
        <v>1603</v>
      </c>
      <c r="B936" s="3203" t="s">
        <v>3334</v>
      </c>
      <c r="C936" s="3204"/>
      <c r="D936" s="3100" t="s">
        <v>4123</v>
      </c>
      <c r="E936" s="3100" t="s">
        <v>463</v>
      </c>
      <c r="F936" s="3101">
        <v>52.23</v>
      </c>
      <c r="G936" s="3102" t="s">
        <v>3188</v>
      </c>
    </row>
    <row r="937" spans="1:7" ht="15" thickBot="1">
      <c r="A937" s="3099">
        <v>1604</v>
      </c>
      <c r="B937" s="3203" t="s">
        <v>3334</v>
      </c>
      <c r="C937" s="3204"/>
      <c r="D937" s="3100" t="s">
        <v>4124</v>
      </c>
      <c r="E937" s="3100" t="s">
        <v>463</v>
      </c>
      <c r="F937" s="3101">
        <v>51.66</v>
      </c>
      <c r="G937" s="3102" t="s">
        <v>3188</v>
      </c>
    </row>
    <row r="938" spans="1:7" ht="15" thickBot="1">
      <c r="A938" s="3099">
        <v>1605</v>
      </c>
      <c r="B938" s="3203" t="s">
        <v>3334</v>
      </c>
      <c r="C938" s="3204"/>
      <c r="D938" s="3100" t="s">
        <v>4125</v>
      </c>
      <c r="E938" s="3100" t="s">
        <v>463</v>
      </c>
      <c r="F938" s="3101">
        <v>51.48</v>
      </c>
      <c r="G938" s="3102" t="s">
        <v>3188</v>
      </c>
    </row>
    <row r="939" spans="1:7" ht="15" thickBot="1">
      <c r="A939" s="3099">
        <v>1606</v>
      </c>
      <c r="B939" s="3203" t="s">
        <v>3334</v>
      </c>
      <c r="C939" s="3204"/>
      <c r="D939" s="3100" t="s">
        <v>4126</v>
      </c>
      <c r="E939" s="3100" t="s">
        <v>463</v>
      </c>
      <c r="F939" s="3101">
        <v>52.23</v>
      </c>
      <c r="G939" s="3102" t="s">
        <v>3188</v>
      </c>
    </row>
    <row r="940" spans="1:7" ht="15" thickBot="1">
      <c r="A940" s="3099">
        <v>1607</v>
      </c>
      <c r="B940" s="3203" t="s">
        <v>3334</v>
      </c>
      <c r="C940" s="3204"/>
      <c r="D940" s="3100" t="s">
        <v>4127</v>
      </c>
      <c r="E940" s="3100" t="s">
        <v>463</v>
      </c>
      <c r="F940" s="3101">
        <v>52.23</v>
      </c>
      <c r="G940" s="3102" t="s">
        <v>3188</v>
      </c>
    </row>
    <row r="941" spans="1:7" ht="15" thickBot="1">
      <c r="A941" s="3099">
        <v>1608</v>
      </c>
      <c r="B941" s="3203" t="s">
        <v>3334</v>
      </c>
      <c r="C941" s="3204"/>
      <c r="D941" s="3100" t="s">
        <v>4128</v>
      </c>
      <c r="E941" s="3100" t="s">
        <v>463</v>
      </c>
      <c r="F941" s="3101">
        <v>51.66</v>
      </c>
      <c r="G941" s="3102" t="s">
        <v>3188</v>
      </c>
    </row>
    <row r="942" spans="1:7" ht="15" thickBot="1">
      <c r="A942" s="3099">
        <v>1609</v>
      </c>
      <c r="B942" s="3203" t="s">
        <v>3334</v>
      </c>
      <c r="C942" s="3204"/>
      <c r="D942" s="3100" t="s">
        <v>4129</v>
      </c>
      <c r="E942" s="3100" t="s">
        <v>463</v>
      </c>
      <c r="F942" s="3101">
        <v>51.48</v>
      </c>
      <c r="G942" s="3102" t="s">
        <v>3188</v>
      </c>
    </row>
    <row r="943" spans="1:7" ht="15" thickBot="1">
      <c r="A943" s="3099">
        <v>1610</v>
      </c>
      <c r="B943" s="3203" t="s">
        <v>3334</v>
      </c>
      <c r="C943" s="3204"/>
      <c r="D943" s="3100" t="s">
        <v>4130</v>
      </c>
      <c r="E943" s="3100" t="s">
        <v>463</v>
      </c>
      <c r="F943" s="3101">
        <v>52.23</v>
      </c>
      <c r="G943" s="3102" t="s">
        <v>3188</v>
      </c>
    </row>
    <row r="944" spans="1:7" ht="15" thickBot="1">
      <c r="A944" s="3099">
        <v>1611</v>
      </c>
      <c r="B944" s="3203" t="s">
        <v>3334</v>
      </c>
      <c r="C944" s="3204"/>
      <c r="D944" s="3100" t="s">
        <v>4131</v>
      </c>
      <c r="E944" s="3100" t="s">
        <v>463</v>
      </c>
      <c r="F944" s="3101">
        <v>52.23</v>
      </c>
      <c r="G944" s="3102" t="s">
        <v>3188</v>
      </c>
    </row>
    <row r="945" spans="1:7" ht="15" thickBot="1">
      <c r="A945" s="3099">
        <v>1612</v>
      </c>
      <c r="B945" s="3203" t="s">
        <v>3334</v>
      </c>
      <c r="C945" s="3204"/>
      <c r="D945" s="3100" t="s">
        <v>4132</v>
      </c>
      <c r="E945" s="3100" t="s">
        <v>463</v>
      </c>
      <c r="F945" s="3101">
        <v>51.66</v>
      </c>
      <c r="G945" s="3102" t="s">
        <v>3188</v>
      </c>
    </row>
    <row r="946" spans="1:7" ht="15" thickBot="1">
      <c r="A946" s="3099">
        <v>1613</v>
      </c>
      <c r="B946" s="3203" t="s">
        <v>3334</v>
      </c>
      <c r="C946" s="3204"/>
      <c r="D946" s="3100" t="s">
        <v>4133</v>
      </c>
      <c r="E946" s="3100" t="s">
        <v>463</v>
      </c>
      <c r="F946" s="3101">
        <v>51.48</v>
      </c>
      <c r="G946" s="3102" t="s">
        <v>3188</v>
      </c>
    </row>
    <row r="947" spans="1:7" ht="15" thickBot="1">
      <c r="A947" s="3099">
        <v>1614</v>
      </c>
      <c r="B947" s="3203" t="s">
        <v>3334</v>
      </c>
      <c r="C947" s="3204"/>
      <c r="D947" s="3100" t="s">
        <v>4134</v>
      </c>
      <c r="E947" s="3100" t="s">
        <v>463</v>
      </c>
      <c r="F947" s="3101">
        <v>52.23</v>
      </c>
      <c r="G947" s="3102" t="s">
        <v>3188</v>
      </c>
    </row>
    <row r="948" spans="1:7" ht="15" thickBot="1">
      <c r="A948" s="3099">
        <v>1615</v>
      </c>
      <c r="B948" s="3203" t="s">
        <v>3334</v>
      </c>
      <c r="C948" s="3204"/>
      <c r="D948" s="3100" t="s">
        <v>4135</v>
      </c>
      <c r="E948" s="3100" t="s">
        <v>463</v>
      </c>
      <c r="F948" s="3101">
        <v>52.23</v>
      </c>
      <c r="G948" s="3102" t="s">
        <v>3188</v>
      </c>
    </row>
    <row r="949" spans="1:7" ht="15" thickBot="1">
      <c r="A949" s="3099">
        <v>1616</v>
      </c>
      <c r="B949" s="3203" t="s">
        <v>3334</v>
      </c>
      <c r="C949" s="3204"/>
      <c r="D949" s="3100" t="s">
        <v>4136</v>
      </c>
      <c r="E949" s="3100" t="s">
        <v>463</v>
      </c>
      <c r="F949" s="3101">
        <v>51.66</v>
      </c>
      <c r="G949" s="3102" t="s">
        <v>3188</v>
      </c>
    </row>
    <row r="950" spans="1:7" ht="15" thickBot="1">
      <c r="A950" s="3099">
        <v>1617</v>
      </c>
      <c r="B950" s="3203" t="s">
        <v>3334</v>
      </c>
      <c r="C950" s="3204"/>
      <c r="D950" s="3100" t="s">
        <v>4137</v>
      </c>
      <c r="E950" s="3100" t="s">
        <v>463</v>
      </c>
      <c r="F950" s="3101">
        <v>51.48</v>
      </c>
      <c r="G950" s="3102" t="s">
        <v>3188</v>
      </c>
    </row>
    <row r="951" spans="1:7" ht="15" thickBot="1">
      <c r="A951" s="3099">
        <v>1618</v>
      </c>
      <c r="B951" s="3203" t="s">
        <v>3334</v>
      </c>
      <c r="C951" s="3204"/>
      <c r="D951" s="3100" t="s">
        <v>4138</v>
      </c>
      <c r="E951" s="3100" t="s">
        <v>463</v>
      </c>
      <c r="F951" s="3101">
        <v>52.23</v>
      </c>
      <c r="G951" s="3102" t="s">
        <v>3188</v>
      </c>
    </row>
    <row r="952" spans="1:7" ht="15" thickBot="1">
      <c r="A952" s="3099">
        <v>1619</v>
      </c>
      <c r="B952" s="3203" t="s">
        <v>3334</v>
      </c>
      <c r="C952" s="3204"/>
      <c r="D952" s="3100" t="s">
        <v>4139</v>
      </c>
      <c r="E952" s="3100" t="s">
        <v>463</v>
      </c>
      <c r="F952" s="3101">
        <v>52.23</v>
      </c>
      <c r="G952" s="3102" t="s">
        <v>3188</v>
      </c>
    </row>
    <row r="953" spans="1:7" ht="15" thickBot="1">
      <c r="A953" s="3099">
        <v>1620</v>
      </c>
      <c r="B953" s="3203" t="s">
        <v>3334</v>
      </c>
      <c r="C953" s="3204"/>
      <c r="D953" s="3100" t="s">
        <v>4140</v>
      </c>
      <c r="E953" s="3100" t="s">
        <v>463</v>
      </c>
      <c r="F953" s="3101">
        <v>51.66</v>
      </c>
      <c r="G953" s="3102" t="s">
        <v>3188</v>
      </c>
    </row>
    <row r="954" spans="1:7" ht="15" thickBot="1">
      <c r="A954" s="3099">
        <v>1621</v>
      </c>
      <c r="B954" s="3203" t="s">
        <v>3334</v>
      </c>
      <c r="C954" s="3204"/>
      <c r="D954" s="3100" t="s">
        <v>4141</v>
      </c>
      <c r="E954" s="3100" t="s">
        <v>463</v>
      </c>
      <c r="F954" s="3101">
        <v>51.48</v>
      </c>
      <c r="G954" s="3102" t="s">
        <v>3188</v>
      </c>
    </row>
    <row r="955" spans="1:7" ht="15" thickBot="1">
      <c r="A955" s="3099">
        <v>1622</v>
      </c>
      <c r="B955" s="3203" t="s">
        <v>3334</v>
      </c>
      <c r="C955" s="3204"/>
      <c r="D955" s="3100" t="s">
        <v>4142</v>
      </c>
      <c r="E955" s="3100" t="s">
        <v>463</v>
      </c>
      <c r="F955" s="3101">
        <v>52.23</v>
      </c>
      <c r="G955" s="3102" t="s">
        <v>3188</v>
      </c>
    </row>
    <row r="956" spans="1:7" ht="15" thickBot="1">
      <c r="A956" s="3099">
        <v>1623</v>
      </c>
      <c r="B956" s="3203" t="s">
        <v>3334</v>
      </c>
      <c r="C956" s="3204"/>
      <c r="D956" s="3100" t="s">
        <v>4143</v>
      </c>
      <c r="E956" s="3100" t="s">
        <v>463</v>
      </c>
      <c r="F956" s="3101">
        <v>52.23</v>
      </c>
      <c r="G956" s="3102" t="s">
        <v>3188</v>
      </c>
    </row>
    <row r="957" spans="1:7" ht="15" thickBot="1">
      <c r="A957" s="3099">
        <v>1624</v>
      </c>
      <c r="B957" s="3203" t="s">
        <v>3334</v>
      </c>
      <c r="C957" s="3204"/>
      <c r="D957" s="3100" t="s">
        <v>4144</v>
      </c>
      <c r="E957" s="3100" t="s">
        <v>463</v>
      </c>
      <c r="F957" s="3101">
        <v>51.66</v>
      </c>
      <c r="G957" s="3102" t="s">
        <v>3188</v>
      </c>
    </row>
    <row r="958" spans="1:7" ht="15" thickBot="1">
      <c r="A958" s="3099">
        <v>1625</v>
      </c>
      <c r="B958" s="3203" t="s">
        <v>3334</v>
      </c>
      <c r="C958" s="3204"/>
      <c r="D958" s="3100" t="s">
        <v>4145</v>
      </c>
      <c r="E958" s="3100" t="s">
        <v>463</v>
      </c>
      <c r="F958" s="3101">
        <v>51.59</v>
      </c>
      <c r="G958" s="3102" t="s">
        <v>3188</v>
      </c>
    </row>
    <row r="959" spans="1:7" ht="15" thickBot="1">
      <c r="A959" s="3099">
        <v>1626</v>
      </c>
      <c r="B959" s="3203" t="s">
        <v>3334</v>
      </c>
      <c r="C959" s="3204"/>
      <c r="D959" s="3100" t="s">
        <v>4146</v>
      </c>
      <c r="E959" s="3100" t="s">
        <v>463</v>
      </c>
      <c r="F959" s="3101">
        <v>52.23</v>
      </c>
      <c r="G959" s="3102" t="s">
        <v>3188</v>
      </c>
    </row>
    <row r="960" spans="1:7" ht="15" thickBot="1">
      <c r="A960" s="3099">
        <v>1627</v>
      </c>
      <c r="B960" s="3203" t="s">
        <v>3334</v>
      </c>
      <c r="C960" s="3204"/>
      <c r="D960" s="3100" t="s">
        <v>4147</v>
      </c>
      <c r="E960" s="3100" t="s">
        <v>463</v>
      </c>
      <c r="F960" s="3101">
        <v>52.23</v>
      </c>
      <c r="G960" s="3102" t="s">
        <v>3188</v>
      </c>
    </row>
    <row r="961" spans="1:7" ht="15" thickBot="1">
      <c r="A961" s="3099">
        <v>1628</v>
      </c>
      <c r="B961" s="3203" t="s">
        <v>3334</v>
      </c>
      <c r="C961" s="3204"/>
      <c r="D961" s="3100" t="s">
        <v>4148</v>
      </c>
      <c r="E961" s="3100" t="s">
        <v>463</v>
      </c>
      <c r="F961" s="3101">
        <v>51.55</v>
      </c>
      <c r="G961" s="3102" t="s">
        <v>3188</v>
      </c>
    </row>
    <row r="962" spans="1:7" ht="15" thickBot="1">
      <c r="A962" s="3099">
        <v>1629</v>
      </c>
      <c r="B962" s="3203" t="s">
        <v>3334</v>
      </c>
      <c r="C962" s="3204"/>
      <c r="D962" s="3100" t="s">
        <v>4149</v>
      </c>
      <c r="E962" s="3100" t="s">
        <v>463</v>
      </c>
      <c r="F962" s="3101">
        <v>51.59</v>
      </c>
      <c r="G962" s="3102" t="s">
        <v>3188</v>
      </c>
    </row>
    <row r="963" spans="1:7" ht="15" thickBot="1">
      <c r="A963" s="3099">
        <v>1630</v>
      </c>
      <c r="B963" s="3203" t="s">
        <v>3334</v>
      </c>
      <c r="C963" s="3204"/>
      <c r="D963" s="3100" t="s">
        <v>4150</v>
      </c>
      <c r="E963" s="3100" t="s">
        <v>463</v>
      </c>
      <c r="F963" s="3101">
        <v>52.12</v>
      </c>
      <c r="G963" s="3102" t="s">
        <v>3188</v>
      </c>
    </row>
    <row r="964" spans="1:7" ht="15" thickBot="1">
      <c r="A964" s="3099">
        <v>1631</v>
      </c>
      <c r="B964" s="3203" t="s">
        <v>3334</v>
      </c>
      <c r="C964" s="3204"/>
      <c r="D964" s="3100" t="s">
        <v>4151</v>
      </c>
      <c r="E964" s="3100" t="s">
        <v>463</v>
      </c>
      <c r="F964" s="3101">
        <v>80.45</v>
      </c>
      <c r="G964" s="3102" t="s">
        <v>3188</v>
      </c>
    </row>
    <row r="965" spans="1:7" ht="15" thickBot="1">
      <c r="A965" s="3099">
        <v>1632</v>
      </c>
      <c r="B965" s="3203" t="s">
        <v>3334</v>
      </c>
      <c r="C965" s="3204"/>
      <c r="D965" s="3100" t="s">
        <v>4152</v>
      </c>
      <c r="E965" s="3100" t="s">
        <v>463</v>
      </c>
      <c r="F965" s="3101">
        <v>51.59</v>
      </c>
      <c r="G965" s="3102" t="s">
        <v>3188</v>
      </c>
    </row>
    <row r="966" spans="1:7" ht="15" thickBot="1">
      <c r="A966" s="3099">
        <v>1633</v>
      </c>
      <c r="B966" s="3203" t="s">
        <v>3334</v>
      </c>
      <c r="C966" s="3204"/>
      <c r="D966" s="3100" t="s">
        <v>4153</v>
      </c>
      <c r="E966" s="3100" t="s">
        <v>463</v>
      </c>
      <c r="F966" s="3101">
        <v>52.23</v>
      </c>
      <c r="G966" s="3102" t="s">
        <v>3188</v>
      </c>
    </row>
    <row r="967" spans="1:7" ht="15" thickBot="1">
      <c r="A967" s="3099">
        <v>1634</v>
      </c>
      <c r="B967" s="3203" t="s">
        <v>3334</v>
      </c>
      <c r="C967" s="3204"/>
      <c r="D967" s="3100" t="s">
        <v>4154</v>
      </c>
      <c r="E967" s="3100" t="s">
        <v>463</v>
      </c>
      <c r="F967" s="3101">
        <v>52.23</v>
      </c>
      <c r="G967" s="3102" t="s">
        <v>3188</v>
      </c>
    </row>
    <row r="968" spans="1:7" ht="15" thickBot="1">
      <c r="A968" s="3099">
        <v>1635</v>
      </c>
      <c r="B968" s="3203" t="s">
        <v>3334</v>
      </c>
      <c r="C968" s="3204"/>
      <c r="D968" s="3100" t="s">
        <v>4155</v>
      </c>
      <c r="E968" s="3100" t="s">
        <v>463</v>
      </c>
      <c r="F968" s="3101">
        <v>51.55</v>
      </c>
      <c r="G968" s="3102" t="s">
        <v>3188</v>
      </c>
    </row>
    <row r="969" spans="1:7" ht="15" thickBot="1">
      <c r="A969" s="3099">
        <v>1636</v>
      </c>
      <c r="B969" s="3203" t="s">
        <v>3334</v>
      </c>
      <c r="C969" s="3204"/>
      <c r="D969" s="3100" t="s">
        <v>4156</v>
      </c>
      <c r="E969" s="3100" t="s">
        <v>463</v>
      </c>
      <c r="F969" s="3101">
        <v>51.59</v>
      </c>
      <c r="G969" s="3102" t="s">
        <v>3188</v>
      </c>
    </row>
    <row r="970" spans="1:7" ht="15" thickBot="1">
      <c r="A970" s="3099">
        <v>1637</v>
      </c>
      <c r="B970" s="3203" t="s">
        <v>3334</v>
      </c>
      <c r="C970" s="3204"/>
      <c r="D970" s="3100" t="s">
        <v>4157</v>
      </c>
      <c r="E970" s="3100" t="s">
        <v>463</v>
      </c>
      <c r="F970" s="3101">
        <v>52.23</v>
      </c>
      <c r="G970" s="3102" t="s">
        <v>3188</v>
      </c>
    </row>
    <row r="971" spans="1:7" ht="15" thickBot="1">
      <c r="A971" s="3099">
        <v>1638</v>
      </c>
      <c r="B971" s="3203" t="s">
        <v>3334</v>
      </c>
      <c r="C971" s="3204"/>
      <c r="D971" s="3100" t="s">
        <v>4158</v>
      </c>
      <c r="E971" s="3100" t="s">
        <v>463</v>
      </c>
      <c r="F971" s="3101">
        <v>52.23</v>
      </c>
      <c r="G971" s="3102" t="s">
        <v>3188</v>
      </c>
    </row>
    <row r="972" spans="1:7" ht="15" thickBot="1">
      <c r="A972" s="3099">
        <v>1639</v>
      </c>
      <c r="B972" s="3203" t="s">
        <v>3334</v>
      </c>
      <c r="C972" s="3204"/>
      <c r="D972" s="3100" t="s">
        <v>4159</v>
      </c>
      <c r="E972" s="3100" t="s">
        <v>463</v>
      </c>
      <c r="F972" s="3101">
        <v>51.55</v>
      </c>
      <c r="G972" s="3102" t="s">
        <v>3188</v>
      </c>
    </row>
    <row r="973" spans="1:7" ht="15" thickBot="1">
      <c r="A973" s="3099">
        <v>1640</v>
      </c>
      <c r="B973" s="3203" t="s">
        <v>3334</v>
      </c>
      <c r="C973" s="3204"/>
      <c r="D973" s="3100" t="s">
        <v>4160</v>
      </c>
      <c r="E973" s="3100" t="s">
        <v>463</v>
      </c>
      <c r="F973" s="3101">
        <v>51.59</v>
      </c>
      <c r="G973" s="3102" t="s">
        <v>3188</v>
      </c>
    </row>
    <row r="974" spans="1:7" ht="15" thickBot="1">
      <c r="A974" s="3099">
        <v>1641</v>
      </c>
      <c r="B974" s="3203" t="s">
        <v>3334</v>
      </c>
      <c r="C974" s="3204"/>
      <c r="D974" s="3100" t="s">
        <v>4161</v>
      </c>
      <c r="E974" s="3100" t="s">
        <v>463</v>
      </c>
      <c r="F974" s="3101">
        <v>52.23</v>
      </c>
      <c r="G974" s="3102" t="s">
        <v>3188</v>
      </c>
    </row>
    <row r="975" spans="1:7" ht="15" thickBot="1">
      <c r="A975" s="3099">
        <v>1642</v>
      </c>
      <c r="B975" s="3203" t="s">
        <v>3334</v>
      </c>
      <c r="C975" s="3204"/>
      <c r="D975" s="3100" t="s">
        <v>4162</v>
      </c>
      <c r="E975" s="3100" t="s">
        <v>463</v>
      </c>
      <c r="F975" s="3101">
        <v>52.23</v>
      </c>
      <c r="G975" s="3102" t="s">
        <v>3188</v>
      </c>
    </row>
    <row r="976" spans="1:7" ht="15" thickBot="1">
      <c r="A976" s="3099">
        <v>1643</v>
      </c>
      <c r="B976" s="3203" t="s">
        <v>3334</v>
      </c>
      <c r="C976" s="3204"/>
      <c r="D976" s="3100" t="s">
        <v>4163</v>
      </c>
      <c r="E976" s="3100" t="s">
        <v>463</v>
      </c>
      <c r="F976" s="3101">
        <v>51.55</v>
      </c>
      <c r="G976" s="3102" t="s">
        <v>3188</v>
      </c>
    </row>
    <row r="977" spans="1:7" ht="15" thickBot="1">
      <c r="A977" s="3099">
        <v>1644</v>
      </c>
      <c r="B977" s="3203" t="s">
        <v>3334</v>
      </c>
      <c r="C977" s="3204"/>
      <c r="D977" s="3100" t="s">
        <v>4164</v>
      </c>
      <c r="E977" s="3100" t="s">
        <v>463</v>
      </c>
      <c r="F977" s="3101">
        <v>51.59</v>
      </c>
      <c r="G977" s="3102" t="s">
        <v>3188</v>
      </c>
    </row>
    <row r="978" spans="1:7" ht="15" thickBot="1">
      <c r="A978" s="3099">
        <v>1645</v>
      </c>
      <c r="B978" s="3203" t="s">
        <v>3334</v>
      </c>
      <c r="C978" s="3204"/>
      <c r="D978" s="3100" t="s">
        <v>4165</v>
      </c>
      <c r="E978" s="3100" t="s">
        <v>463</v>
      </c>
      <c r="F978" s="3101">
        <v>52.23</v>
      </c>
      <c r="G978" s="3102" t="s">
        <v>3188</v>
      </c>
    </row>
    <row r="979" spans="1:7" ht="15" thickBot="1">
      <c r="A979" s="3099">
        <v>1646</v>
      </c>
      <c r="B979" s="3203" t="s">
        <v>3334</v>
      </c>
      <c r="C979" s="3204"/>
      <c r="D979" s="3100" t="s">
        <v>4166</v>
      </c>
      <c r="E979" s="3100" t="s">
        <v>463</v>
      </c>
      <c r="F979" s="3101">
        <v>52.23</v>
      </c>
      <c r="G979" s="3102" t="s">
        <v>3188</v>
      </c>
    </row>
    <row r="980" spans="1:7" ht="15" thickBot="1">
      <c r="A980" s="3099">
        <v>1647</v>
      </c>
      <c r="B980" s="3203" t="s">
        <v>3334</v>
      </c>
      <c r="C980" s="3204"/>
      <c r="D980" s="3100" t="s">
        <v>4167</v>
      </c>
      <c r="E980" s="3100" t="s">
        <v>463</v>
      </c>
      <c r="F980" s="3101">
        <v>51.55</v>
      </c>
      <c r="G980" s="3102" t="s">
        <v>3188</v>
      </c>
    </row>
    <row r="981" spans="1:7" ht="15" thickBot="1">
      <c r="A981" s="3099">
        <v>1648</v>
      </c>
      <c r="B981" s="3203" t="s">
        <v>3334</v>
      </c>
      <c r="C981" s="3204"/>
      <c r="D981" s="3100" t="s">
        <v>4168</v>
      </c>
      <c r="E981" s="3100" t="s">
        <v>463</v>
      </c>
      <c r="F981" s="3101">
        <v>51.59</v>
      </c>
      <c r="G981" s="3102" t="s">
        <v>3188</v>
      </c>
    </row>
    <row r="982" spans="1:7" ht="15" thickBot="1">
      <c r="A982" s="3099">
        <v>1649</v>
      </c>
      <c r="B982" s="3203" t="s">
        <v>3334</v>
      </c>
      <c r="C982" s="3204"/>
      <c r="D982" s="3100" t="s">
        <v>4169</v>
      </c>
      <c r="E982" s="3100" t="s">
        <v>463</v>
      </c>
      <c r="F982" s="3101">
        <v>52.23</v>
      </c>
      <c r="G982" s="3102" t="s">
        <v>3188</v>
      </c>
    </row>
    <row r="983" spans="1:7" ht="15" thickBot="1">
      <c r="A983" s="3099">
        <v>1650</v>
      </c>
      <c r="B983" s="3203" t="s">
        <v>3334</v>
      </c>
      <c r="C983" s="3204"/>
      <c r="D983" s="3100" t="s">
        <v>4170</v>
      </c>
      <c r="E983" s="3100" t="s">
        <v>463</v>
      </c>
      <c r="F983" s="3101">
        <v>52.23</v>
      </c>
      <c r="G983" s="3102" t="s">
        <v>3188</v>
      </c>
    </row>
    <row r="984" spans="1:7" ht="15" thickBot="1">
      <c r="A984" s="3099">
        <v>1651</v>
      </c>
      <c r="B984" s="3203" t="s">
        <v>3334</v>
      </c>
      <c r="C984" s="3204"/>
      <c r="D984" s="3100" t="s">
        <v>4171</v>
      </c>
      <c r="E984" s="3100" t="s">
        <v>463</v>
      </c>
      <c r="F984" s="3101">
        <v>51.55</v>
      </c>
      <c r="G984" s="3102" t="s">
        <v>3188</v>
      </c>
    </row>
    <row r="985" spans="1:7" ht="15" thickBot="1">
      <c r="A985" s="3099">
        <v>1652</v>
      </c>
      <c r="B985" s="3203" t="s">
        <v>3334</v>
      </c>
      <c r="C985" s="3204"/>
      <c r="D985" s="3100" t="s">
        <v>4172</v>
      </c>
      <c r="E985" s="3100" t="s">
        <v>463</v>
      </c>
      <c r="F985" s="3101">
        <v>51.59</v>
      </c>
      <c r="G985" s="3102" t="s">
        <v>3188</v>
      </c>
    </row>
    <row r="986" spans="1:7" ht="15" thickBot="1">
      <c r="A986" s="3099">
        <v>1653</v>
      </c>
      <c r="B986" s="3203" t="s">
        <v>3334</v>
      </c>
      <c r="C986" s="3204"/>
      <c r="D986" s="3100" t="s">
        <v>4173</v>
      </c>
      <c r="E986" s="3100" t="s">
        <v>463</v>
      </c>
      <c r="F986" s="3101">
        <v>52.23</v>
      </c>
      <c r="G986" s="3102" t="s">
        <v>3188</v>
      </c>
    </row>
    <row r="987" spans="1:7" ht="15" thickBot="1">
      <c r="A987" s="3099">
        <v>1654</v>
      </c>
      <c r="B987" s="3203" t="s">
        <v>3334</v>
      </c>
      <c r="C987" s="3204"/>
      <c r="D987" s="3100" t="s">
        <v>4174</v>
      </c>
      <c r="E987" s="3100" t="s">
        <v>463</v>
      </c>
      <c r="F987" s="3101">
        <v>52.23</v>
      </c>
      <c r="G987" s="3102" t="s">
        <v>3188</v>
      </c>
    </row>
    <row r="988" spans="1:7" ht="15" thickBot="1">
      <c r="A988" s="3099">
        <v>1655</v>
      </c>
      <c r="B988" s="3203" t="s">
        <v>3334</v>
      </c>
      <c r="C988" s="3204"/>
      <c r="D988" s="3100" t="s">
        <v>4175</v>
      </c>
      <c r="E988" s="3100" t="s">
        <v>463</v>
      </c>
      <c r="F988" s="3101">
        <v>51.55</v>
      </c>
      <c r="G988" s="3102" t="s">
        <v>3188</v>
      </c>
    </row>
    <row r="989" spans="1:7" ht="15" thickBot="1">
      <c r="A989" s="3099">
        <v>1656</v>
      </c>
      <c r="B989" s="3203" t="s">
        <v>3334</v>
      </c>
      <c r="C989" s="3204"/>
      <c r="D989" s="3100" t="s">
        <v>4176</v>
      </c>
      <c r="E989" s="3100" t="s">
        <v>463</v>
      </c>
      <c r="F989" s="3101">
        <v>51.59</v>
      </c>
      <c r="G989" s="3102" t="s">
        <v>3188</v>
      </c>
    </row>
    <row r="990" spans="1:7" ht="15" thickBot="1">
      <c r="A990" s="3099">
        <v>1657</v>
      </c>
      <c r="B990" s="3203" t="s">
        <v>3334</v>
      </c>
      <c r="C990" s="3204"/>
      <c r="D990" s="3100" t="s">
        <v>4177</v>
      </c>
      <c r="E990" s="3100" t="s">
        <v>463</v>
      </c>
      <c r="F990" s="3101">
        <v>52.23</v>
      </c>
      <c r="G990" s="3102" t="s">
        <v>3188</v>
      </c>
    </row>
    <row r="991" spans="1:7" ht="15" thickBot="1">
      <c r="A991" s="3099">
        <v>1658</v>
      </c>
      <c r="B991" s="3203" t="s">
        <v>3334</v>
      </c>
      <c r="C991" s="3204"/>
      <c r="D991" s="3100" t="s">
        <v>4178</v>
      </c>
      <c r="E991" s="3100" t="s">
        <v>463</v>
      </c>
      <c r="F991" s="3101">
        <v>52.23</v>
      </c>
      <c r="G991" s="3102" t="s">
        <v>3188</v>
      </c>
    </row>
    <row r="992" spans="1:7" ht="15" thickBot="1">
      <c r="A992" s="3099">
        <v>1659</v>
      </c>
      <c r="B992" s="3203" t="s">
        <v>3334</v>
      </c>
      <c r="C992" s="3204"/>
      <c r="D992" s="3100" t="s">
        <v>4179</v>
      </c>
      <c r="E992" s="3100" t="s">
        <v>463</v>
      </c>
      <c r="F992" s="3101">
        <v>51.55</v>
      </c>
      <c r="G992" s="3102" t="s">
        <v>3188</v>
      </c>
    </row>
    <row r="993" spans="1:7" ht="15" thickBot="1">
      <c r="A993" s="3099">
        <v>1660</v>
      </c>
      <c r="B993" s="3203" t="s">
        <v>3334</v>
      </c>
      <c r="C993" s="3204"/>
      <c r="D993" s="3100" t="s">
        <v>4180</v>
      </c>
      <c r="E993" s="3100" t="s">
        <v>463</v>
      </c>
      <c r="F993" s="3101">
        <v>51.59</v>
      </c>
      <c r="G993" s="3102" t="s">
        <v>3188</v>
      </c>
    </row>
    <row r="994" spans="1:7" ht="15" thickBot="1">
      <c r="A994" s="3099">
        <v>1661</v>
      </c>
      <c r="B994" s="3203" t="s">
        <v>3334</v>
      </c>
      <c r="C994" s="3204"/>
      <c r="D994" s="3100" t="s">
        <v>4181</v>
      </c>
      <c r="E994" s="3100" t="s">
        <v>463</v>
      </c>
      <c r="F994" s="3101">
        <v>52.23</v>
      </c>
      <c r="G994" s="3102" t="s">
        <v>3188</v>
      </c>
    </row>
    <row r="995" spans="1:7" ht="15" thickBot="1">
      <c r="A995" s="3099">
        <v>1662</v>
      </c>
      <c r="B995" s="3203" t="s">
        <v>3334</v>
      </c>
      <c r="C995" s="3204"/>
      <c r="D995" s="3100" t="s">
        <v>4182</v>
      </c>
      <c r="E995" s="3100" t="s">
        <v>463</v>
      </c>
      <c r="F995" s="3101">
        <v>52.23</v>
      </c>
      <c r="G995" s="3102" t="s">
        <v>3188</v>
      </c>
    </row>
    <row r="996" spans="1:7" ht="15" thickBot="1">
      <c r="A996" s="3099">
        <v>1663</v>
      </c>
      <c r="B996" s="3203" t="s">
        <v>3334</v>
      </c>
      <c r="C996" s="3204"/>
      <c r="D996" s="3100" t="s">
        <v>4183</v>
      </c>
      <c r="E996" s="3100" t="s">
        <v>463</v>
      </c>
      <c r="F996" s="3101">
        <v>51.55</v>
      </c>
      <c r="G996" s="3102" t="s">
        <v>3188</v>
      </c>
    </row>
    <row r="997" spans="1:7" ht="15" thickBot="1">
      <c r="A997" s="3099">
        <v>1664</v>
      </c>
      <c r="B997" s="3203" t="s">
        <v>3334</v>
      </c>
      <c r="C997" s="3204"/>
      <c r="D997" s="3100" t="s">
        <v>4184</v>
      </c>
      <c r="E997" s="3100" t="s">
        <v>463</v>
      </c>
      <c r="F997" s="3101">
        <v>51.59</v>
      </c>
      <c r="G997" s="3102" t="s">
        <v>3188</v>
      </c>
    </row>
    <row r="998" spans="1:7" ht="15" thickBot="1">
      <c r="A998" s="3099">
        <v>1665</v>
      </c>
      <c r="B998" s="3203" t="s">
        <v>3334</v>
      </c>
      <c r="C998" s="3204"/>
      <c r="D998" s="3100" t="s">
        <v>4185</v>
      </c>
      <c r="E998" s="3100" t="s">
        <v>463</v>
      </c>
      <c r="F998" s="3101">
        <v>52.23</v>
      </c>
      <c r="G998" s="3102" t="s">
        <v>3188</v>
      </c>
    </row>
    <row r="999" spans="1:7" ht="15" thickBot="1">
      <c r="A999" s="3099">
        <v>1666</v>
      </c>
      <c r="B999" s="3203" t="s">
        <v>3334</v>
      </c>
      <c r="C999" s="3204"/>
      <c r="D999" s="3100" t="s">
        <v>4186</v>
      </c>
      <c r="E999" s="3100" t="s">
        <v>463</v>
      </c>
      <c r="F999" s="3101">
        <v>52.23</v>
      </c>
      <c r="G999" s="3102" t="s">
        <v>3188</v>
      </c>
    </row>
    <row r="1000" spans="1:7" ht="15" thickBot="1">
      <c r="A1000" s="3099">
        <v>1667</v>
      </c>
      <c r="B1000" s="3203" t="s">
        <v>3334</v>
      </c>
      <c r="C1000" s="3204"/>
      <c r="D1000" s="3100" t="s">
        <v>4187</v>
      </c>
      <c r="E1000" s="3100" t="s">
        <v>463</v>
      </c>
      <c r="F1000" s="3101">
        <v>51.55</v>
      </c>
      <c r="G1000" s="3102" t="s">
        <v>3188</v>
      </c>
    </row>
    <row r="1001" spans="1:7" ht="15" thickBot="1">
      <c r="A1001" s="3099">
        <v>1668</v>
      </c>
      <c r="B1001" s="3203" t="s">
        <v>3334</v>
      </c>
      <c r="C1001" s="3204"/>
      <c r="D1001" s="3100" t="s">
        <v>4188</v>
      </c>
      <c r="E1001" s="3100" t="s">
        <v>463</v>
      </c>
      <c r="F1001" s="3101">
        <v>51.59</v>
      </c>
      <c r="G1001" s="3102" t="s">
        <v>3188</v>
      </c>
    </row>
    <row r="1002" spans="1:7" ht="15" thickBot="1">
      <c r="A1002" s="3099">
        <v>1669</v>
      </c>
      <c r="B1002" s="3203" t="s">
        <v>3334</v>
      </c>
      <c r="C1002" s="3204"/>
      <c r="D1002" s="3100" t="s">
        <v>4189</v>
      </c>
      <c r="E1002" s="3100" t="s">
        <v>463</v>
      </c>
      <c r="F1002" s="3101">
        <v>52.23</v>
      </c>
      <c r="G1002" s="3102" t="s">
        <v>3188</v>
      </c>
    </row>
    <row r="1003" spans="1:7" ht="15" thickBot="1">
      <c r="A1003" s="3099">
        <v>1670</v>
      </c>
      <c r="B1003" s="3203" t="s">
        <v>3334</v>
      </c>
      <c r="C1003" s="3204"/>
      <c r="D1003" s="3100" t="s">
        <v>4190</v>
      </c>
      <c r="E1003" s="3100" t="s">
        <v>463</v>
      </c>
      <c r="F1003" s="3101">
        <v>52.23</v>
      </c>
      <c r="G1003" s="3102" t="s">
        <v>3188</v>
      </c>
    </row>
    <row r="1004" spans="1:7" ht="15" thickBot="1">
      <c r="A1004" s="3099">
        <v>1671</v>
      </c>
      <c r="B1004" s="3203" t="s">
        <v>3334</v>
      </c>
      <c r="C1004" s="3204"/>
      <c r="D1004" s="3100" t="s">
        <v>4191</v>
      </c>
      <c r="E1004" s="3100" t="s">
        <v>463</v>
      </c>
      <c r="F1004" s="3101">
        <v>51.55</v>
      </c>
      <c r="G1004" s="3102" t="s">
        <v>3188</v>
      </c>
    </row>
    <row r="1005" spans="1:7" ht="15" thickBot="1">
      <c r="A1005" s="3099">
        <v>1672</v>
      </c>
      <c r="B1005" s="3203" t="s">
        <v>3334</v>
      </c>
      <c r="C1005" s="3204"/>
      <c r="D1005" s="3100" t="s">
        <v>4192</v>
      </c>
      <c r="E1005" s="3100" t="s">
        <v>463</v>
      </c>
      <c r="F1005" s="3101">
        <v>51.59</v>
      </c>
      <c r="G1005" s="3102" t="s">
        <v>3188</v>
      </c>
    </row>
    <row r="1006" spans="1:7" ht="15" thickBot="1">
      <c r="A1006" s="3099">
        <v>1673</v>
      </c>
      <c r="B1006" s="3203" t="s">
        <v>3334</v>
      </c>
      <c r="C1006" s="3204"/>
      <c r="D1006" s="3100" t="s">
        <v>4193</v>
      </c>
      <c r="E1006" s="3100" t="s">
        <v>463</v>
      </c>
      <c r="F1006" s="3101">
        <v>52.23</v>
      </c>
      <c r="G1006" s="3102" t="s">
        <v>3188</v>
      </c>
    </row>
    <row r="1007" spans="1:7" ht="15" thickBot="1">
      <c r="A1007" s="3099">
        <v>1674</v>
      </c>
      <c r="B1007" s="3203" t="s">
        <v>3334</v>
      </c>
      <c r="C1007" s="3204"/>
      <c r="D1007" s="3100" t="s">
        <v>4194</v>
      </c>
      <c r="E1007" s="3100" t="s">
        <v>463</v>
      </c>
      <c r="F1007" s="3101">
        <v>52.23</v>
      </c>
      <c r="G1007" s="3102" t="s">
        <v>3188</v>
      </c>
    </row>
    <row r="1008" spans="1:7" ht="15" thickBot="1">
      <c r="A1008" s="3099">
        <v>1675</v>
      </c>
      <c r="B1008" s="3203" t="s">
        <v>3334</v>
      </c>
      <c r="C1008" s="3204"/>
      <c r="D1008" s="3100" t="s">
        <v>4195</v>
      </c>
      <c r="E1008" s="3100" t="s">
        <v>463</v>
      </c>
      <c r="F1008" s="3101">
        <v>51.55</v>
      </c>
      <c r="G1008" s="3102" t="s">
        <v>3188</v>
      </c>
    </row>
    <row r="1009" spans="1:7" ht="15" thickBot="1">
      <c r="A1009" s="3099">
        <v>1676</v>
      </c>
      <c r="B1009" s="3203" t="s">
        <v>3334</v>
      </c>
      <c r="C1009" s="3204"/>
      <c r="D1009" s="3100" t="s">
        <v>4196</v>
      </c>
      <c r="E1009" s="3100" t="s">
        <v>463</v>
      </c>
      <c r="F1009" s="3101">
        <v>51.59</v>
      </c>
      <c r="G1009" s="3102" t="s">
        <v>3188</v>
      </c>
    </row>
    <row r="1010" spans="1:7" ht="15" thickBot="1">
      <c r="A1010" s="3099">
        <v>1677</v>
      </c>
      <c r="B1010" s="3203" t="s">
        <v>3334</v>
      </c>
      <c r="C1010" s="3204"/>
      <c r="D1010" s="3100" t="s">
        <v>4197</v>
      </c>
      <c r="E1010" s="3100" t="s">
        <v>463</v>
      </c>
      <c r="F1010" s="3101">
        <v>52.23</v>
      </c>
      <c r="G1010" s="3102" t="s">
        <v>3188</v>
      </c>
    </row>
    <row r="1011" spans="1:7" ht="15" thickBot="1">
      <c r="A1011" s="3099">
        <v>1678</v>
      </c>
      <c r="B1011" s="3203" t="s">
        <v>3334</v>
      </c>
      <c r="C1011" s="3204"/>
      <c r="D1011" s="3100" t="s">
        <v>4198</v>
      </c>
      <c r="E1011" s="3100" t="s">
        <v>463</v>
      </c>
      <c r="F1011" s="3101">
        <v>52.23</v>
      </c>
      <c r="G1011" s="3102" t="s">
        <v>3188</v>
      </c>
    </row>
    <row r="1012" spans="1:7" ht="15" thickBot="1">
      <c r="A1012" s="3099">
        <v>1679</v>
      </c>
      <c r="B1012" s="3203" t="s">
        <v>3334</v>
      </c>
      <c r="C1012" s="3204"/>
      <c r="D1012" s="3100" t="s">
        <v>4199</v>
      </c>
      <c r="E1012" s="3100" t="s">
        <v>463</v>
      </c>
      <c r="F1012" s="3101">
        <v>51.55</v>
      </c>
      <c r="G1012" s="3102" t="s">
        <v>3188</v>
      </c>
    </row>
    <row r="1013" spans="1:7" ht="15" thickBot="1">
      <c r="A1013" s="3099">
        <v>1680</v>
      </c>
      <c r="B1013" s="3203" t="s">
        <v>3334</v>
      </c>
      <c r="C1013" s="3204"/>
      <c r="D1013" s="3100" t="s">
        <v>4200</v>
      </c>
      <c r="E1013" s="3100" t="s">
        <v>463</v>
      </c>
      <c r="F1013" s="3101">
        <v>51.59</v>
      </c>
      <c r="G1013" s="3102" t="s">
        <v>3188</v>
      </c>
    </row>
    <row r="1014" spans="1:7" ht="15" thickBot="1">
      <c r="A1014" s="3099">
        <v>1681</v>
      </c>
      <c r="B1014" s="3203" t="s">
        <v>3334</v>
      </c>
      <c r="C1014" s="3204"/>
      <c r="D1014" s="3100" t="s">
        <v>4201</v>
      </c>
      <c r="E1014" s="3100" t="s">
        <v>463</v>
      </c>
      <c r="F1014" s="3101">
        <v>52.23</v>
      </c>
      <c r="G1014" s="3102" t="s">
        <v>3188</v>
      </c>
    </row>
    <row r="1015" spans="1:7" ht="15" thickBot="1">
      <c r="A1015" s="3099">
        <v>1682</v>
      </c>
      <c r="B1015" s="3203" t="s">
        <v>3334</v>
      </c>
      <c r="C1015" s="3204"/>
      <c r="D1015" s="3100" t="s">
        <v>4202</v>
      </c>
      <c r="E1015" s="3100" t="s">
        <v>463</v>
      </c>
      <c r="F1015" s="3101">
        <v>52.23</v>
      </c>
      <c r="G1015" s="3102" t="s">
        <v>3188</v>
      </c>
    </row>
    <row r="1016" spans="1:7" ht="15" thickBot="1">
      <c r="A1016" s="3099">
        <v>1683</v>
      </c>
      <c r="B1016" s="3203" t="s">
        <v>3334</v>
      </c>
      <c r="C1016" s="3204"/>
      <c r="D1016" s="3100" t="s">
        <v>4203</v>
      </c>
      <c r="E1016" s="3100" t="s">
        <v>463</v>
      </c>
      <c r="F1016" s="3101">
        <v>51.55</v>
      </c>
      <c r="G1016" s="3102" t="s">
        <v>3188</v>
      </c>
    </row>
    <row r="1017" spans="1:7" ht="15" thickBot="1">
      <c r="A1017" s="3099">
        <v>1684</v>
      </c>
      <c r="B1017" s="3203" t="s">
        <v>3334</v>
      </c>
      <c r="C1017" s="3204"/>
      <c r="D1017" s="3100" t="s">
        <v>4204</v>
      </c>
      <c r="E1017" s="3100" t="s">
        <v>463</v>
      </c>
      <c r="F1017" s="3101">
        <v>51.48</v>
      </c>
      <c r="G1017" s="3102" t="s">
        <v>3188</v>
      </c>
    </row>
    <row r="1018" spans="1:7" ht="15" thickBot="1">
      <c r="A1018" s="3099">
        <v>1685</v>
      </c>
      <c r="B1018" s="3203" t="s">
        <v>3334</v>
      </c>
      <c r="C1018" s="3204"/>
      <c r="D1018" s="3100" t="s">
        <v>4205</v>
      </c>
      <c r="E1018" s="3100" t="s">
        <v>463</v>
      </c>
      <c r="F1018" s="3101">
        <v>52.23</v>
      </c>
      <c r="G1018" s="3102" t="s">
        <v>3188</v>
      </c>
    </row>
    <row r="1019" spans="1:7" ht="15" thickBot="1">
      <c r="A1019" s="3099">
        <v>1686</v>
      </c>
      <c r="B1019" s="3203" t="s">
        <v>3334</v>
      </c>
      <c r="C1019" s="3204"/>
      <c r="D1019" s="3100" t="s">
        <v>4206</v>
      </c>
      <c r="E1019" s="3100" t="s">
        <v>463</v>
      </c>
      <c r="F1019" s="3101">
        <v>52.23</v>
      </c>
      <c r="G1019" s="3102" t="s">
        <v>3188</v>
      </c>
    </row>
    <row r="1020" spans="1:7" ht="15" thickBot="1">
      <c r="A1020" s="3099">
        <v>1687</v>
      </c>
      <c r="B1020" s="3203" t="s">
        <v>3334</v>
      </c>
      <c r="C1020" s="3204"/>
      <c r="D1020" s="3100" t="s">
        <v>4207</v>
      </c>
      <c r="E1020" s="3100" t="s">
        <v>463</v>
      </c>
      <c r="F1020" s="3101">
        <v>52.19</v>
      </c>
      <c r="G1020" s="3102" t="s">
        <v>3188</v>
      </c>
    </row>
    <row r="1021" spans="1:7" ht="15" thickBot="1">
      <c r="A1021" s="3099">
        <v>1688</v>
      </c>
      <c r="B1021" s="3203" t="s">
        <v>3334</v>
      </c>
      <c r="C1021" s="3204"/>
      <c r="D1021" s="3100" t="s">
        <v>4208</v>
      </c>
      <c r="E1021" s="3100" t="s">
        <v>463</v>
      </c>
      <c r="F1021" s="3101">
        <v>51.48</v>
      </c>
      <c r="G1021" s="3102" t="s">
        <v>3188</v>
      </c>
    </row>
    <row r="1022" spans="1:7" ht="15" thickBot="1">
      <c r="A1022" s="3099">
        <v>1689</v>
      </c>
      <c r="B1022" s="3203" t="s">
        <v>3334</v>
      </c>
      <c r="C1022" s="3204"/>
      <c r="D1022" s="3100" t="s">
        <v>4209</v>
      </c>
      <c r="E1022" s="3100" t="s">
        <v>463</v>
      </c>
      <c r="F1022" s="3101">
        <v>52.12</v>
      </c>
      <c r="G1022" s="3102" t="s">
        <v>3188</v>
      </c>
    </row>
    <row r="1023" spans="1:7" ht="15" thickBot="1">
      <c r="A1023" s="3099">
        <v>1690</v>
      </c>
      <c r="B1023" s="3203" t="s">
        <v>3334</v>
      </c>
      <c r="C1023" s="3204"/>
      <c r="D1023" s="3100" t="s">
        <v>4210</v>
      </c>
      <c r="E1023" s="3100" t="s">
        <v>463</v>
      </c>
      <c r="F1023" s="3101">
        <v>80.680000000000007</v>
      </c>
      <c r="G1023" s="3102" t="s">
        <v>3188</v>
      </c>
    </row>
    <row r="1024" spans="1:7" ht="15" thickBot="1">
      <c r="A1024" s="3099">
        <v>1691</v>
      </c>
      <c r="B1024" s="3203" t="s">
        <v>3334</v>
      </c>
      <c r="C1024" s="3204"/>
      <c r="D1024" s="3100" t="s">
        <v>4211</v>
      </c>
      <c r="E1024" s="3100" t="s">
        <v>463</v>
      </c>
      <c r="F1024" s="3101">
        <v>51.48</v>
      </c>
      <c r="G1024" s="3102" t="s">
        <v>3188</v>
      </c>
    </row>
    <row r="1025" spans="1:7" ht="15" thickBot="1">
      <c r="A1025" s="3099">
        <v>1692</v>
      </c>
      <c r="B1025" s="3203" t="s">
        <v>3334</v>
      </c>
      <c r="C1025" s="3204"/>
      <c r="D1025" s="3100" t="s">
        <v>4212</v>
      </c>
      <c r="E1025" s="3100" t="s">
        <v>463</v>
      </c>
      <c r="F1025" s="3101">
        <v>52.23</v>
      </c>
      <c r="G1025" s="3102" t="s">
        <v>3188</v>
      </c>
    </row>
    <row r="1026" spans="1:7" ht="15" thickBot="1">
      <c r="A1026" s="3099">
        <v>1693</v>
      </c>
      <c r="B1026" s="3203" t="s">
        <v>3334</v>
      </c>
      <c r="C1026" s="3204"/>
      <c r="D1026" s="3100" t="s">
        <v>4213</v>
      </c>
      <c r="E1026" s="3100" t="s">
        <v>463</v>
      </c>
      <c r="F1026" s="3101">
        <v>52.23</v>
      </c>
      <c r="G1026" s="3102" t="s">
        <v>3188</v>
      </c>
    </row>
    <row r="1027" spans="1:7" ht="15" thickBot="1">
      <c r="A1027" s="3099">
        <v>1694</v>
      </c>
      <c r="B1027" s="3203" t="s">
        <v>3334</v>
      </c>
      <c r="C1027" s="3204"/>
      <c r="D1027" s="3100" t="s">
        <v>4214</v>
      </c>
      <c r="E1027" s="3100" t="s">
        <v>463</v>
      </c>
      <c r="F1027" s="3101">
        <v>52.19</v>
      </c>
      <c r="G1027" s="3102" t="s">
        <v>3188</v>
      </c>
    </row>
    <row r="1028" spans="1:7" ht="15" thickBot="1">
      <c r="A1028" s="3099">
        <v>1695</v>
      </c>
      <c r="B1028" s="3203" t="s">
        <v>3334</v>
      </c>
      <c r="C1028" s="3204"/>
      <c r="D1028" s="3100" t="s">
        <v>4215</v>
      </c>
      <c r="E1028" s="3100" t="s">
        <v>463</v>
      </c>
      <c r="F1028" s="3101">
        <v>51.48</v>
      </c>
      <c r="G1028" s="3102" t="s">
        <v>3188</v>
      </c>
    </row>
    <row r="1029" spans="1:7" ht="15" thickBot="1">
      <c r="A1029" s="3099">
        <v>1696</v>
      </c>
      <c r="B1029" s="3203" t="s">
        <v>3334</v>
      </c>
      <c r="C1029" s="3204"/>
      <c r="D1029" s="3100" t="s">
        <v>4216</v>
      </c>
      <c r="E1029" s="3100" t="s">
        <v>463</v>
      </c>
      <c r="F1029" s="3101">
        <v>52.23</v>
      </c>
      <c r="G1029" s="3102" t="s">
        <v>3188</v>
      </c>
    </row>
    <row r="1030" spans="1:7" ht="15" thickBot="1">
      <c r="A1030" s="3099">
        <v>1697</v>
      </c>
      <c r="B1030" s="3203" t="s">
        <v>3334</v>
      </c>
      <c r="C1030" s="3204"/>
      <c r="D1030" s="3100" t="s">
        <v>4217</v>
      </c>
      <c r="E1030" s="3100" t="s">
        <v>463</v>
      </c>
      <c r="F1030" s="3101">
        <v>52.23</v>
      </c>
      <c r="G1030" s="3102" t="s">
        <v>3188</v>
      </c>
    </row>
    <row r="1031" spans="1:7" ht="15" thickBot="1">
      <c r="A1031" s="3099">
        <v>1698</v>
      </c>
      <c r="B1031" s="3203" t="s">
        <v>3334</v>
      </c>
      <c r="C1031" s="3204"/>
      <c r="D1031" s="3100" t="s">
        <v>4218</v>
      </c>
      <c r="E1031" s="3100" t="s">
        <v>463</v>
      </c>
      <c r="F1031" s="3101">
        <v>52.19</v>
      </c>
      <c r="G1031" s="3102" t="s">
        <v>3188</v>
      </c>
    </row>
    <row r="1032" spans="1:7" ht="15" thickBot="1">
      <c r="A1032" s="3099">
        <v>1699</v>
      </c>
      <c r="B1032" s="3203" t="s">
        <v>3334</v>
      </c>
      <c r="C1032" s="3204"/>
      <c r="D1032" s="3100" t="s">
        <v>4219</v>
      </c>
      <c r="E1032" s="3100" t="s">
        <v>463</v>
      </c>
      <c r="F1032" s="3101">
        <v>51.48</v>
      </c>
      <c r="G1032" s="3102" t="s">
        <v>3188</v>
      </c>
    </row>
    <row r="1033" spans="1:7" ht="15" thickBot="1">
      <c r="A1033" s="3099">
        <v>1700</v>
      </c>
      <c r="B1033" s="3203" t="s">
        <v>3334</v>
      </c>
      <c r="C1033" s="3204"/>
      <c r="D1033" s="3100" t="s">
        <v>4220</v>
      </c>
      <c r="E1033" s="3100" t="s">
        <v>463</v>
      </c>
      <c r="F1033" s="3101">
        <v>52.23</v>
      </c>
      <c r="G1033" s="3102" t="s">
        <v>3188</v>
      </c>
    </row>
    <row r="1034" spans="1:7" ht="15" thickBot="1">
      <c r="A1034" s="3099">
        <v>1701</v>
      </c>
      <c r="B1034" s="3203" t="s">
        <v>3334</v>
      </c>
      <c r="C1034" s="3204"/>
      <c r="D1034" s="3100" t="s">
        <v>4221</v>
      </c>
      <c r="E1034" s="3100" t="s">
        <v>463</v>
      </c>
      <c r="F1034" s="3101">
        <v>52.23</v>
      </c>
      <c r="G1034" s="3102" t="s">
        <v>3188</v>
      </c>
    </row>
    <row r="1035" spans="1:7" ht="15" thickBot="1">
      <c r="A1035" s="3099">
        <v>1702</v>
      </c>
      <c r="B1035" s="3203" t="s">
        <v>3334</v>
      </c>
      <c r="C1035" s="3204"/>
      <c r="D1035" s="3100" t="s">
        <v>4222</v>
      </c>
      <c r="E1035" s="3100" t="s">
        <v>463</v>
      </c>
      <c r="F1035" s="3101">
        <v>52.19</v>
      </c>
      <c r="G1035" s="3102" t="s">
        <v>3188</v>
      </c>
    </row>
    <row r="1036" spans="1:7" ht="15" thickBot="1">
      <c r="A1036" s="3099">
        <v>1703</v>
      </c>
      <c r="B1036" s="3203" t="s">
        <v>3334</v>
      </c>
      <c r="C1036" s="3204"/>
      <c r="D1036" s="3100" t="s">
        <v>4223</v>
      </c>
      <c r="E1036" s="3100" t="s">
        <v>463</v>
      </c>
      <c r="F1036" s="3101">
        <v>51.48</v>
      </c>
      <c r="G1036" s="3102" t="s">
        <v>3188</v>
      </c>
    </row>
    <row r="1037" spans="1:7" ht="15" thickBot="1">
      <c r="A1037" s="3099">
        <v>1704</v>
      </c>
      <c r="B1037" s="3203" t="s">
        <v>3334</v>
      </c>
      <c r="C1037" s="3204"/>
      <c r="D1037" s="3100" t="s">
        <v>4224</v>
      </c>
      <c r="E1037" s="3100" t="s">
        <v>463</v>
      </c>
      <c r="F1037" s="3101">
        <v>52.23</v>
      </c>
      <c r="G1037" s="3102" t="s">
        <v>3188</v>
      </c>
    </row>
    <row r="1038" spans="1:7" ht="15" thickBot="1">
      <c r="A1038" s="3099">
        <v>1705</v>
      </c>
      <c r="B1038" s="3203" t="s">
        <v>3334</v>
      </c>
      <c r="C1038" s="3204"/>
      <c r="D1038" s="3100" t="s">
        <v>4225</v>
      </c>
      <c r="E1038" s="3100" t="s">
        <v>463</v>
      </c>
      <c r="F1038" s="3101">
        <v>52.23</v>
      </c>
      <c r="G1038" s="3102" t="s">
        <v>3188</v>
      </c>
    </row>
    <row r="1039" spans="1:7" ht="15" thickBot="1">
      <c r="A1039" s="3099">
        <v>1706</v>
      </c>
      <c r="B1039" s="3203" t="s">
        <v>3334</v>
      </c>
      <c r="C1039" s="3204"/>
      <c r="D1039" s="3100" t="s">
        <v>4226</v>
      </c>
      <c r="E1039" s="3100" t="s">
        <v>463</v>
      </c>
      <c r="F1039" s="3101">
        <v>52.19</v>
      </c>
      <c r="G1039" s="3102" t="s">
        <v>3188</v>
      </c>
    </row>
    <row r="1040" spans="1:7" ht="15" thickBot="1">
      <c r="A1040" s="3099">
        <v>1707</v>
      </c>
      <c r="B1040" s="3203" t="s">
        <v>3334</v>
      </c>
      <c r="C1040" s="3204"/>
      <c r="D1040" s="3100" t="s">
        <v>4227</v>
      </c>
      <c r="E1040" s="3100" t="s">
        <v>463</v>
      </c>
      <c r="F1040" s="3101">
        <v>51.48</v>
      </c>
      <c r="G1040" s="3102" t="s">
        <v>3188</v>
      </c>
    </row>
    <row r="1041" spans="1:7" ht="15" thickBot="1">
      <c r="A1041" s="3099">
        <v>1708</v>
      </c>
      <c r="B1041" s="3203" t="s">
        <v>3334</v>
      </c>
      <c r="C1041" s="3204"/>
      <c r="D1041" s="3100" t="s">
        <v>4228</v>
      </c>
      <c r="E1041" s="3100" t="s">
        <v>463</v>
      </c>
      <c r="F1041" s="3101">
        <v>52.23</v>
      </c>
      <c r="G1041" s="3102" t="s">
        <v>3188</v>
      </c>
    </row>
    <row r="1042" spans="1:7" ht="15" thickBot="1">
      <c r="A1042" s="3099">
        <v>1709</v>
      </c>
      <c r="B1042" s="3203" t="s">
        <v>3334</v>
      </c>
      <c r="C1042" s="3204"/>
      <c r="D1042" s="3100" t="s">
        <v>4229</v>
      </c>
      <c r="E1042" s="3100" t="s">
        <v>463</v>
      </c>
      <c r="F1042" s="3101">
        <v>52.23</v>
      </c>
      <c r="G1042" s="3102" t="s">
        <v>3188</v>
      </c>
    </row>
    <row r="1043" spans="1:7" ht="15" thickBot="1">
      <c r="A1043" s="3099">
        <v>1710</v>
      </c>
      <c r="B1043" s="3203" t="s">
        <v>3334</v>
      </c>
      <c r="C1043" s="3204"/>
      <c r="D1043" s="3100" t="s">
        <v>4230</v>
      </c>
      <c r="E1043" s="3100" t="s">
        <v>463</v>
      </c>
      <c r="F1043" s="3101">
        <v>52.19</v>
      </c>
      <c r="G1043" s="3102" t="s">
        <v>3188</v>
      </c>
    </row>
    <row r="1044" spans="1:7" ht="15" thickBot="1">
      <c r="A1044" s="3099">
        <v>1711</v>
      </c>
      <c r="B1044" s="3203" t="s">
        <v>3334</v>
      </c>
      <c r="C1044" s="3204"/>
      <c r="D1044" s="3100" t="s">
        <v>4231</v>
      </c>
      <c r="E1044" s="3100" t="s">
        <v>463</v>
      </c>
      <c r="F1044" s="3101">
        <v>51.48</v>
      </c>
      <c r="G1044" s="3102" t="s">
        <v>3188</v>
      </c>
    </row>
    <row r="1045" spans="1:7" ht="15" thickBot="1">
      <c r="A1045" s="3099">
        <v>1712</v>
      </c>
      <c r="B1045" s="3203" t="s">
        <v>3334</v>
      </c>
      <c r="C1045" s="3204"/>
      <c r="D1045" s="3100" t="s">
        <v>4232</v>
      </c>
      <c r="E1045" s="3100" t="s">
        <v>463</v>
      </c>
      <c r="F1045" s="3101">
        <v>52.23</v>
      </c>
      <c r="G1045" s="3102" t="s">
        <v>3188</v>
      </c>
    </row>
    <row r="1046" spans="1:7" ht="15" thickBot="1">
      <c r="A1046" s="3099">
        <v>1713</v>
      </c>
      <c r="B1046" s="3203" t="s">
        <v>3334</v>
      </c>
      <c r="C1046" s="3204"/>
      <c r="D1046" s="3100" t="s">
        <v>4233</v>
      </c>
      <c r="E1046" s="3100" t="s">
        <v>463</v>
      </c>
      <c r="F1046" s="3101">
        <v>52.23</v>
      </c>
      <c r="G1046" s="3102" t="s">
        <v>3188</v>
      </c>
    </row>
    <row r="1047" spans="1:7" ht="15" thickBot="1">
      <c r="A1047" s="3099">
        <v>1714</v>
      </c>
      <c r="B1047" s="3203" t="s">
        <v>3334</v>
      </c>
      <c r="C1047" s="3204"/>
      <c r="D1047" s="3100" t="s">
        <v>4234</v>
      </c>
      <c r="E1047" s="3100" t="s">
        <v>463</v>
      </c>
      <c r="F1047" s="3101">
        <v>52.19</v>
      </c>
      <c r="G1047" s="3102" t="s">
        <v>3188</v>
      </c>
    </row>
    <row r="1048" spans="1:7" ht="15" thickBot="1">
      <c r="A1048" s="3099">
        <v>1715</v>
      </c>
      <c r="B1048" s="3203" t="s">
        <v>3334</v>
      </c>
      <c r="C1048" s="3204"/>
      <c r="D1048" s="3100" t="s">
        <v>4235</v>
      </c>
      <c r="E1048" s="3100" t="s">
        <v>463</v>
      </c>
      <c r="F1048" s="3101">
        <v>51.48</v>
      </c>
      <c r="G1048" s="3102" t="s">
        <v>3188</v>
      </c>
    </row>
    <row r="1049" spans="1:7" ht="15" thickBot="1">
      <c r="A1049" s="3099">
        <v>1716</v>
      </c>
      <c r="B1049" s="3203" t="s">
        <v>3334</v>
      </c>
      <c r="C1049" s="3204"/>
      <c r="D1049" s="3100" t="s">
        <v>4236</v>
      </c>
      <c r="E1049" s="3100" t="s">
        <v>463</v>
      </c>
      <c r="F1049" s="3101">
        <v>52.23</v>
      </c>
      <c r="G1049" s="3102" t="s">
        <v>3188</v>
      </c>
    </row>
    <row r="1050" spans="1:7" ht="15" thickBot="1">
      <c r="A1050" s="3099">
        <v>1717</v>
      </c>
      <c r="B1050" s="3203" t="s">
        <v>3334</v>
      </c>
      <c r="C1050" s="3204"/>
      <c r="D1050" s="3100" t="s">
        <v>4237</v>
      </c>
      <c r="E1050" s="3100" t="s">
        <v>463</v>
      </c>
      <c r="F1050" s="3101">
        <v>52.23</v>
      </c>
      <c r="G1050" s="3102" t="s">
        <v>3188</v>
      </c>
    </row>
    <row r="1051" spans="1:7" ht="15" thickBot="1">
      <c r="A1051" s="3099">
        <v>1718</v>
      </c>
      <c r="B1051" s="3203" t="s">
        <v>3334</v>
      </c>
      <c r="C1051" s="3204"/>
      <c r="D1051" s="3100" t="s">
        <v>4238</v>
      </c>
      <c r="E1051" s="3100" t="s">
        <v>463</v>
      </c>
      <c r="F1051" s="3101">
        <v>52.19</v>
      </c>
      <c r="G1051" s="3102" t="s">
        <v>3188</v>
      </c>
    </row>
    <row r="1052" spans="1:7" ht="15" thickBot="1">
      <c r="A1052" s="3099">
        <v>1719</v>
      </c>
      <c r="B1052" s="3203" t="s">
        <v>3334</v>
      </c>
      <c r="C1052" s="3204"/>
      <c r="D1052" s="3100" t="s">
        <v>4239</v>
      </c>
      <c r="E1052" s="3100" t="s">
        <v>463</v>
      </c>
      <c r="F1052" s="3101">
        <v>51.48</v>
      </c>
      <c r="G1052" s="3102" t="s">
        <v>3188</v>
      </c>
    </row>
    <row r="1053" spans="1:7" ht="15" thickBot="1">
      <c r="A1053" s="3099">
        <v>1720</v>
      </c>
      <c r="B1053" s="3203" t="s">
        <v>3334</v>
      </c>
      <c r="C1053" s="3204"/>
      <c r="D1053" s="3100" t="s">
        <v>4240</v>
      </c>
      <c r="E1053" s="3100" t="s">
        <v>463</v>
      </c>
      <c r="F1053" s="3101">
        <v>52.23</v>
      </c>
      <c r="G1053" s="3102" t="s">
        <v>3188</v>
      </c>
    </row>
    <row r="1054" spans="1:7" ht="15" thickBot="1">
      <c r="A1054" s="3099">
        <v>1721</v>
      </c>
      <c r="B1054" s="3203" t="s">
        <v>3334</v>
      </c>
      <c r="C1054" s="3204"/>
      <c r="D1054" s="3100" t="s">
        <v>4241</v>
      </c>
      <c r="E1054" s="3100" t="s">
        <v>463</v>
      </c>
      <c r="F1054" s="3101">
        <v>52.23</v>
      </c>
      <c r="G1054" s="3102" t="s">
        <v>3188</v>
      </c>
    </row>
    <row r="1055" spans="1:7" ht="15" thickBot="1">
      <c r="A1055" s="3099">
        <v>1722</v>
      </c>
      <c r="B1055" s="3203" t="s">
        <v>3334</v>
      </c>
      <c r="C1055" s="3204"/>
      <c r="D1055" s="3100" t="s">
        <v>4242</v>
      </c>
      <c r="E1055" s="3100" t="s">
        <v>463</v>
      </c>
      <c r="F1055" s="3101">
        <v>52.19</v>
      </c>
      <c r="G1055" s="3102" t="s">
        <v>3188</v>
      </c>
    </row>
    <row r="1056" spans="1:7" ht="15" thickBot="1">
      <c r="A1056" s="3099">
        <v>1723</v>
      </c>
      <c r="B1056" s="3203" t="s">
        <v>3334</v>
      </c>
      <c r="C1056" s="3204"/>
      <c r="D1056" s="3100" t="s">
        <v>4243</v>
      </c>
      <c r="E1056" s="3100" t="s">
        <v>463</v>
      </c>
      <c r="F1056" s="3101">
        <v>51.48</v>
      </c>
      <c r="G1056" s="3102" t="s">
        <v>3188</v>
      </c>
    </row>
    <row r="1057" spans="1:7" ht="15" thickBot="1">
      <c r="A1057" s="3099">
        <v>1724</v>
      </c>
      <c r="B1057" s="3203" t="s">
        <v>3334</v>
      </c>
      <c r="C1057" s="3204"/>
      <c r="D1057" s="3100" t="s">
        <v>4244</v>
      </c>
      <c r="E1057" s="3100" t="s">
        <v>463</v>
      </c>
      <c r="F1057" s="3101">
        <v>52.23</v>
      </c>
      <c r="G1057" s="3102" t="s">
        <v>3188</v>
      </c>
    </row>
    <row r="1058" spans="1:7" ht="15" thickBot="1">
      <c r="A1058" s="3099">
        <v>1725</v>
      </c>
      <c r="B1058" s="3203" t="s">
        <v>3334</v>
      </c>
      <c r="C1058" s="3204"/>
      <c r="D1058" s="3100" t="s">
        <v>4245</v>
      </c>
      <c r="E1058" s="3100" t="s">
        <v>463</v>
      </c>
      <c r="F1058" s="3101">
        <v>52.23</v>
      </c>
      <c r="G1058" s="3102" t="s">
        <v>3188</v>
      </c>
    </row>
    <row r="1059" spans="1:7" ht="15" thickBot="1">
      <c r="A1059" s="3099">
        <v>1726</v>
      </c>
      <c r="B1059" s="3203" t="s">
        <v>3334</v>
      </c>
      <c r="C1059" s="3204"/>
      <c r="D1059" s="3100" t="s">
        <v>4246</v>
      </c>
      <c r="E1059" s="3100" t="s">
        <v>463</v>
      </c>
      <c r="F1059" s="3101">
        <v>52.19</v>
      </c>
      <c r="G1059" s="3102" t="s">
        <v>3188</v>
      </c>
    </row>
    <row r="1060" spans="1:7" ht="15" thickBot="1">
      <c r="A1060" s="3099">
        <v>1727</v>
      </c>
      <c r="B1060" s="3203" t="s">
        <v>3334</v>
      </c>
      <c r="C1060" s="3204"/>
      <c r="D1060" s="3100" t="s">
        <v>4247</v>
      </c>
      <c r="E1060" s="3100" t="s">
        <v>463</v>
      </c>
      <c r="F1060" s="3101">
        <v>51.48</v>
      </c>
      <c r="G1060" s="3102" t="s">
        <v>3188</v>
      </c>
    </row>
    <row r="1061" spans="1:7" ht="15" thickBot="1">
      <c r="A1061" s="3099">
        <v>1728</v>
      </c>
      <c r="B1061" s="3203" t="s">
        <v>3334</v>
      </c>
      <c r="C1061" s="3204"/>
      <c r="D1061" s="3100" t="s">
        <v>4248</v>
      </c>
      <c r="E1061" s="3100" t="s">
        <v>463</v>
      </c>
      <c r="F1061" s="3101">
        <v>52.23</v>
      </c>
      <c r="G1061" s="3102" t="s">
        <v>3188</v>
      </c>
    </row>
    <row r="1062" spans="1:7" ht="15" thickBot="1">
      <c r="A1062" s="3099">
        <v>1729</v>
      </c>
      <c r="B1062" s="3203" t="s">
        <v>3334</v>
      </c>
      <c r="C1062" s="3204"/>
      <c r="D1062" s="3100" t="s">
        <v>4249</v>
      </c>
      <c r="E1062" s="3100" t="s">
        <v>463</v>
      </c>
      <c r="F1062" s="3101">
        <v>52.23</v>
      </c>
      <c r="G1062" s="3102" t="s">
        <v>3188</v>
      </c>
    </row>
    <row r="1063" spans="1:7" ht="15" thickBot="1">
      <c r="A1063" s="3099">
        <v>1730</v>
      </c>
      <c r="B1063" s="3203" t="s">
        <v>3334</v>
      </c>
      <c r="C1063" s="3204"/>
      <c r="D1063" s="3100" t="s">
        <v>4250</v>
      </c>
      <c r="E1063" s="3100" t="s">
        <v>463</v>
      </c>
      <c r="F1063" s="3101">
        <v>52.19</v>
      </c>
      <c r="G1063" s="3102" t="s">
        <v>3188</v>
      </c>
    </row>
    <row r="1064" spans="1:7" ht="15" thickBot="1">
      <c r="A1064" s="3099">
        <v>1731</v>
      </c>
      <c r="B1064" s="3203" t="s">
        <v>3334</v>
      </c>
      <c r="C1064" s="3204"/>
      <c r="D1064" s="3100" t="s">
        <v>4251</v>
      </c>
      <c r="E1064" s="3100" t="s">
        <v>463</v>
      </c>
      <c r="F1064" s="3101">
        <v>51.48</v>
      </c>
      <c r="G1064" s="3102" t="s">
        <v>3188</v>
      </c>
    </row>
    <row r="1065" spans="1:7" ht="15" thickBot="1">
      <c r="A1065" s="3099">
        <v>1732</v>
      </c>
      <c r="B1065" s="3203" t="s">
        <v>3334</v>
      </c>
      <c r="C1065" s="3204"/>
      <c r="D1065" s="3100" t="s">
        <v>4252</v>
      </c>
      <c r="E1065" s="3100" t="s">
        <v>463</v>
      </c>
      <c r="F1065" s="3101">
        <v>52.23</v>
      </c>
      <c r="G1065" s="3102" t="s">
        <v>3188</v>
      </c>
    </row>
    <row r="1066" spans="1:7" ht="15" thickBot="1">
      <c r="A1066" s="3099">
        <v>1733</v>
      </c>
      <c r="B1066" s="3203" t="s">
        <v>3334</v>
      </c>
      <c r="C1066" s="3204"/>
      <c r="D1066" s="3100" t="s">
        <v>4253</v>
      </c>
      <c r="E1066" s="3100" t="s">
        <v>463</v>
      </c>
      <c r="F1066" s="3101">
        <v>52.23</v>
      </c>
      <c r="G1066" s="3102" t="s">
        <v>3188</v>
      </c>
    </row>
    <row r="1067" spans="1:7" ht="15" thickBot="1">
      <c r="A1067" s="3099">
        <v>1734</v>
      </c>
      <c r="B1067" s="3203" t="s">
        <v>3334</v>
      </c>
      <c r="C1067" s="3204"/>
      <c r="D1067" s="3100" t="s">
        <v>4254</v>
      </c>
      <c r="E1067" s="3100" t="s">
        <v>463</v>
      </c>
      <c r="F1067" s="3101">
        <v>52.19</v>
      </c>
      <c r="G1067" s="3102" t="s">
        <v>3188</v>
      </c>
    </row>
    <row r="1068" spans="1:7" ht="15" thickBot="1">
      <c r="A1068" s="3099">
        <v>1735</v>
      </c>
      <c r="B1068" s="3203" t="s">
        <v>3334</v>
      </c>
      <c r="C1068" s="3204"/>
      <c r="D1068" s="3100" t="s">
        <v>4255</v>
      </c>
      <c r="E1068" s="3100" t="s">
        <v>463</v>
      </c>
      <c r="F1068" s="3101">
        <v>51.48</v>
      </c>
      <c r="G1068" s="3102" t="s">
        <v>3188</v>
      </c>
    </row>
    <row r="1069" spans="1:7" ht="15" thickBot="1">
      <c r="A1069" s="3099">
        <v>1736</v>
      </c>
      <c r="B1069" s="3203" t="s">
        <v>3334</v>
      </c>
      <c r="C1069" s="3204"/>
      <c r="D1069" s="3100" t="s">
        <v>4256</v>
      </c>
      <c r="E1069" s="3100" t="s">
        <v>463</v>
      </c>
      <c r="F1069" s="3101">
        <v>52.23</v>
      </c>
      <c r="G1069" s="3102" t="s">
        <v>3188</v>
      </c>
    </row>
    <row r="1070" spans="1:7" ht="15" thickBot="1">
      <c r="A1070" s="3099">
        <v>1737</v>
      </c>
      <c r="B1070" s="3203" t="s">
        <v>3334</v>
      </c>
      <c r="C1070" s="3204"/>
      <c r="D1070" s="3100" t="s">
        <v>4257</v>
      </c>
      <c r="E1070" s="3100" t="s">
        <v>463</v>
      </c>
      <c r="F1070" s="3101">
        <v>52.23</v>
      </c>
      <c r="G1070" s="3102" t="s">
        <v>3188</v>
      </c>
    </row>
    <row r="1071" spans="1:7" ht="15" thickBot="1">
      <c r="A1071" s="3099">
        <v>1738</v>
      </c>
      <c r="B1071" s="3203" t="s">
        <v>3334</v>
      </c>
      <c r="C1071" s="3204"/>
      <c r="D1071" s="3100" t="s">
        <v>4258</v>
      </c>
      <c r="E1071" s="3100" t="s">
        <v>463</v>
      </c>
      <c r="F1071" s="3101">
        <v>52.19</v>
      </c>
      <c r="G1071" s="3102" t="s">
        <v>3188</v>
      </c>
    </row>
    <row r="1072" spans="1:7" ht="15" thickBot="1">
      <c r="A1072" s="3099">
        <v>1739</v>
      </c>
      <c r="B1072" s="3203" t="s">
        <v>3334</v>
      </c>
      <c r="C1072" s="3204"/>
      <c r="D1072" s="3100" t="s">
        <v>4259</v>
      </c>
      <c r="E1072" s="3100" t="s">
        <v>463</v>
      </c>
      <c r="F1072" s="3101">
        <v>51.48</v>
      </c>
      <c r="G1072" s="3102" t="s">
        <v>3188</v>
      </c>
    </row>
    <row r="1073" spans="1:7" ht="15" thickBot="1">
      <c r="A1073" s="3099">
        <v>1740</v>
      </c>
      <c r="B1073" s="3203" t="s">
        <v>3334</v>
      </c>
      <c r="C1073" s="3204"/>
      <c r="D1073" s="3100" t="s">
        <v>4260</v>
      </c>
      <c r="E1073" s="3100" t="s">
        <v>463</v>
      </c>
      <c r="F1073" s="3101">
        <v>52.23</v>
      </c>
      <c r="G1073" s="3102" t="s">
        <v>3188</v>
      </c>
    </row>
    <row r="1074" spans="1:7" ht="15" thickBot="1">
      <c r="A1074" s="3099">
        <v>1741</v>
      </c>
      <c r="B1074" s="3203" t="s">
        <v>3334</v>
      </c>
      <c r="C1074" s="3204"/>
      <c r="D1074" s="3100" t="s">
        <v>4261</v>
      </c>
      <c r="E1074" s="3100" t="s">
        <v>463</v>
      </c>
      <c r="F1074" s="3101">
        <v>52.23</v>
      </c>
      <c r="G1074" s="3102" t="s">
        <v>3188</v>
      </c>
    </row>
    <row r="1075" spans="1:7" ht="15" thickBot="1">
      <c r="A1075" s="3099">
        <v>1742</v>
      </c>
      <c r="B1075" s="3203" t="s">
        <v>3334</v>
      </c>
      <c r="C1075" s="3204"/>
      <c r="D1075" s="3100" t="s">
        <v>4262</v>
      </c>
      <c r="E1075" s="3100" t="s">
        <v>463</v>
      </c>
      <c r="F1075" s="3101">
        <v>52.19</v>
      </c>
      <c r="G1075" s="3102" t="s">
        <v>3188</v>
      </c>
    </row>
  </sheetData>
  <mergeCells count="1075">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U29"/>
  <sheetViews>
    <sheetView tabSelected="1" topLeftCell="G1" workbookViewId="0">
      <selection activeCell="O8" sqref="O8:P8"/>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2" spans="2:16">
      <c r="B2" s="2923" t="s">
        <v>4274</v>
      </c>
      <c r="C2">
        <v>142581.63</v>
      </c>
      <c r="G2">
        <f>ROUND(G6/$C$8*$C$2,2)</f>
        <v>164.82</v>
      </c>
      <c r="H2">
        <f t="shared" ref="H2:I2" si="0">ROUND(H6/$C$8*$C$2,2)</f>
        <v>116.69</v>
      </c>
      <c r="I2">
        <f t="shared" si="0"/>
        <v>9978.4</v>
      </c>
    </row>
    <row r="3" spans="2:16" ht="14.25" thickBot="1">
      <c r="J3" s="3047"/>
    </row>
    <row r="4" spans="2:16" ht="14.25" thickBot="1">
      <c r="B4" s="2923" t="s">
        <v>4274</v>
      </c>
      <c r="C4" s="2923" t="s">
        <v>4275</v>
      </c>
      <c r="E4" s="3048"/>
      <c r="F4" s="3048" t="s">
        <v>3004</v>
      </c>
      <c r="G4" s="3048" t="s">
        <v>3005</v>
      </c>
      <c r="H4" s="3048" t="s">
        <v>3006</v>
      </c>
      <c r="I4" s="3048" t="s">
        <v>3007</v>
      </c>
      <c r="J4" s="3048" t="s">
        <v>3013</v>
      </c>
      <c r="K4" s="3048" t="s">
        <v>3176</v>
      </c>
      <c r="L4" s="3048" t="s">
        <v>3047</v>
      </c>
      <c r="M4" s="3048" t="s">
        <v>3177</v>
      </c>
      <c r="N4" s="3048" t="s">
        <v>3048</v>
      </c>
      <c r="O4" s="3048" t="s">
        <v>3045</v>
      </c>
      <c r="P4" s="3048" t="s">
        <v>3046</v>
      </c>
    </row>
    <row r="5" spans="2:16" ht="14.25" thickBot="1">
      <c r="B5">
        <f>ROUND(C5/$C$8*$C$2,2)</f>
        <v>56182.22</v>
      </c>
      <c r="C5" s="3482">
        <v>177759.87</v>
      </c>
      <c r="D5" t="s">
        <v>3008</v>
      </c>
      <c r="E5" s="3048" t="s">
        <v>3009</v>
      </c>
      <c r="F5" s="3093">
        <f>G18</f>
        <v>0</v>
      </c>
      <c r="G5" s="3093">
        <f t="shared" ref="G5:I5" si="1">H18</f>
        <v>2183.39</v>
      </c>
      <c r="H5" s="3093">
        <f t="shared" si="1"/>
        <v>0</v>
      </c>
      <c r="I5" s="3093">
        <f t="shared" si="1"/>
        <v>1203.22</v>
      </c>
      <c r="J5" s="3093">
        <f>SUM(F5:I5)</f>
        <v>3386.6099999999997</v>
      </c>
      <c r="K5" s="3048"/>
      <c r="L5" s="3048">
        <f ca="1">U26+U27</f>
        <v>4201</v>
      </c>
      <c r="M5" s="3085"/>
      <c r="N5" s="3085">
        <f ca="1">ROUND(系统读取表!E17*工程进度!I5/10000,0)</f>
        <v>315</v>
      </c>
      <c r="O5" s="3085">
        <f ca="1">SUM(K5:N5)</f>
        <v>4516</v>
      </c>
      <c r="P5" s="3085">
        <f ca="1">结果表!N59</f>
        <v>4277</v>
      </c>
    </row>
    <row r="6" spans="2:16" ht="14.25" thickBot="1">
      <c r="B6">
        <f>ROUND(C6/$C$8*$C$2,2)</f>
        <v>52610.21</v>
      </c>
      <c r="C6" s="3482">
        <v>166458.07999999999</v>
      </c>
      <c r="D6" t="s">
        <v>3008</v>
      </c>
      <c r="E6" s="3048" t="s">
        <v>3010</v>
      </c>
      <c r="F6" s="3093">
        <f t="shared" ref="F6:I6" si="2">G19</f>
        <v>13554.37</v>
      </c>
      <c r="G6" s="3093">
        <f t="shared" si="2"/>
        <v>521.5</v>
      </c>
      <c r="H6" s="3093">
        <f t="shared" si="2"/>
        <v>369.19</v>
      </c>
      <c r="I6" s="3093">
        <f t="shared" si="2"/>
        <v>31571.54</v>
      </c>
      <c r="J6" s="3093">
        <f>SUM(F6:I6)</f>
        <v>46016.600000000006</v>
      </c>
      <c r="K6" s="3048">
        <f ca="1">典型户型修正!S22</f>
        <v>37583</v>
      </c>
      <c r="L6" s="3048">
        <f ca="1">U28</f>
        <v>1364</v>
      </c>
      <c r="M6" s="3085">
        <f ca="1">系统读取表!D16</f>
        <v>206</v>
      </c>
      <c r="N6" s="3085">
        <f ca="1">系统读取表!D17-工程进度!N5</f>
        <v>8267</v>
      </c>
      <c r="O6" s="3085">
        <f ca="1">SUM(K6:N6)</f>
        <v>47420</v>
      </c>
      <c r="P6" s="3085">
        <f ca="1">结果表商!N59</f>
        <v>43608</v>
      </c>
    </row>
    <row r="7" spans="2:16" ht="14.25" thickBot="1">
      <c r="B7">
        <f>C2-B5-B6</f>
        <v>33789.200000000004</v>
      </c>
      <c r="C7" s="3482">
        <f>72086.65+34821.95</f>
        <v>106908.59999999999</v>
      </c>
      <c r="D7" t="s">
        <v>3011</v>
      </c>
      <c r="E7" s="3048" t="s">
        <v>3012</v>
      </c>
      <c r="F7" s="3093">
        <f t="shared" ref="F7:I7" si="3">G20</f>
        <v>56359.41</v>
      </c>
      <c r="G7" s="3093">
        <f t="shared" si="3"/>
        <v>2338.25</v>
      </c>
      <c r="H7" s="3093">
        <f t="shared" si="3"/>
        <v>0</v>
      </c>
      <c r="I7" s="3093">
        <f t="shared" si="3"/>
        <v>13611.27</v>
      </c>
      <c r="J7" s="3093">
        <f>SUM(F7:I7)</f>
        <v>72308.930000000008</v>
      </c>
      <c r="K7" s="3048"/>
      <c r="L7" s="3048"/>
      <c r="M7" s="3085"/>
      <c r="N7" s="3085"/>
      <c r="O7" s="3085">
        <f>系统读取表!G18</f>
        <v>159143</v>
      </c>
      <c r="P7" s="3085">
        <f>系统读取表!I18</f>
        <v>150727</v>
      </c>
    </row>
    <row r="8" spans="2:16" ht="14.25" thickBot="1">
      <c r="B8">
        <f>SUM(B5:B7)</f>
        <v>142581.63</v>
      </c>
      <c r="C8" s="3110">
        <f>SUM(C5:C7)</f>
        <v>451126.54999999993</v>
      </c>
      <c r="E8" s="3048"/>
      <c r="F8" s="3093">
        <f>SUM(F5:F7)</f>
        <v>69913.78</v>
      </c>
      <c r="G8" s="3093">
        <f t="shared" ref="G8:I8" si="4">SUM(G5:G7)</f>
        <v>5043.1399999999994</v>
      </c>
      <c r="H8" s="3093">
        <f t="shared" si="4"/>
        <v>369.19</v>
      </c>
      <c r="I8" s="3093">
        <f t="shared" si="4"/>
        <v>46386.03</v>
      </c>
      <c r="J8" s="3093">
        <f>SUM(J5:J7)</f>
        <v>121712.14000000001</v>
      </c>
      <c r="K8" s="3048"/>
      <c r="L8" s="3048"/>
      <c r="M8" s="3085"/>
      <c r="N8" s="3085"/>
      <c r="O8" s="3085">
        <f ca="1">SUM(O5:O7)</f>
        <v>211079</v>
      </c>
      <c r="P8" s="3085">
        <f ca="1">SUM(P5:P7)</f>
        <v>198612</v>
      </c>
    </row>
    <row r="9" spans="2:16" ht="14.25" thickBot="1">
      <c r="E9" s="3048"/>
      <c r="F9" s="3048"/>
      <c r="G9" s="3048"/>
      <c r="H9" s="3048"/>
      <c r="I9" s="3048"/>
      <c r="J9" s="3048"/>
    </row>
    <row r="10" spans="2:16" ht="14.25" thickBot="1">
      <c r="E10" s="3048"/>
      <c r="F10" s="3048"/>
      <c r="G10" s="3048"/>
      <c r="H10" s="3048"/>
      <c r="I10" s="3048"/>
      <c r="J10" s="3048"/>
    </row>
    <row r="11" spans="2:16">
      <c r="J11" s="3047"/>
    </row>
    <row r="15" spans="2:16">
      <c r="F15" s="3047"/>
    </row>
    <row r="16" spans="2:16" ht="14.25" thickBot="1"/>
    <row r="17" spans="5:21" ht="14.25" thickBot="1">
      <c r="F17" s="3048"/>
      <c r="G17" s="3048" t="s">
        <v>3004</v>
      </c>
      <c r="H17" s="3048" t="s">
        <v>3005</v>
      </c>
      <c r="I17" s="3048" t="s">
        <v>3006</v>
      </c>
      <c r="J17" s="3048" t="s">
        <v>3007</v>
      </c>
      <c r="K17" s="3048" t="s">
        <v>3013</v>
      </c>
      <c r="L17" s="3048" t="s">
        <v>3179</v>
      </c>
      <c r="M17" s="3048" t="s">
        <v>3180</v>
      </c>
      <c r="N17" s="3048" t="s">
        <v>3181</v>
      </c>
      <c r="O17" s="3048" t="s">
        <v>3182</v>
      </c>
    </row>
    <row r="18" spans="5:21" ht="14.25" thickBot="1">
      <c r="E18" t="s">
        <v>3173</v>
      </c>
      <c r="F18" s="3048" t="s">
        <v>3009</v>
      </c>
      <c r="G18" s="3093">
        <f>H31</f>
        <v>0</v>
      </c>
      <c r="H18" s="3093">
        <v>2183.39</v>
      </c>
      <c r="I18" s="3093">
        <f>J31</f>
        <v>0</v>
      </c>
      <c r="J18" s="3093">
        <v>1203.22</v>
      </c>
      <c r="K18" s="3093">
        <f>SUM(G18:J18)</f>
        <v>3386.6099999999997</v>
      </c>
      <c r="L18" s="3094"/>
      <c r="M18" s="3094">
        <v>2</v>
      </c>
      <c r="N18" s="3094"/>
      <c r="O18" s="3094">
        <v>45</v>
      </c>
    </row>
    <row r="19" spans="5:21" ht="14.25" thickBot="1">
      <c r="E19" t="s">
        <v>3173</v>
      </c>
      <c r="F19" s="3048" t="s">
        <v>3010</v>
      </c>
      <c r="G19" s="3093">
        <v>13554.37</v>
      </c>
      <c r="H19" s="3093">
        <v>521.5</v>
      </c>
      <c r="I19" s="3093">
        <v>369.19</v>
      </c>
      <c r="J19" s="3093">
        <v>31571.54</v>
      </c>
      <c r="K19" s="3093">
        <f t="shared" ref="K19:K20" si="5">SUM(G19:J19)</f>
        <v>46016.600000000006</v>
      </c>
      <c r="L19" s="3094">
        <v>146</v>
      </c>
      <c r="M19" s="3094">
        <v>1</v>
      </c>
      <c r="N19" s="3094">
        <v>5</v>
      </c>
      <c r="O19" s="3094">
        <v>1136</v>
      </c>
    </row>
    <row r="20" spans="5:21" ht="14.25" thickBot="1">
      <c r="E20" t="s">
        <v>3174</v>
      </c>
      <c r="F20" s="3048" t="s">
        <v>3012</v>
      </c>
      <c r="G20" s="3093">
        <v>56359.41</v>
      </c>
      <c r="H20" s="3093">
        <v>2338.25</v>
      </c>
      <c r="I20" s="3093"/>
      <c r="J20" s="3093">
        <v>13611.27</v>
      </c>
      <c r="K20" s="3093">
        <f t="shared" si="5"/>
        <v>72308.930000000008</v>
      </c>
      <c r="L20" s="3094">
        <v>928</v>
      </c>
      <c r="M20" s="3094">
        <v>2</v>
      </c>
      <c r="N20" s="3094"/>
      <c r="O20" s="3094">
        <v>462</v>
      </c>
    </row>
    <row r="21" spans="5:21" ht="14.25" thickBot="1">
      <c r="F21" s="3048"/>
      <c r="G21" s="3093">
        <f>SUM(G18:G20)</f>
        <v>69913.78</v>
      </c>
      <c r="H21" s="3093">
        <f t="shared" ref="H21:O21" si="6">SUM(H18:H20)</f>
        <v>5043.1399999999994</v>
      </c>
      <c r="I21" s="3093">
        <f t="shared" si="6"/>
        <v>369.19</v>
      </c>
      <c r="J21" s="3093">
        <f t="shared" si="6"/>
        <v>46386.03</v>
      </c>
      <c r="K21" s="3093">
        <f t="shared" si="6"/>
        <v>121712.14000000001</v>
      </c>
      <c r="L21" s="3094">
        <f t="shared" si="6"/>
        <v>1074</v>
      </c>
      <c r="M21" s="3094">
        <f t="shared" si="6"/>
        <v>5</v>
      </c>
      <c r="N21" s="3094">
        <f t="shared" si="6"/>
        <v>5</v>
      </c>
      <c r="O21" s="3094">
        <f t="shared" si="6"/>
        <v>1643</v>
      </c>
    </row>
    <row r="23" spans="5:21">
      <c r="L23" s="3092"/>
    </row>
    <row r="26" spans="5:21">
      <c r="F26" s="3047"/>
      <c r="L26">
        <v>1743</v>
      </c>
      <c r="M26" t="s">
        <v>4265</v>
      </c>
      <c r="N26" t="s">
        <v>4266</v>
      </c>
      <c r="P26" t="s">
        <v>466</v>
      </c>
      <c r="Q26">
        <v>1648.38</v>
      </c>
      <c r="R26" s="2923" t="s">
        <v>4267</v>
      </c>
      <c r="S26">
        <v>0.65</v>
      </c>
      <c r="T26" s="3109">
        <f ca="1">U26/Q26*10000</f>
        <v>16998.507625668837</v>
      </c>
      <c r="U26">
        <f ca="1">U29-U28-U27</f>
        <v>2802</v>
      </c>
    </row>
    <row r="27" spans="5:21">
      <c r="F27" s="3047"/>
      <c r="L27">
        <v>1744</v>
      </c>
      <c r="M27" t="s">
        <v>4265</v>
      </c>
      <c r="N27" t="s">
        <v>4268</v>
      </c>
      <c r="P27" t="s">
        <v>466</v>
      </c>
      <c r="Q27">
        <v>535.01</v>
      </c>
      <c r="R27" s="2923" t="s">
        <v>4269</v>
      </c>
      <c r="S27">
        <v>1</v>
      </c>
      <c r="T27" s="3109">
        <f ca="1">T28</f>
        <v>26152</v>
      </c>
      <c r="U27">
        <f ca="1">ROUND(T27*Q27/10000,0)</f>
        <v>1399</v>
      </c>
    </row>
    <row r="28" spans="5:21">
      <c r="F28" s="3047"/>
      <c r="L28">
        <v>1745</v>
      </c>
      <c r="M28" t="s">
        <v>3186</v>
      </c>
      <c r="N28" t="s">
        <v>4270</v>
      </c>
      <c r="P28" t="s">
        <v>466</v>
      </c>
      <c r="Q28">
        <v>521.5</v>
      </c>
      <c r="R28" s="2923" t="s">
        <v>4269</v>
      </c>
      <c r="S28">
        <v>1</v>
      </c>
      <c r="T28" s="3109">
        <f ca="1">ROUND(T29/S29,0)</f>
        <v>26152</v>
      </c>
      <c r="U28">
        <f ca="1">ROUND(T28*Q28/10000,0)</f>
        <v>1364</v>
      </c>
    </row>
    <row r="29" spans="5:21">
      <c r="Q29">
        <f>SUM(Q26:Q28)</f>
        <v>2704.8900000000003</v>
      </c>
      <c r="S29" s="3110">
        <f>SUMPRODUCT(S26:S28,Q26:Q28)/Q29</f>
        <v>0.78670740769495251</v>
      </c>
      <c r="T29">
        <f ca="1">系统读取表!E15</f>
        <v>20574</v>
      </c>
      <c r="U29">
        <f ca="1">系统读取表!D15</f>
        <v>5565</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8" customWidth="1"/>
    <col min="2" max="3" width="24.5" style="1372" customWidth="1"/>
    <col min="4" max="4" width="2.625" style="1372" customWidth="1"/>
    <col min="5" max="5" width="5.875" style="1372" customWidth="1"/>
    <col min="6" max="7" width="27" style="1372" customWidth="1"/>
    <col min="8" max="8" width="11.875" style="2419" customWidth="1"/>
    <col min="9" max="9" width="16.75" style="2419" customWidth="1"/>
    <col min="10" max="10" width="2.625" style="2419" customWidth="1"/>
    <col min="11" max="11" width="11.875" style="2419" customWidth="1"/>
    <col min="12" max="12" width="16.75" style="2419" customWidth="1"/>
    <col min="13" max="13" width="2.625" style="2419" customWidth="1"/>
    <col min="14" max="14" width="11.875" style="2419" customWidth="1"/>
    <col min="15" max="15" width="16.75" style="2419" customWidth="1"/>
    <col min="16" max="16" width="2.625" style="2419" customWidth="1"/>
    <col min="17" max="17" width="11.875" style="2419" customWidth="1"/>
    <col min="18" max="18" width="16.75" style="2000" customWidth="1"/>
    <col min="19" max="29" width="9" style="2000"/>
    <col min="30" max="16384" width="9" style="2418"/>
  </cols>
  <sheetData>
    <row r="1" spans="1:29" s="2417" customFormat="1" ht="18">
      <c r="A1" s="3209" t="s">
        <v>662</v>
      </c>
      <c r="B1" s="3210"/>
      <c r="C1" s="3210"/>
      <c r="D1" s="3210"/>
      <c r="E1" s="3210"/>
      <c r="F1" s="3210"/>
      <c r="G1" s="3210"/>
      <c r="H1" s="2420"/>
      <c r="I1" s="2420"/>
      <c r="J1" s="2420"/>
      <c r="K1" s="2420"/>
      <c r="L1" s="2420"/>
      <c r="M1" s="2420"/>
      <c r="N1" s="2420"/>
      <c r="O1" s="2420"/>
      <c r="P1" s="2420"/>
      <c r="Q1" s="2473"/>
      <c r="R1" s="2474"/>
      <c r="S1" s="2474"/>
      <c r="T1" s="2474"/>
      <c r="U1" s="2474"/>
      <c r="V1" s="2474"/>
      <c r="W1" s="2474"/>
      <c r="X1" s="2474"/>
      <c r="Y1" s="2474"/>
      <c r="Z1" s="2474"/>
      <c r="AA1" s="2474"/>
      <c r="AB1" s="2474"/>
      <c r="AC1" s="2474"/>
    </row>
    <row r="2" spans="1:29">
      <c r="A2" s="2421"/>
      <c r="B2" s="2422"/>
      <c r="C2" s="2423" t="s">
        <v>663</v>
      </c>
      <c r="D2" s="2424"/>
      <c r="E2" s="2421"/>
      <c r="F2" s="2425"/>
      <c r="G2" s="2423" t="s">
        <v>664</v>
      </c>
      <c r="H2" s="2000"/>
      <c r="I2" s="2000"/>
      <c r="J2" s="2000"/>
      <c r="K2" s="2000"/>
      <c r="L2" s="2000"/>
      <c r="M2" s="2000"/>
      <c r="N2" s="2000"/>
      <c r="O2" s="2000"/>
      <c r="P2" s="2000"/>
      <c r="Q2" s="2000"/>
    </row>
    <row r="3" spans="1:29" ht="25.5">
      <c r="A3" s="2426" t="s">
        <v>665</v>
      </c>
      <c r="B3" s="2427" t="s">
        <v>666</v>
      </c>
      <c r="C3" s="2428" t="s">
        <v>667</v>
      </c>
      <c r="D3" s="2429"/>
      <c r="E3" s="2430" t="s">
        <v>665</v>
      </c>
      <c r="F3" s="2431" t="s">
        <v>668</v>
      </c>
      <c r="G3" s="2432" t="s">
        <v>669</v>
      </c>
      <c r="H3" s="2000"/>
      <c r="I3" s="2000"/>
      <c r="J3" s="2000"/>
      <c r="K3" s="2000"/>
      <c r="L3" s="2000"/>
      <c r="M3" s="2000"/>
      <c r="N3" s="2000"/>
      <c r="O3" s="2000"/>
      <c r="P3" s="2000"/>
      <c r="Q3" s="2000"/>
    </row>
    <row r="4" spans="1:29" ht="36">
      <c r="A4" s="2430"/>
      <c r="B4" s="1679" t="s">
        <v>670</v>
      </c>
      <c r="C4" s="2433" t="s">
        <v>671</v>
      </c>
      <c r="D4" s="2429"/>
      <c r="E4" s="2434"/>
      <c r="F4" s="1880" t="s">
        <v>672</v>
      </c>
      <c r="G4" s="2435" t="s">
        <v>673</v>
      </c>
      <c r="H4" s="2000"/>
      <c r="I4" s="2000"/>
      <c r="J4" s="2000"/>
      <c r="K4" s="2000"/>
      <c r="L4" s="2000"/>
      <c r="M4" s="2000"/>
      <c r="N4" s="2000"/>
      <c r="O4" s="2000"/>
      <c r="P4" s="2000"/>
      <c r="Q4" s="2000"/>
    </row>
    <row r="5" spans="1:29" ht="24">
      <c r="A5" s="2430"/>
      <c r="B5" s="1679" t="s">
        <v>674</v>
      </c>
      <c r="C5" s="2436"/>
      <c r="D5" s="2429"/>
      <c r="E5" s="2434"/>
      <c r="F5" s="1679" t="s">
        <v>467</v>
      </c>
      <c r="G5" s="2435" t="s">
        <v>675</v>
      </c>
      <c r="H5" s="2000"/>
      <c r="I5" s="2000"/>
      <c r="J5" s="2000"/>
      <c r="K5" s="2000"/>
      <c r="L5" s="2000"/>
      <c r="M5" s="2000"/>
      <c r="N5" s="2000"/>
      <c r="O5" s="2000"/>
      <c r="P5" s="2000"/>
      <c r="Q5" s="2000"/>
    </row>
    <row r="6" spans="1:29">
      <c r="A6" s="2430"/>
      <c r="B6" s="1679" t="s">
        <v>672</v>
      </c>
      <c r="C6" s="2437" t="s">
        <v>667</v>
      </c>
      <c r="D6" s="2429"/>
      <c r="E6" s="2434"/>
      <c r="F6" s="1679" t="s">
        <v>676</v>
      </c>
      <c r="G6" s="2435" t="s">
        <v>677</v>
      </c>
      <c r="H6" s="2000"/>
      <c r="I6" s="2000"/>
      <c r="J6" s="2000"/>
      <c r="K6" s="2000"/>
      <c r="L6" s="2000"/>
      <c r="M6" s="2000"/>
      <c r="N6" s="2000"/>
      <c r="O6" s="2000"/>
      <c r="P6" s="2000"/>
      <c r="Q6" s="2000"/>
    </row>
    <row r="7" spans="1:29" ht="24">
      <c r="A7" s="2430"/>
      <c r="B7" s="1679" t="s">
        <v>467</v>
      </c>
      <c r="C7" s="2437" t="s">
        <v>667</v>
      </c>
      <c r="D7" s="2438"/>
      <c r="E7" s="2439"/>
      <c r="F7" s="2440" t="s">
        <v>678</v>
      </c>
      <c r="G7" s="2441" t="s">
        <v>679</v>
      </c>
      <c r="H7" s="2000"/>
      <c r="I7" s="2000"/>
      <c r="J7" s="2000"/>
      <c r="K7" s="2000"/>
      <c r="L7" s="2000"/>
      <c r="M7" s="2000"/>
      <c r="N7" s="2000"/>
      <c r="O7" s="2000"/>
      <c r="P7" s="2000"/>
      <c r="Q7" s="2000"/>
    </row>
    <row r="8" spans="1:29">
      <c r="A8" s="2430"/>
      <c r="B8" s="1679" t="s">
        <v>676</v>
      </c>
      <c r="C8" s="2437" t="s">
        <v>236</v>
      </c>
      <c r="D8" s="2438"/>
      <c r="E8" s="2438"/>
      <c r="F8" s="274"/>
      <c r="G8" s="274"/>
      <c r="H8" s="2000"/>
      <c r="I8" s="2000"/>
      <c r="J8" s="2000"/>
      <c r="K8" s="2000"/>
      <c r="L8" s="2000"/>
      <c r="M8" s="2000"/>
      <c r="N8" s="2000"/>
      <c r="O8" s="2000"/>
      <c r="P8" s="2000"/>
      <c r="Q8" s="2000"/>
    </row>
    <row r="9" spans="1:29">
      <c r="A9" s="2430"/>
      <c r="B9" s="1679" t="s">
        <v>680</v>
      </c>
      <c r="C9" s="2433" t="s">
        <v>667</v>
      </c>
      <c r="D9" s="2429"/>
      <c r="E9" s="2438"/>
      <c r="F9" s="274"/>
      <c r="G9" s="274"/>
      <c r="H9" s="2000"/>
      <c r="I9" s="2000"/>
      <c r="J9" s="2000"/>
      <c r="K9" s="2000"/>
      <c r="L9" s="2000"/>
      <c r="M9" s="2000"/>
      <c r="N9" s="2000"/>
      <c r="O9" s="2000"/>
      <c r="P9" s="2000"/>
      <c r="Q9" s="2000"/>
    </row>
    <row r="10" spans="1:29">
      <c r="A10" s="2442"/>
      <c r="B10" s="2443" t="s">
        <v>681</v>
      </c>
      <c r="C10" s="2444" t="s">
        <v>682</v>
      </c>
      <c r="D10" s="2429"/>
      <c r="E10" s="2429"/>
      <c r="F10" s="274"/>
      <c r="G10" s="274"/>
      <c r="J10" s="2470"/>
      <c r="M10" s="2470"/>
      <c r="P10" s="2470"/>
      <c r="R10" s="2419"/>
    </row>
    <row r="11" spans="1:29">
      <c r="A11" s="2445"/>
      <c r="B11" s="2438"/>
      <c r="C11" s="2429"/>
      <c r="D11" s="2429"/>
      <c r="E11" s="2429"/>
      <c r="F11" s="2438"/>
      <c r="G11" s="2438"/>
      <c r="J11" s="2470"/>
      <c r="M11" s="2470"/>
      <c r="P11" s="2470"/>
      <c r="R11" s="2419"/>
    </row>
    <row r="12" spans="1:29" s="2417" customFormat="1" ht="18">
      <c r="A12" s="2445"/>
      <c r="B12" s="2438"/>
      <c r="C12" s="2429"/>
      <c r="D12" s="2446"/>
      <c r="E12" s="2429"/>
      <c r="F12" s="2438"/>
      <c r="G12" s="2438"/>
      <c r="H12" s="2447"/>
      <c r="I12" s="2447"/>
      <c r="J12" s="2447"/>
      <c r="K12" s="2447"/>
      <c r="L12" s="2471"/>
      <c r="M12" s="2447"/>
      <c r="N12" s="2472"/>
      <c r="O12" s="2472"/>
      <c r="P12" s="2472"/>
      <c r="Q12" s="2472"/>
      <c r="R12" s="2474"/>
      <c r="S12" s="2474"/>
      <c r="T12" s="2474"/>
      <c r="U12" s="2474"/>
      <c r="V12" s="2474"/>
      <c r="W12" s="2474"/>
      <c r="X12" s="2474"/>
      <c r="Y12" s="2474"/>
      <c r="Z12" s="2474"/>
      <c r="AA12" s="2474"/>
      <c r="AB12" s="2474"/>
      <c r="AC12" s="2474"/>
    </row>
    <row r="13" spans="1:29" ht="15">
      <c r="A13" s="2448" t="s">
        <v>683</v>
      </c>
      <c r="B13" s="2446"/>
      <c r="C13" s="2446"/>
      <c r="D13" s="2445"/>
      <c r="E13" s="2446"/>
      <c r="F13" s="2446"/>
      <c r="G13" s="2446"/>
    </row>
    <row r="14" spans="1:29">
      <c r="A14" s="2449"/>
      <c r="B14" s="2449"/>
      <c r="C14" s="2450" t="s">
        <v>663</v>
      </c>
      <c r="D14" s="2429"/>
      <c r="E14" s="2451"/>
      <c r="F14" s="2451"/>
      <c r="G14" s="2423" t="s">
        <v>664</v>
      </c>
    </row>
    <row r="15" spans="1:29" ht="25.5">
      <c r="A15" s="2452" t="s">
        <v>665</v>
      </c>
      <c r="B15" s="2453" t="s">
        <v>666</v>
      </c>
      <c r="C15" s="2454" t="str">
        <f>C3</f>
        <v>一般</v>
      </c>
      <c r="D15" s="2429"/>
      <c r="E15" s="2455" t="s">
        <v>665</v>
      </c>
      <c r="F15" s="2453" t="s">
        <v>668</v>
      </c>
      <c r="G15" s="2456" t="str">
        <f>G3</f>
        <v>估价对象位于XX开发区，园区建设成熟度XX，产业集聚程度XX</v>
      </c>
    </row>
    <row r="16" spans="1:29" ht="38.25">
      <c r="A16" s="2457"/>
      <c r="B16" s="2458" t="s">
        <v>670</v>
      </c>
      <c r="C16" s="2459" t="str">
        <f>C4</f>
        <v>较差</v>
      </c>
      <c r="D16" s="2429"/>
      <c r="E16" s="2460"/>
      <c r="F16" s="2461" t="s">
        <v>672</v>
      </c>
      <c r="G16" s="2462" t="str">
        <f>G4</f>
        <v>估价对象周边道路状况、公共交通通达情况、停车便捷程度，综合评价交通便捷度较好</v>
      </c>
    </row>
    <row r="17" spans="1:17">
      <c r="A17" s="2457"/>
      <c r="B17" s="2458" t="s">
        <v>674</v>
      </c>
      <c r="C17" s="2459">
        <f>C5</f>
        <v>0</v>
      </c>
      <c r="D17" s="2438"/>
      <c r="E17" s="2460"/>
      <c r="F17" s="2461" t="s">
        <v>684</v>
      </c>
      <c r="G17" s="2463"/>
    </row>
    <row r="18" spans="1:17" ht="25.5">
      <c r="A18" s="2457"/>
      <c r="B18" s="2461" t="s">
        <v>672</v>
      </c>
      <c r="C18" s="2462" t="str">
        <f>C6</f>
        <v>一般</v>
      </c>
      <c r="D18" s="2438"/>
      <c r="E18" s="2460"/>
      <c r="F18" s="2461" t="s">
        <v>678</v>
      </c>
      <c r="G18" s="2462" t="str">
        <f>G7</f>
        <v>该园区内是否有污染型企业，绿化情况，卫生条件，整体环境状况判断</v>
      </c>
    </row>
    <row r="19" spans="1:17" ht="25.5">
      <c r="A19" s="2457"/>
      <c r="B19" s="2461" t="s">
        <v>684</v>
      </c>
      <c r="C19" s="2463"/>
      <c r="D19" s="2429"/>
      <c r="E19" s="2460"/>
      <c r="F19" s="1679" t="s">
        <v>467</v>
      </c>
      <c r="G19" s="2462" t="str">
        <f>G5</f>
        <v>估价对象所在区域公共配套设施齐备情况</v>
      </c>
    </row>
    <row r="20" spans="1:17">
      <c r="A20" s="2457"/>
      <c r="B20" s="2461" t="s">
        <v>685</v>
      </c>
      <c r="C20" s="2459" t="str">
        <f>C9</f>
        <v>一般</v>
      </c>
      <c r="D20" s="2438"/>
      <c r="E20" s="2460"/>
      <c r="F20" s="1679" t="s">
        <v>676</v>
      </c>
      <c r="G20" s="2462" t="str">
        <f>G6</f>
        <v>估价对象所在区域基础设施水平</v>
      </c>
    </row>
    <row r="21" spans="1:17">
      <c r="A21" s="2457"/>
      <c r="B21" s="1679" t="s">
        <v>467</v>
      </c>
      <c r="C21" s="2462" t="str">
        <f>C7</f>
        <v>一般</v>
      </c>
      <c r="D21" s="2429"/>
      <c r="E21" s="2460"/>
      <c r="F21" s="2461" t="s">
        <v>686</v>
      </c>
      <c r="G21" s="2464"/>
    </row>
    <row r="22" spans="1:17" ht="13.5" customHeight="1">
      <c r="A22" s="2457"/>
      <c r="B22" s="1679" t="s">
        <v>676</v>
      </c>
      <c r="C22" s="2462" t="str">
        <f>C8</f>
        <v>七通</v>
      </c>
      <c r="D22" s="2429"/>
      <c r="E22" s="2460"/>
      <c r="F22" s="2461" t="s">
        <v>681</v>
      </c>
      <c r="G22" s="2463"/>
    </row>
    <row r="23" spans="1:17" s="2000" customFormat="1">
      <c r="A23" s="2457"/>
      <c r="B23" s="2461" t="s">
        <v>686</v>
      </c>
      <c r="C23" s="2464"/>
      <c r="D23" s="2401"/>
      <c r="E23" s="2465"/>
      <c r="F23" s="2466" t="s">
        <v>411</v>
      </c>
      <c r="G23" s="2467"/>
      <c r="H23" s="2419"/>
      <c r="I23" s="2419"/>
      <c r="J23" s="2419"/>
      <c r="K23" s="2419"/>
      <c r="L23" s="2419"/>
      <c r="M23" s="2419"/>
      <c r="N23" s="2419"/>
      <c r="O23" s="2419"/>
      <c r="P23" s="2419"/>
      <c r="Q23" s="2419"/>
    </row>
    <row r="24" spans="1:17" s="2000" customFormat="1">
      <c r="A24" s="2468"/>
      <c r="B24" s="2466" t="s">
        <v>681</v>
      </c>
      <c r="C24" s="2469" t="str">
        <f>C10</f>
        <v>次干道</v>
      </c>
      <c r="D24" s="2401"/>
      <c r="E24" s="2438"/>
      <c r="F24" s="2438"/>
      <c r="G24" s="2438"/>
      <c r="H24" s="2419"/>
      <c r="I24" s="2419"/>
      <c r="J24" s="2419"/>
      <c r="K24" s="2419"/>
      <c r="L24" s="2419"/>
      <c r="M24" s="2419"/>
      <c r="N24" s="2419"/>
      <c r="O24" s="2419"/>
      <c r="P24" s="2419"/>
      <c r="Q24" s="2419"/>
    </row>
    <row r="25" spans="1:17" s="2000" customFormat="1">
      <c r="B25" s="2419"/>
      <c r="C25" s="2419"/>
      <c r="D25" s="2419"/>
      <c r="H25" s="2419"/>
      <c r="I25" s="2419"/>
      <c r="J25" s="2419"/>
      <c r="K25" s="2419"/>
      <c r="L25" s="2419"/>
      <c r="M25" s="2419"/>
      <c r="N25" s="2419"/>
      <c r="O25" s="2419"/>
      <c r="P25" s="2419"/>
      <c r="Q25" s="2419"/>
    </row>
    <row r="26" spans="1:17" s="2000" customFormat="1">
      <c r="B26" s="2419"/>
      <c r="C26" s="2419"/>
      <c r="D26" s="2419"/>
      <c r="H26" s="2419"/>
      <c r="I26" s="2419"/>
      <c r="J26" s="2419"/>
      <c r="K26" s="2419"/>
      <c r="L26" s="2419"/>
      <c r="M26" s="2419"/>
      <c r="N26" s="2419"/>
      <c r="O26" s="2419"/>
      <c r="P26" s="2419"/>
      <c r="Q26" s="2419"/>
    </row>
    <row r="27" spans="1:17" s="2000" customFormat="1">
      <c r="B27" s="2419"/>
      <c r="C27" s="2419"/>
      <c r="D27" s="2419"/>
      <c r="H27" s="2419"/>
      <c r="I27" s="2419"/>
      <c r="J27" s="2419"/>
      <c r="K27" s="2419"/>
      <c r="L27" s="2419"/>
      <c r="M27" s="2419"/>
      <c r="N27" s="2419"/>
      <c r="O27" s="2419"/>
      <c r="P27" s="2419"/>
      <c r="Q27" s="2419"/>
    </row>
    <row r="28" spans="1:17" s="2000" customFormat="1">
      <c r="B28" s="2419"/>
      <c r="C28" s="2419"/>
      <c r="D28" s="2419"/>
      <c r="H28" s="2419"/>
      <c r="I28" s="2419"/>
      <c r="J28" s="2419"/>
      <c r="K28" s="2419"/>
      <c r="L28" s="2419"/>
      <c r="M28" s="2419"/>
      <c r="N28" s="2419"/>
      <c r="O28" s="2419"/>
      <c r="P28" s="2419"/>
      <c r="Q28" s="2419"/>
    </row>
    <row r="29" spans="1:17" s="2000" customFormat="1">
      <c r="B29" s="2419"/>
      <c r="C29" s="2419"/>
      <c r="D29" s="2419"/>
      <c r="H29" s="2419"/>
      <c r="I29" s="2419"/>
      <c r="J29" s="2419"/>
      <c r="K29" s="2419"/>
      <c r="L29" s="2419"/>
      <c r="M29" s="2419"/>
      <c r="N29" s="2419"/>
      <c r="O29" s="2419"/>
      <c r="P29" s="2419"/>
      <c r="Q29" s="2419"/>
    </row>
    <row r="30" spans="1:17" s="2000" customFormat="1">
      <c r="B30" s="2419"/>
      <c r="C30" s="2419"/>
      <c r="D30" s="2419"/>
      <c r="H30" s="2419"/>
      <c r="I30" s="2419"/>
      <c r="J30" s="2419"/>
      <c r="K30" s="2419"/>
      <c r="L30" s="2419"/>
      <c r="M30" s="2419"/>
      <c r="N30" s="2419"/>
      <c r="O30" s="2419"/>
      <c r="P30" s="2419"/>
      <c r="Q30" s="2419"/>
    </row>
    <row r="31" spans="1:17" s="2000" customFormat="1">
      <c r="B31" s="2419"/>
      <c r="C31" s="2419"/>
      <c r="D31" s="2419"/>
      <c r="H31" s="2419"/>
      <c r="I31" s="2419"/>
      <c r="J31" s="2419"/>
      <c r="K31" s="2419"/>
      <c r="L31" s="2419"/>
      <c r="M31" s="2419"/>
      <c r="N31" s="2419"/>
      <c r="O31" s="2419"/>
      <c r="P31" s="2419"/>
      <c r="Q31" s="2419"/>
    </row>
    <row r="32" spans="1:17" s="2000" customFormat="1">
      <c r="B32" s="2419"/>
      <c r="C32" s="2419"/>
      <c r="D32" s="2419"/>
      <c r="H32" s="2419"/>
      <c r="I32" s="2419"/>
      <c r="J32" s="2419"/>
      <c r="K32" s="2419"/>
      <c r="L32" s="2419"/>
      <c r="M32" s="2419"/>
      <c r="N32" s="2419"/>
      <c r="O32" s="2419"/>
      <c r="P32" s="2419"/>
      <c r="Q32" s="2419"/>
    </row>
    <row r="33" spans="2:17" s="2000" customFormat="1">
      <c r="B33" s="2419"/>
      <c r="C33" s="2419"/>
      <c r="D33" s="2419"/>
      <c r="H33" s="2419"/>
      <c r="I33" s="2419"/>
      <c r="J33" s="2419"/>
      <c r="K33" s="2419"/>
      <c r="L33" s="2419"/>
      <c r="M33" s="2419"/>
      <c r="N33" s="2419"/>
      <c r="O33" s="2419"/>
      <c r="P33" s="2419"/>
      <c r="Q33" s="2419"/>
    </row>
    <row r="34" spans="2:17" s="2000" customFormat="1">
      <c r="B34" s="2419"/>
      <c r="C34" s="2419"/>
      <c r="D34" s="2419"/>
      <c r="H34" s="2419"/>
      <c r="I34" s="2419"/>
      <c r="J34" s="2419"/>
      <c r="K34" s="2419"/>
      <c r="L34" s="2419"/>
      <c r="M34" s="2419"/>
      <c r="N34" s="2419"/>
      <c r="O34" s="2419"/>
      <c r="P34" s="2419"/>
      <c r="Q34" s="2419"/>
    </row>
    <row r="35" spans="2:17" s="2000" customFormat="1">
      <c r="B35" s="2419"/>
      <c r="C35" s="2419"/>
      <c r="D35" s="2419"/>
      <c r="H35" s="2419"/>
      <c r="I35" s="2419"/>
      <c r="J35" s="2419"/>
      <c r="K35" s="2419"/>
      <c r="L35" s="2419"/>
      <c r="M35" s="2419"/>
      <c r="N35" s="2419"/>
      <c r="O35" s="2419"/>
      <c r="P35" s="2419"/>
      <c r="Q35" s="2419"/>
    </row>
    <row r="36" spans="2:17" s="2000" customFormat="1">
      <c r="B36" s="2419"/>
      <c r="C36" s="2419"/>
      <c r="D36" s="2419"/>
      <c r="H36" s="2419"/>
      <c r="I36" s="2419"/>
      <c r="J36" s="2419"/>
      <c r="K36" s="2419"/>
      <c r="L36" s="2419"/>
      <c r="M36" s="2419"/>
      <c r="N36" s="2419"/>
      <c r="O36" s="2419"/>
      <c r="P36" s="2419"/>
      <c r="Q36" s="2419"/>
    </row>
    <row r="37" spans="2:17" s="2000" customFormat="1">
      <c r="B37" s="2419"/>
      <c r="C37" s="2419"/>
      <c r="D37" s="2419"/>
      <c r="H37" s="2419"/>
      <c r="I37" s="2419"/>
      <c r="J37" s="2419"/>
      <c r="K37" s="2419"/>
      <c r="L37" s="2419"/>
      <c r="M37" s="2419"/>
      <c r="N37" s="2419"/>
      <c r="O37" s="2419"/>
      <c r="P37" s="2419"/>
      <c r="Q37" s="2419"/>
    </row>
    <row r="38" spans="2:17" s="2000" customFormat="1">
      <c r="B38" s="2419"/>
      <c r="C38" s="2419"/>
      <c r="D38" s="2419"/>
      <c r="E38" s="2419"/>
      <c r="F38" s="2419"/>
      <c r="G38" s="2419"/>
      <c r="H38" s="2419"/>
      <c r="I38" s="2419"/>
      <c r="J38" s="2419"/>
      <c r="K38" s="2419"/>
      <c r="L38" s="2419"/>
      <c r="M38" s="2419"/>
      <c r="N38" s="2419"/>
      <c r="O38" s="2419"/>
      <c r="P38" s="2419"/>
      <c r="Q38" s="2419"/>
    </row>
    <row r="39" spans="2:17" s="2000" customFormat="1">
      <c r="B39" s="2419"/>
      <c r="C39" s="2419"/>
      <c r="D39" s="2419"/>
      <c r="E39" s="2419"/>
      <c r="F39" s="2419"/>
      <c r="G39" s="2419"/>
      <c r="H39" s="2419"/>
      <c r="I39" s="2419"/>
      <c r="J39" s="2419"/>
      <c r="K39" s="2419"/>
      <c r="L39" s="2419"/>
      <c r="M39" s="2419"/>
      <c r="N39" s="2419"/>
      <c r="O39" s="2419"/>
      <c r="P39" s="2419"/>
      <c r="Q39" s="2419"/>
    </row>
    <row r="40" spans="2:17" s="2000" customFormat="1">
      <c r="B40" s="2419"/>
      <c r="C40" s="2419"/>
      <c r="D40" s="2419"/>
      <c r="E40" s="2419"/>
      <c r="F40" s="2419"/>
      <c r="G40" s="2419"/>
      <c r="H40" s="2419"/>
      <c r="I40" s="2419"/>
      <c r="J40" s="2419"/>
      <c r="K40" s="2419"/>
      <c r="L40" s="2419"/>
      <c r="M40" s="2419"/>
      <c r="N40" s="2419"/>
      <c r="O40" s="2419"/>
      <c r="P40" s="2419"/>
      <c r="Q40" s="2419"/>
    </row>
    <row r="41" spans="2:17" s="2000" customFormat="1">
      <c r="B41" s="2419"/>
      <c r="C41" s="2419"/>
      <c r="D41" s="2419"/>
      <c r="E41" s="2419"/>
      <c r="F41" s="2419"/>
      <c r="G41" s="2419"/>
      <c r="H41" s="2419"/>
      <c r="I41" s="2419"/>
      <c r="J41" s="2419"/>
      <c r="K41" s="2419"/>
      <c r="L41" s="2419"/>
      <c r="M41" s="2419"/>
      <c r="N41" s="2419"/>
      <c r="O41" s="2419"/>
      <c r="P41" s="2419"/>
      <c r="Q41" s="2419"/>
    </row>
    <row r="42" spans="2:17" s="2000" customFormat="1">
      <c r="B42" s="2419"/>
      <c r="C42" s="2419"/>
      <c r="D42" s="2419"/>
      <c r="E42" s="2419"/>
      <c r="F42" s="2419"/>
      <c r="G42" s="2419"/>
      <c r="H42" s="2419"/>
      <c r="I42" s="2419"/>
      <c r="J42" s="2419"/>
      <c r="K42" s="2419"/>
      <c r="L42" s="2419"/>
      <c r="M42" s="2419"/>
      <c r="N42" s="2419"/>
      <c r="O42" s="2419"/>
      <c r="P42" s="2419"/>
      <c r="Q42" s="2419"/>
    </row>
    <row r="43" spans="2:17" s="2000" customFormat="1">
      <c r="B43" s="2419"/>
      <c r="C43" s="2419"/>
      <c r="D43" s="2419"/>
      <c r="E43" s="2419"/>
      <c r="F43" s="2419"/>
      <c r="G43" s="2419"/>
      <c r="H43" s="2419"/>
      <c r="I43" s="2419"/>
      <c r="J43" s="2419"/>
      <c r="K43" s="2419"/>
      <c r="L43" s="2419"/>
      <c r="M43" s="2419"/>
      <c r="N43" s="2419"/>
      <c r="O43" s="2419"/>
      <c r="P43" s="2419"/>
      <c r="Q43" s="2419"/>
    </row>
    <row r="44" spans="2:17" s="2000" customFormat="1">
      <c r="B44" s="2419"/>
      <c r="C44" s="2419"/>
      <c r="D44" s="2419"/>
      <c r="E44" s="2419"/>
      <c r="F44" s="2419"/>
      <c r="G44" s="2419"/>
      <c r="H44" s="2419"/>
      <c r="I44" s="2419"/>
      <c r="J44" s="2419"/>
      <c r="K44" s="2419"/>
      <c r="L44" s="2419"/>
      <c r="M44" s="2419"/>
      <c r="N44" s="2419"/>
      <c r="O44" s="2419"/>
      <c r="P44" s="2419"/>
      <c r="Q44" s="2419"/>
    </row>
    <row r="45" spans="2:17" s="2000" customFormat="1">
      <c r="B45" s="2419"/>
      <c r="C45" s="2419"/>
      <c r="D45" s="2419"/>
      <c r="E45" s="2419"/>
      <c r="F45" s="2419"/>
      <c r="G45" s="2419"/>
      <c r="H45" s="2419"/>
      <c r="I45" s="2419"/>
      <c r="J45" s="2419"/>
      <c r="K45" s="2419"/>
      <c r="L45" s="2419"/>
      <c r="M45" s="2419"/>
      <c r="N45" s="2419"/>
      <c r="O45" s="2419"/>
      <c r="P45" s="2419"/>
      <c r="Q45" s="2419"/>
    </row>
    <row r="46" spans="2:17" s="2000" customFormat="1">
      <c r="B46" s="2419"/>
      <c r="C46" s="2419"/>
      <c r="D46" s="2419"/>
      <c r="E46" s="2419"/>
      <c r="F46" s="2419"/>
      <c r="G46" s="2419"/>
      <c r="H46" s="2419"/>
      <c r="I46" s="2419"/>
      <c r="J46" s="2419"/>
      <c r="K46" s="2419"/>
      <c r="L46" s="2419"/>
      <c r="M46" s="2419"/>
      <c r="N46" s="2419"/>
      <c r="O46" s="2419"/>
      <c r="P46" s="2419"/>
      <c r="Q46" s="2419"/>
    </row>
    <row r="47" spans="2:17" s="2000" customFormat="1">
      <c r="B47" s="2419"/>
      <c r="C47" s="2419"/>
      <c r="D47" s="2419"/>
      <c r="E47" s="2419"/>
      <c r="F47" s="2419"/>
      <c r="G47" s="2419"/>
      <c r="H47" s="2419"/>
      <c r="I47" s="2419"/>
      <c r="J47" s="2419"/>
      <c r="K47" s="2419"/>
      <c r="L47" s="2419"/>
      <c r="M47" s="2419"/>
      <c r="N47" s="2419"/>
      <c r="O47" s="2419"/>
      <c r="P47" s="2419"/>
      <c r="Q47" s="2419"/>
    </row>
    <row r="48" spans="2:17" s="2000" customFormat="1">
      <c r="B48" s="2419"/>
      <c r="C48" s="2419"/>
      <c r="D48" s="2419"/>
      <c r="E48" s="2419"/>
      <c r="F48" s="2419"/>
      <c r="G48" s="2419"/>
      <c r="H48" s="2419"/>
      <c r="I48" s="2419"/>
      <c r="J48" s="2419"/>
      <c r="K48" s="2419"/>
      <c r="L48" s="2419"/>
      <c r="M48" s="2419"/>
      <c r="N48" s="2419"/>
      <c r="O48" s="2419"/>
      <c r="P48" s="2419"/>
      <c r="Q48" s="2419"/>
    </row>
    <row r="49" spans="2:17" s="2000" customFormat="1">
      <c r="B49" s="2419"/>
      <c r="C49" s="2419"/>
      <c r="D49" s="2419"/>
      <c r="E49" s="2419"/>
      <c r="F49" s="2419"/>
      <c r="G49" s="2419"/>
      <c r="H49" s="2419"/>
      <c r="I49" s="2419"/>
      <c r="J49" s="2419"/>
      <c r="K49" s="2419"/>
      <c r="L49" s="2419"/>
      <c r="M49" s="2419"/>
      <c r="N49" s="2419"/>
      <c r="O49" s="2419"/>
      <c r="P49" s="2419"/>
      <c r="Q49" s="2419"/>
    </row>
    <row r="50" spans="2:17" s="2000" customFormat="1">
      <c r="B50" s="2419"/>
      <c r="C50" s="2419"/>
      <c r="D50" s="2419"/>
      <c r="E50" s="2419"/>
      <c r="F50" s="2419"/>
      <c r="G50" s="2419"/>
      <c r="H50" s="2419"/>
      <c r="I50" s="2419"/>
      <c r="J50" s="2419"/>
      <c r="K50" s="2419"/>
      <c r="L50" s="2419"/>
      <c r="M50" s="2419"/>
      <c r="N50" s="2419"/>
      <c r="O50" s="2419"/>
      <c r="P50" s="2419"/>
      <c r="Q50" s="2419"/>
    </row>
    <row r="51" spans="2:17" s="2000" customFormat="1">
      <c r="B51" s="2419"/>
      <c r="C51" s="2419"/>
      <c r="D51" s="2419"/>
      <c r="E51" s="2419"/>
      <c r="F51" s="2419"/>
      <c r="G51" s="2419"/>
      <c r="H51" s="2419"/>
      <c r="I51" s="2419"/>
      <c r="J51" s="2419"/>
      <c r="K51" s="2419"/>
      <c r="L51" s="2419"/>
      <c r="M51" s="2419"/>
      <c r="N51" s="2419"/>
      <c r="O51" s="2419"/>
      <c r="P51" s="2419"/>
      <c r="Q51" s="2419"/>
    </row>
    <row r="52" spans="2:17" s="2000" customFormat="1">
      <c r="B52" s="2419"/>
      <c r="C52" s="2419"/>
      <c r="D52" s="2419"/>
      <c r="E52" s="2419"/>
      <c r="F52" s="2419"/>
      <c r="G52" s="2419"/>
      <c r="H52" s="2419"/>
      <c r="I52" s="2419"/>
      <c r="J52" s="2419"/>
      <c r="K52" s="2419"/>
      <c r="L52" s="2419"/>
      <c r="M52" s="2419"/>
      <c r="N52" s="2419"/>
      <c r="O52" s="2419"/>
      <c r="P52" s="2419"/>
      <c r="Q52" s="2419"/>
    </row>
    <row r="53" spans="2:17" s="2000" customFormat="1">
      <c r="B53" s="2419"/>
      <c r="C53" s="2419"/>
      <c r="D53" s="2419"/>
      <c r="E53" s="2419"/>
      <c r="F53" s="2419"/>
      <c r="G53" s="2419"/>
      <c r="H53" s="2419"/>
      <c r="I53" s="2419"/>
      <c r="J53" s="2419"/>
      <c r="K53" s="2419"/>
      <c r="L53" s="2419"/>
      <c r="M53" s="2419"/>
      <c r="N53" s="2419"/>
      <c r="O53" s="2419"/>
      <c r="P53" s="2419"/>
      <c r="Q53" s="2419"/>
    </row>
    <row r="54" spans="2:17" s="2000" customFormat="1">
      <c r="B54" s="2419"/>
      <c r="C54" s="2419"/>
      <c r="D54" s="2419"/>
      <c r="E54" s="2419"/>
      <c r="F54" s="2419"/>
      <c r="G54" s="2419"/>
      <c r="H54" s="2419"/>
      <c r="I54" s="2419"/>
      <c r="J54" s="2419"/>
      <c r="K54" s="2419"/>
      <c r="L54" s="2419"/>
      <c r="M54" s="2419"/>
      <c r="N54" s="2419"/>
      <c r="O54" s="2419"/>
      <c r="P54" s="2419"/>
      <c r="Q54" s="2419"/>
    </row>
    <row r="55" spans="2:17" s="2000" customFormat="1">
      <c r="B55" s="2419"/>
      <c r="C55" s="2419"/>
      <c r="D55" s="2419"/>
      <c r="E55" s="2419"/>
      <c r="F55" s="2419"/>
      <c r="G55" s="2419"/>
      <c r="H55" s="2419"/>
      <c r="I55" s="2419"/>
      <c r="J55" s="2419"/>
      <c r="K55" s="2419"/>
      <c r="L55" s="2419"/>
      <c r="M55" s="2419"/>
      <c r="N55" s="2419"/>
      <c r="O55" s="2419"/>
      <c r="P55" s="2419"/>
      <c r="Q55" s="2419"/>
    </row>
    <row r="56" spans="2:17" s="2000" customFormat="1">
      <c r="B56" s="2419"/>
      <c r="C56" s="2419"/>
      <c r="D56" s="2419"/>
      <c r="E56" s="2419"/>
      <c r="F56" s="2419"/>
      <c r="G56" s="2419"/>
      <c r="H56" s="2419"/>
      <c r="I56" s="2419"/>
      <c r="J56" s="2419"/>
      <c r="K56" s="2419"/>
      <c r="L56" s="2419"/>
      <c r="M56" s="2419"/>
      <c r="N56" s="2419"/>
      <c r="O56" s="2419"/>
      <c r="P56" s="2419"/>
      <c r="Q56" s="2419"/>
    </row>
    <row r="57" spans="2:17" s="2000" customFormat="1">
      <c r="B57" s="2419"/>
      <c r="C57" s="2419"/>
      <c r="D57" s="2419"/>
      <c r="E57" s="2419"/>
      <c r="F57" s="2419"/>
      <c r="G57" s="2419"/>
      <c r="H57" s="2419"/>
      <c r="I57" s="2419"/>
      <c r="J57" s="2419"/>
      <c r="K57" s="2419"/>
      <c r="L57" s="2419"/>
      <c r="M57" s="2419"/>
      <c r="N57" s="2419"/>
      <c r="O57" s="2419"/>
      <c r="P57" s="2419"/>
      <c r="Q57" s="2419"/>
    </row>
    <row r="58" spans="2:17" s="2000" customFormat="1">
      <c r="B58" s="2419"/>
      <c r="C58" s="2419"/>
      <c r="D58" s="2419"/>
      <c r="E58" s="2419"/>
      <c r="F58" s="2419"/>
      <c r="G58" s="2419"/>
      <c r="H58" s="2419"/>
      <c r="I58" s="2419"/>
      <c r="J58" s="2419"/>
      <c r="K58" s="2419"/>
      <c r="L58" s="2419"/>
      <c r="M58" s="2419"/>
      <c r="N58" s="2419"/>
      <c r="O58" s="2419"/>
      <c r="P58" s="2419"/>
      <c r="Q58" s="2419"/>
    </row>
    <row r="59" spans="2:17" s="2000" customFormat="1">
      <c r="B59" s="2419"/>
      <c r="C59" s="2419"/>
      <c r="D59" s="2419"/>
      <c r="E59" s="2419"/>
      <c r="F59" s="2419"/>
      <c r="G59" s="2419"/>
      <c r="H59" s="2419"/>
      <c r="I59" s="2419"/>
      <c r="J59" s="2419"/>
      <c r="K59" s="2419"/>
      <c r="L59" s="2419"/>
      <c r="M59" s="2419"/>
      <c r="N59" s="2419"/>
      <c r="O59" s="2419"/>
      <c r="P59" s="2419"/>
      <c r="Q59" s="2419"/>
    </row>
    <row r="60" spans="2:17" s="2000" customFormat="1">
      <c r="B60" s="2419"/>
      <c r="C60" s="2419"/>
      <c r="D60" s="2419"/>
      <c r="E60" s="2419"/>
      <c r="F60" s="2419"/>
      <c r="G60" s="2419"/>
      <c r="H60" s="2419"/>
      <c r="I60" s="2419"/>
      <c r="J60" s="2419"/>
      <c r="K60" s="2419"/>
      <c r="L60" s="2419"/>
      <c r="M60" s="2419"/>
      <c r="N60" s="2419"/>
      <c r="O60" s="2419"/>
      <c r="P60" s="2419"/>
      <c r="Q60" s="2419"/>
    </row>
    <row r="61" spans="2:17" s="2000" customFormat="1">
      <c r="B61" s="2419"/>
      <c r="C61" s="2419"/>
      <c r="D61" s="2419"/>
      <c r="E61" s="2419"/>
      <c r="F61" s="2419"/>
      <c r="G61" s="2419"/>
      <c r="H61" s="2419"/>
      <c r="I61" s="2419"/>
      <c r="J61" s="2419"/>
      <c r="K61" s="2419"/>
      <c r="L61" s="2419"/>
      <c r="M61" s="2419"/>
      <c r="N61" s="2419"/>
      <c r="O61" s="2419"/>
      <c r="P61" s="2419"/>
      <c r="Q61" s="2419"/>
    </row>
    <row r="62" spans="2:17" s="2000" customFormat="1">
      <c r="B62" s="2419"/>
      <c r="C62" s="2419"/>
      <c r="D62" s="2419"/>
      <c r="E62" s="2419"/>
      <c r="F62" s="2419"/>
      <c r="G62" s="2419"/>
      <c r="H62" s="2419"/>
      <c r="I62" s="2419"/>
      <c r="J62" s="2419"/>
      <c r="K62" s="2419"/>
      <c r="L62" s="2419"/>
      <c r="M62" s="2419"/>
      <c r="N62" s="2419"/>
      <c r="O62" s="2419"/>
      <c r="P62" s="2419"/>
      <c r="Q62" s="2419"/>
    </row>
    <row r="63" spans="2:17" s="2000" customFormat="1">
      <c r="B63" s="2419"/>
      <c r="C63" s="2419"/>
      <c r="D63" s="2419"/>
      <c r="E63" s="2419"/>
      <c r="F63" s="2419"/>
      <c r="G63" s="2419"/>
      <c r="H63" s="2419"/>
      <c r="I63" s="2419"/>
      <c r="J63" s="2419"/>
      <c r="K63" s="2419"/>
      <c r="L63" s="2419"/>
      <c r="M63" s="2419"/>
      <c r="N63" s="2419"/>
      <c r="O63" s="2419"/>
      <c r="P63" s="2419"/>
      <c r="Q63" s="2419"/>
    </row>
    <row r="64" spans="2:17" s="2000" customFormat="1">
      <c r="B64" s="2419"/>
      <c r="C64" s="2419"/>
      <c r="D64" s="2419"/>
      <c r="E64" s="2419"/>
      <c r="F64" s="2419"/>
      <c r="G64" s="2419"/>
      <c r="H64" s="2419"/>
      <c r="I64" s="2419"/>
      <c r="J64" s="2419"/>
      <c r="K64" s="2419"/>
      <c r="L64" s="2419"/>
      <c r="M64" s="2419"/>
      <c r="N64" s="2419"/>
      <c r="O64" s="2419"/>
      <c r="P64" s="2419"/>
      <c r="Q64" s="2419"/>
    </row>
    <row r="65" spans="2:17" s="2000" customFormat="1">
      <c r="B65" s="2419"/>
      <c r="C65" s="2419"/>
      <c r="D65" s="2419"/>
      <c r="E65" s="2419"/>
      <c r="F65" s="2419"/>
      <c r="G65" s="2419"/>
      <c r="H65" s="2419"/>
      <c r="I65" s="2419"/>
      <c r="J65" s="2419"/>
      <c r="K65" s="2419"/>
      <c r="L65" s="2419"/>
      <c r="M65" s="2419"/>
      <c r="N65" s="2419"/>
      <c r="O65" s="2419"/>
      <c r="P65" s="2419"/>
      <c r="Q65" s="2419"/>
    </row>
    <row r="66" spans="2:17" s="2000" customFormat="1">
      <c r="B66" s="2419"/>
      <c r="C66" s="2419"/>
      <c r="D66" s="2419"/>
      <c r="E66" s="2419"/>
      <c r="F66" s="2419"/>
      <c r="G66" s="2419"/>
      <c r="H66" s="2419"/>
      <c r="I66" s="2419"/>
      <c r="J66" s="2419"/>
      <c r="K66" s="2419"/>
      <c r="L66" s="2419"/>
      <c r="M66" s="2419"/>
      <c r="N66" s="2419"/>
      <c r="O66" s="2419"/>
      <c r="P66" s="2419"/>
      <c r="Q66" s="2419"/>
    </row>
    <row r="67" spans="2:17" s="2000" customFormat="1">
      <c r="B67" s="2419"/>
      <c r="C67" s="2419"/>
      <c r="D67" s="2419"/>
      <c r="E67" s="2419"/>
      <c r="F67" s="2419"/>
      <c r="G67" s="2419"/>
      <c r="H67" s="2419"/>
      <c r="I67" s="2419"/>
      <c r="J67" s="2419"/>
      <c r="K67" s="2419"/>
      <c r="L67" s="2419"/>
      <c r="M67" s="2419"/>
      <c r="N67" s="2419"/>
      <c r="O67" s="2419"/>
      <c r="P67" s="2419"/>
      <c r="Q67" s="2419"/>
    </row>
    <row r="68" spans="2:17" s="2000" customFormat="1">
      <c r="B68" s="2419"/>
      <c r="C68" s="2419"/>
      <c r="D68" s="2419"/>
      <c r="E68" s="2419"/>
      <c r="F68" s="2419"/>
      <c r="G68" s="2419"/>
      <c r="H68" s="2419"/>
      <c r="I68" s="2419"/>
      <c r="J68" s="2419"/>
      <c r="K68" s="2419"/>
      <c r="L68" s="2419"/>
      <c r="M68" s="2419"/>
      <c r="N68" s="2419"/>
      <c r="O68" s="2419"/>
      <c r="P68" s="2419"/>
      <c r="Q68" s="2419"/>
    </row>
    <row r="69" spans="2:17" s="2000" customFormat="1">
      <c r="B69" s="2419"/>
      <c r="C69" s="2419"/>
      <c r="D69" s="2419"/>
      <c r="E69" s="2419"/>
      <c r="F69" s="2419"/>
      <c r="G69" s="2419"/>
      <c r="H69" s="2419"/>
      <c r="I69" s="2419"/>
      <c r="J69" s="2419"/>
      <c r="K69" s="2419"/>
      <c r="L69" s="2419"/>
      <c r="M69" s="2419"/>
      <c r="N69" s="2419"/>
      <c r="O69" s="2419"/>
      <c r="P69" s="2419"/>
      <c r="Q69" s="2419"/>
    </row>
    <row r="70" spans="2:17" s="2000" customFormat="1">
      <c r="B70" s="2419"/>
      <c r="C70" s="2419"/>
      <c r="D70" s="2419"/>
      <c r="E70" s="2419"/>
      <c r="F70" s="2419"/>
      <c r="G70" s="2419"/>
      <c r="H70" s="2419"/>
      <c r="I70" s="2419"/>
      <c r="J70" s="2419"/>
      <c r="K70" s="2419"/>
      <c r="L70" s="2419"/>
      <c r="M70" s="2419"/>
      <c r="N70" s="2419"/>
      <c r="O70" s="2419"/>
      <c r="P70" s="2419"/>
      <c r="Q70" s="2419"/>
    </row>
    <row r="71" spans="2:17" s="2000" customFormat="1">
      <c r="B71" s="2419"/>
      <c r="C71" s="2419"/>
      <c r="D71" s="2419"/>
      <c r="E71" s="2419"/>
      <c r="F71" s="2419"/>
      <c r="G71" s="2419"/>
      <c r="H71" s="2419"/>
      <c r="I71" s="2419"/>
      <c r="J71" s="2419"/>
      <c r="K71" s="2419"/>
      <c r="L71" s="2419"/>
      <c r="M71" s="2419"/>
      <c r="N71" s="2419"/>
      <c r="O71" s="2419"/>
      <c r="P71" s="2419"/>
      <c r="Q71" s="2419"/>
    </row>
    <row r="72" spans="2:17" s="2000" customFormat="1">
      <c r="B72" s="2419"/>
      <c r="C72" s="2419"/>
      <c r="D72" s="2419"/>
      <c r="E72" s="2419"/>
      <c r="F72" s="2419"/>
      <c r="G72" s="2419"/>
      <c r="H72" s="2419"/>
      <c r="I72" s="2419"/>
      <c r="J72" s="2419"/>
      <c r="K72" s="2419"/>
      <c r="L72" s="2419"/>
      <c r="M72" s="2419"/>
      <c r="N72" s="2419"/>
      <c r="O72" s="2419"/>
      <c r="P72" s="2419"/>
      <c r="Q72" s="2419"/>
    </row>
    <row r="73" spans="2:17" s="2000" customFormat="1">
      <c r="B73" s="2419"/>
      <c r="C73" s="2419"/>
      <c r="D73" s="2419"/>
      <c r="E73" s="2419"/>
      <c r="F73" s="2419"/>
      <c r="G73" s="2419"/>
      <c r="H73" s="2419"/>
      <c r="I73" s="2419"/>
      <c r="J73" s="2419"/>
      <c r="K73" s="2419"/>
      <c r="L73" s="2419"/>
      <c r="M73" s="2419"/>
      <c r="N73" s="2419"/>
      <c r="O73" s="2419"/>
      <c r="P73" s="2419"/>
      <c r="Q73" s="2419"/>
    </row>
    <row r="74" spans="2:17" s="2000" customFormat="1">
      <c r="B74" s="2419"/>
      <c r="C74" s="2419"/>
      <c r="D74" s="2419"/>
      <c r="E74" s="2419"/>
      <c r="F74" s="2419"/>
      <c r="G74" s="2419"/>
      <c r="H74" s="2419"/>
      <c r="I74" s="2419"/>
      <c r="J74" s="2419"/>
      <c r="K74" s="2419"/>
      <c r="L74" s="2419"/>
      <c r="M74" s="2419"/>
      <c r="N74" s="2419"/>
      <c r="O74" s="2419"/>
      <c r="P74" s="2419"/>
      <c r="Q74" s="2419"/>
    </row>
    <row r="75" spans="2:17" s="2000" customFormat="1">
      <c r="B75" s="2419"/>
      <c r="C75" s="2419"/>
      <c r="D75" s="2419"/>
      <c r="E75" s="2419"/>
      <c r="F75" s="2419"/>
      <c r="G75" s="2419"/>
      <c r="H75" s="2419"/>
      <c r="I75" s="2419"/>
      <c r="J75" s="2419"/>
      <c r="K75" s="2419"/>
      <c r="L75" s="2419"/>
      <c r="M75" s="2419"/>
      <c r="N75" s="2419"/>
      <c r="O75" s="2419"/>
      <c r="P75" s="2419"/>
      <c r="Q75" s="2419"/>
    </row>
    <row r="76" spans="2:17" s="2000" customFormat="1">
      <c r="B76" s="2419"/>
      <c r="C76" s="2419"/>
      <c r="D76" s="2419"/>
      <c r="E76" s="2419"/>
      <c r="F76" s="2419"/>
      <c r="G76" s="2419"/>
      <c r="H76" s="2419"/>
      <c r="I76" s="2419"/>
      <c r="J76" s="2419"/>
      <c r="K76" s="2419"/>
      <c r="L76" s="2419"/>
      <c r="M76" s="2419"/>
      <c r="N76" s="2419"/>
      <c r="O76" s="2419"/>
      <c r="P76" s="2419"/>
      <c r="Q76" s="2419"/>
    </row>
    <row r="77" spans="2:17" s="2000" customFormat="1">
      <c r="B77" s="2419"/>
      <c r="C77" s="2419"/>
      <c r="D77" s="2419"/>
      <c r="E77" s="2419"/>
      <c r="F77" s="2419"/>
      <c r="G77" s="2419"/>
      <c r="H77" s="2419"/>
      <c r="I77" s="2419"/>
      <c r="J77" s="2419"/>
      <c r="K77" s="2419"/>
      <c r="L77" s="2419"/>
      <c r="M77" s="2419"/>
      <c r="N77" s="2419"/>
      <c r="O77" s="2419"/>
      <c r="P77" s="2419"/>
      <c r="Q77" s="2419"/>
    </row>
    <row r="78" spans="2:17" s="2000" customFormat="1">
      <c r="B78" s="2419"/>
      <c r="C78" s="2419"/>
      <c r="D78" s="2419"/>
      <c r="E78" s="2419"/>
      <c r="F78" s="2419"/>
      <c r="G78" s="2419"/>
      <c r="H78" s="2419"/>
      <c r="I78" s="2419"/>
      <c r="J78" s="2419"/>
      <c r="K78" s="2419"/>
      <c r="L78" s="2419"/>
      <c r="M78" s="2419"/>
      <c r="N78" s="2419"/>
      <c r="O78" s="2419"/>
      <c r="P78" s="2419"/>
      <c r="Q78" s="2419"/>
    </row>
    <row r="79" spans="2:17" s="2000" customFormat="1">
      <c r="B79" s="2419"/>
      <c r="C79" s="2419"/>
      <c r="D79" s="2419"/>
      <c r="E79" s="2419"/>
      <c r="F79" s="2419"/>
      <c r="G79" s="2419"/>
      <c r="H79" s="2419"/>
      <c r="I79" s="2419"/>
      <c r="J79" s="2419"/>
      <c r="K79" s="2419"/>
      <c r="L79" s="2419"/>
      <c r="M79" s="2419"/>
      <c r="N79" s="2419"/>
      <c r="O79" s="2419"/>
      <c r="P79" s="2419"/>
      <c r="Q79" s="2419"/>
    </row>
    <row r="80" spans="2:17" s="2000" customFormat="1">
      <c r="B80" s="2419"/>
      <c r="C80" s="2419"/>
      <c r="D80" s="2419"/>
      <c r="E80" s="2419"/>
      <c r="F80" s="2419"/>
      <c r="G80" s="2419"/>
      <c r="H80" s="2419"/>
      <c r="I80" s="2419"/>
      <c r="J80" s="2419"/>
      <c r="K80" s="2419"/>
      <c r="L80" s="2419"/>
      <c r="M80" s="2419"/>
      <c r="N80" s="2419"/>
      <c r="O80" s="2419"/>
      <c r="P80" s="2419"/>
      <c r="Q80" s="2419"/>
    </row>
    <row r="81" spans="2:17" s="2000" customFormat="1">
      <c r="B81" s="2419"/>
      <c r="C81" s="2419"/>
      <c r="D81" s="2419"/>
      <c r="E81" s="2419"/>
      <c r="F81" s="2419"/>
      <c r="G81" s="2419"/>
      <c r="H81" s="2419"/>
      <c r="I81" s="2419"/>
      <c r="J81" s="2419"/>
      <c r="K81" s="2419"/>
      <c r="L81" s="2419"/>
      <c r="M81" s="2419"/>
      <c r="N81" s="2419"/>
      <c r="O81" s="2419"/>
      <c r="P81" s="2419"/>
      <c r="Q81" s="2419"/>
    </row>
    <row r="82" spans="2:17" s="2000" customFormat="1">
      <c r="B82" s="2419"/>
      <c r="C82" s="2419"/>
      <c r="D82" s="2419"/>
      <c r="E82" s="2419"/>
      <c r="F82" s="2419"/>
      <c r="G82" s="2419"/>
      <c r="H82" s="2419"/>
      <c r="I82" s="2419"/>
      <c r="J82" s="2419"/>
      <c r="K82" s="2419"/>
      <c r="L82" s="2419"/>
      <c r="M82" s="2419"/>
      <c r="N82" s="2419"/>
      <c r="O82" s="2419"/>
      <c r="P82" s="2419"/>
      <c r="Q82" s="2419"/>
    </row>
    <row r="83" spans="2:17" s="2000" customFormat="1">
      <c r="B83" s="2419"/>
      <c r="C83" s="2419"/>
      <c r="D83" s="2419"/>
      <c r="E83" s="2419"/>
      <c r="F83" s="2419"/>
      <c r="G83" s="2419"/>
      <c r="H83" s="2419"/>
      <c r="I83" s="2419"/>
      <c r="J83" s="2419"/>
      <c r="K83" s="2419"/>
      <c r="L83" s="2419"/>
      <c r="M83" s="2419"/>
      <c r="N83" s="2419"/>
      <c r="O83" s="2419"/>
      <c r="P83" s="2419"/>
      <c r="Q83" s="2419"/>
    </row>
    <row r="84" spans="2:17" s="2000" customFormat="1">
      <c r="B84" s="2419"/>
      <c r="C84" s="2419"/>
      <c r="D84" s="2419"/>
      <c r="E84" s="2419"/>
      <c r="F84" s="2419"/>
      <c r="G84" s="2419"/>
      <c r="H84" s="2419"/>
      <c r="I84" s="2419"/>
      <c r="J84" s="2419"/>
      <c r="K84" s="2419"/>
      <c r="L84" s="2419"/>
      <c r="M84" s="2419"/>
      <c r="N84" s="2419"/>
      <c r="O84" s="2419"/>
      <c r="P84" s="2419"/>
      <c r="Q84" s="2419"/>
    </row>
    <row r="85" spans="2:17" s="2000" customFormat="1">
      <c r="B85" s="2419"/>
      <c r="C85" s="2419"/>
      <c r="D85" s="2419"/>
      <c r="E85" s="2419"/>
      <c r="F85" s="2419"/>
      <c r="G85" s="2419"/>
      <c r="H85" s="2419"/>
      <c r="I85" s="2419"/>
      <c r="J85" s="2419"/>
      <c r="K85" s="2419"/>
      <c r="L85" s="2419"/>
      <c r="M85" s="2419"/>
      <c r="N85" s="2419"/>
      <c r="O85" s="2419"/>
      <c r="P85" s="2419"/>
      <c r="Q85" s="2419"/>
    </row>
    <row r="86" spans="2:17" s="2000" customFormat="1">
      <c r="B86" s="2419"/>
      <c r="C86" s="2419"/>
      <c r="D86" s="2419"/>
      <c r="E86" s="2419"/>
      <c r="F86" s="2419"/>
      <c r="G86" s="2419"/>
      <c r="H86" s="2419"/>
      <c r="I86" s="2419"/>
      <c r="J86" s="2419"/>
      <c r="K86" s="2419"/>
      <c r="L86" s="2419"/>
      <c r="M86" s="2419"/>
      <c r="N86" s="2419"/>
      <c r="O86" s="2419"/>
      <c r="P86" s="2419"/>
      <c r="Q86" s="2419"/>
    </row>
    <row r="87" spans="2:17" s="2000" customFormat="1">
      <c r="B87" s="2419"/>
      <c r="C87" s="2419"/>
      <c r="D87" s="2419"/>
      <c r="E87" s="2419"/>
      <c r="F87" s="2419"/>
      <c r="G87" s="2419"/>
      <c r="H87" s="2419"/>
      <c r="I87" s="2419"/>
      <c r="J87" s="2419"/>
      <c r="K87" s="2419"/>
      <c r="L87" s="2419"/>
      <c r="M87" s="2419"/>
      <c r="N87" s="2419"/>
      <c r="O87" s="2419"/>
      <c r="P87" s="2419"/>
      <c r="Q87" s="2419"/>
    </row>
    <row r="88" spans="2:17" s="2000" customFormat="1">
      <c r="B88" s="2419"/>
      <c r="C88" s="2419"/>
      <c r="D88" s="2419"/>
      <c r="E88" s="2419"/>
      <c r="F88" s="2419"/>
      <c r="G88" s="2419"/>
      <c r="H88" s="2419"/>
      <c r="I88" s="2419"/>
      <c r="J88" s="2419"/>
      <c r="K88" s="2419"/>
      <c r="L88" s="2419"/>
      <c r="M88" s="2419"/>
      <c r="N88" s="2419"/>
      <c r="O88" s="2419"/>
      <c r="P88" s="2419"/>
      <c r="Q88" s="2419"/>
    </row>
    <row r="89" spans="2:17" s="2000" customFormat="1">
      <c r="B89" s="2419"/>
      <c r="C89" s="2419"/>
      <c r="D89" s="2419"/>
      <c r="E89" s="2419"/>
      <c r="F89" s="2419"/>
      <c r="G89" s="2419"/>
      <c r="H89" s="2419"/>
      <c r="I89" s="2419"/>
      <c r="J89" s="2419"/>
      <c r="K89" s="2419"/>
      <c r="L89" s="2419"/>
      <c r="M89" s="2419"/>
      <c r="N89" s="2419"/>
      <c r="O89" s="2419"/>
      <c r="P89" s="2419"/>
      <c r="Q89" s="2419"/>
    </row>
    <row r="90" spans="2:17" s="2000" customFormat="1">
      <c r="B90" s="2419"/>
      <c r="C90" s="2419"/>
      <c r="D90" s="2419"/>
      <c r="E90" s="2419"/>
      <c r="F90" s="2419"/>
      <c r="G90" s="2419"/>
      <c r="H90" s="2419"/>
      <c r="I90" s="2419"/>
      <c r="J90" s="2419"/>
      <c r="K90" s="2419"/>
      <c r="L90" s="2419"/>
      <c r="M90" s="2419"/>
      <c r="N90" s="2419"/>
      <c r="O90" s="2419"/>
      <c r="P90" s="2419"/>
      <c r="Q90" s="2419"/>
    </row>
    <row r="91" spans="2:17" s="2000" customFormat="1">
      <c r="B91" s="2419"/>
      <c r="C91" s="2419"/>
      <c r="D91" s="2419"/>
      <c r="E91" s="2419"/>
      <c r="F91" s="2419"/>
      <c r="G91" s="2419"/>
      <c r="H91" s="2419"/>
      <c r="I91" s="2419"/>
      <c r="J91" s="2419"/>
      <c r="K91" s="2419"/>
      <c r="L91" s="2419"/>
      <c r="M91" s="2419"/>
      <c r="N91" s="2419"/>
      <c r="O91" s="2419"/>
      <c r="P91" s="2419"/>
      <c r="Q91" s="2419"/>
    </row>
    <row r="92" spans="2:17" s="2000" customFormat="1">
      <c r="B92" s="2419"/>
      <c r="C92" s="2419"/>
      <c r="D92" s="2419"/>
      <c r="E92" s="2419"/>
      <c r="F92" s="2419"/>
      <c r="G92" s="2419"/>
      <c r="H92" s="2419"/>
      <c r="I92" s="2419"/>
      <c r="J92" s="2419"/>
      <c r="K92" s="2419"/>
      <c r="L92" s="2419"/>
      <c r="M92" s="2419"/>
      <c r="N92" s="2419"/>
      <c r="O92" s="2419"/>
      <c r="P92" s="2419"/>
      <c r="Q92" s="2419"/>
    </row>
    <row r="93" spans="2:17" s="2000" customFormat="1">
      <c r="B93" s="2419"/>
      <c r="C93" s="2419"/>
      <c r="D93" s="2419"/>
      <c r="E93" s="2419"/>
      <c r="F93" s="2419"/>
      <c r="G93" s="2419"/>
      <c r="H93" s="2419"/>
      <c r="I93" s="2419"/>
      <c r="J93" s="2419"/>
      <c r="K93" s="2419"/>
      <c r="L93" s="2419"/>
      <c r="M93" s="2419"/>
      <c r="N93" s="2419"/>
      <c r="O93" s="2419"/>
      <c r="P93" s="2419"/>
      <c r="Q93" s="2419"/>
    </row>
    <row r="94" spans="2:17" s="2000" customFormat="1">
      <c r="B94" s="2419"/>
      <c r="C94" s="2419"/>
      <c r="D94" s="2419"/>
      <c r="E94" s="2419"/>
      <c r="F94" s="2419"/>
      <c r="G94" s="2419"/>
      <c r="H94" s="2419"/>
      <c r="I94" s="2419"/>
      <c r="J94" s="2419"/>
      <c r="K94" s="2419"/>
      <c r="L94" s="2419"/>
      <c r="M94" s="2419"/>
      <c r="N94" s="2419"/>
      <c r="O94" s="2419"/>
      <c r="P94" s="2419"/>
      <c r="Q94" s="2419"/>
    </row>
    <row r="95" spans="2:17" s="2000" customFormat="1">
      <c r="B95" s="2419"/>
      <c r="C95" s="2419"/>
      <c r="D95" s="2419"/>
      <c r="E95" s="2419"/>
      <c r="F95" s="2419"/>
      <c r="G95" s="2419"/>
      <c r="H95" s="2419"/>
      <c r="I95" s="2419"/>
      <c r="J95" s="2419"/>
      <c r="K95" s="2419"/>
      <c r="L95" s="2419"/>
      <c r="M95" s="2419"/>
      <c r="N95" s="2419"/>
      <c r="O95" s="2419"/>
      <c r="P95" s="2419"/>
      <c r="Q95" s="2419"/>
    </row>
    <row r="96" spans="2:17" s="2000" customFormat="1">
      <c r="B96" s="2419"/>
      <c r="C96" s="2419"/>
      <c r="D96" s="2419"/>
      <c r="E96" s="2419"/>
      <c r="F96" s="2419"/>
      <c r="G96" s="2419"/>
      <c r="H96" s="2419"/>
      <c r="I96" s="2419"/>
      <c r="J96" s="2419"/>
      <c r="K96" s="2419"/>
      <c r="L96" s="2419"/>
      <c r="M96" s="2419"/>
      <c r="N96" s="2419"/>
      <c r="O96" s="2419"/>
      <c r="P96" s="2419"/>
      <c r="Q96" s="2419"/>
    </row>
    <row r="97" spans="2:17" s="2000" customFormat="1">
      <c r="B97" s="2419"/>
      <c r="C97" s="2419"/>
      <c r="D97" s="2419"/>
      <c r="E97" s="2419"/>
      <c r="F97" s="2419"/>
      <c r="G97" s="2419"/>
      <c r="H97" s="2419"/>
      <c r="I97" s="2419"/>
      <c r="J97" s="2419"/>
      <c r="K97" s="2419"/>
      <c r="L97" s="2419"/>
      <c r="M97" s="2419"/>
      <c r="N97" s="2419"/>
      <c r="O97" s="2419"/>
      <c r="P97" s="2419"/>
      <c r="Q97" s="2419"/>
    </row>
    <row r="98" spans="2:17" s="2000" customFormat="1">
      <c r="B98" s="2419"/>
      <c r="C98" s="2419"/>
      <c r="D98" s="2419"/>
      <c r="E98" s="2419"/>
      <c r="F98" s="2419"/>
      <c r="G98" s="2419"/>
      <c r="H98" s="2419"/>
      <c r="I98" s="2419"/>
      <c r="J98" s="2419"/>
      <c r="K98" s="2419"/>
      <c r="L98" s="2419"/>
      <c r="M98" s="2419"/>
      <c r="N98" s="2419"/>
      <c r="O98" s="2419"/>
      <c r="P98" s="2419"/>
      <c r="Q98" s="2419"/>
    </row>
    <row r="99" spans="2:17" s="2000" customFormat="1">
      <c r="B99" s="2419"/>
      <c r="C99" s="2419"/>
      <c r="D99" s="2419"/>
      <c r="E99" s="2419"/>
      <c r="F99" s="2419"/>
      <c r="G99" s="2419"/>
      <c r="H99" s="2419"/>
      <c r="I99" s="2419"/>
      <c r="J99" s="2419"/>
      <c r="K99" s="2419"/>
      <c r="L99" s="2419"/>
      <c r="M99" s="2419"/>
      <c r="N99" s="2419"/>
      <c r="O99" s="2419"/>
      <c r="P99" s="2419"/>
      <c r="Q99" s="2419"/>
    </row>
    <row r="100" spans="2:17" s="2000" customFormat="1">
      <c r="B100" s="2419"/>
      <c r="C100" s="2419"/>
      <c r="D100" s="2419"/>
      <c r="E100" s="2419"/>
      <c r="F100" s="2419"/>
      <c r="G100" s="2419"/>
      <c r="H100" s="2419"/>
      <c r="I100" s="2419"/>
      <c r="J100" s="2419"/>
      <c r="K100" s="2419"/>
      <c r="L100" s="2419"/>
      <c r="M100" s="2419"/>
      <c r="N100" s="2419"/>
      <c r="O100" s="2419"/>
      <c r="P100" s="2419"/>
      <c r="Q100" s="2419"/>
    </row>
    <row r="101" spans="2:17" s="2000" customFormat="1">
      <c r="B101" s="2419"/>
      <c r="C101" s="2419"/>
      <c r="D101" s="2419"/>
      <c r="E101" s="2419"/>
      <c r="F101" s="2419"/>
      <c r="G101" s="2419"/>
      <c r="H101" s="2419"/>
      <c r="I101" s="2419"/>
      <c r="J101" s="2419"/>
      <c r="K101" s="2419"/>
      <c r="L101" s="2419"/>
      <c r="M101" s="2419"/>
      <c r="N101" s="2419"/>
      <c r="O101" s="2419"/>
      <c r="P101" s="2419"/>
      <c r="Q101" s="2419"/>
    </row>
    <row r="102" spans="2:17" s="2000" customFormat="1">
      <c r="B102" s="2419"/>
      <c r="C102" s="2419"/>
      <c r="D102" s="2419"/>
      <c r="E102" s="2419"/>
      <c r="F102" s="2419"/>
      <c r="G102" s="2419"/>
      <c r="H102" s="2419"/>
      <c r="I102" s="2419"/>
      <c r="J102" s="2419"/>
      <c r="K102" s="2419"/>
      <c r="L102" s="2419"/>
      <c r="M102" s="2419"/>
      <c r="N102" s="2419"/>
      <c r="O102" s="2419"/>
      <c r="P102" s="2419"/>
      <c r="Q102" s="2419"/>
    </row>
    <row r="103" spans="2:17" s="2000" customFormat="1">
      <c r="B103" s="2419"/>
      <c r="C103" s="2419"/>
      <c r="D103" s="2419"/>
      <c r="E103" s="2419"/>
      <c r="F103" s="2419"/>
      <c r="G103" s="2419"/>
      <c r="H103" s="2419"/>
      <c r="I103" s="2419"/>
      <c r="J103" s="2419"/>
      <c r="K103" s="2419"/>
      <c r="L103" s="2419"/>
      <c r="M103" s="2419"/>
      <c r="N103" s="2419"/>
      <c r="O103" s="2419"/>
      <c r="P103" s="2419"/>
      <c r="Q103" s="2419"/>
    </row>
    <row r="104" spans="2:17" s="2000" customFormat="1">
      <c r="B104" s="2419"/>
      <c r="C104" s="2419"/>
      <c r="D104" s="2419"/>
      <c r="E104" s="2419"/>
      <c r="F104" s="2419"/>
      <c r="G104" s="2419"/>
      <c r="H104" s="2419"/>
      <c r="I104" s="2419"/>
      <c r="J104" s="2419"/>
      <c r="K104" s="2419"/>
      <c r="L104" s="2419"/>
      <c r="M104" s="2419"/>
      <c r="N104" s="2419"/>
      <c r="O104" s="2419"/>
      <c r="P104" s="2419"/>
      <c r="Q104" s="2419"/>
    </row>
    <row r="105" spans="2:17" s="2000" customFormat="1">
      <c r="B105" s="2419"/>
      <c r="C105" s="2419"/>
      <c r="D105" s="2419"/>
      <c r="E105" s="2419"/>
      <c r="F105" s="2419"/>
      <c r="G105" s="2419"/>
      <c r="H105" s="2419"/>
      <c r="I105" s="2419"/>
      <c r="J105" s="2419"/>
      <c r="K105" s="2419"/>
      <c r="L105" s="2419"/>
      <c r="M105" s="2419"/>
      <c r="N105" s="2419"/>
      <c r="O105" s="2419"/>
      <c r="P105" s="2419"/>
      <c r="Q105" s="2419"/>
    </row>
    <row r="106" spans="2:17" s="2000" customFormat="1">
      <c r="B106" s="2419"/>
      <c r="C106" s="2419"/>
      <c r="D106" s="2419"/>
      <c r="E106" s="2419"/>
      <c r="F106" s="2419"/>
      <c r="G106" s="2419"/>
      <c r="H106" s="2419"/>
      <c r="I106" s="2419"/>
      <c r="J106" s="2419"/>
      <c r="K106" s="2419"/>
      <c r="L106" s="2419"/>
      <c r="M106" s="2419"/>
      <c r="N106" s="2419"/>
      <c r="O106" s="2419"/>
      <c r="P106" s="2419"/>
      <c r="Q106" s="2419"/>
    </row>
    <row r="107" spans="2:17" s="2000" customFormat="1">
      <c r="B107" s="2419"/>
      <c r="C107" s="2419"/>
      <c r="D107" s="2419"/>
      <c r="E107" s="2419"/>
      <c r="F107" s="2419"/>
      <c r="G107" s="2419"/>
      <c r="H107" s="2419"/>
      <c r="I107" s="2419"/>
      <c r="J107" s="2419"/>
      <c r="K107" s="2419"/>
      <c r="L107" s="2419"/>
      <c r="M107" s="2419"/>
      <c r="N107" s="2419"/>
      <c r="O107" s="2419"/>
      <c r="P107" s="2419"/>
      <c r="Q107" s="2419"/>
    </row>
    <row r="108" spans="2:17" s="2000" customFormat="1">
      <c r="B108" s="2419"/>
      <c r="C108" s="2419"/>
      <c r="D108" s="2419"/>
      <c r="E108" s="2419"/>
      <c r="F108" s="2419"/>
      <c r="G108" s="2419"/>
      <c r="H108" s="2419"/>
      <c r="I108" s="2419"/>
      <c r="J108" s="2419"/>
      <c r="K108" s="2419"/>
      <c r="L108" s="2419"/>
      <c r="M108" s="2419"/>
      <c r="N108" s="2419"/>
      <c r="O108" s="2419"/>
      <c r="P108" s="2419"/>
      <c r="Q108" s="2419"/>
    </row>
    <row r="109" spans="2:17" s="2000" customFormat="1">
      <c r="B109" s="2419"/>
      <c r="C109" s="2419"/>
      <c r="D109" s="2419"/>
      <c r="E109" s="2419"/>
      <c r="F109" s="2419"/>
      <c r="G109" s="2419"/>
      <c r="H109" s="2419"/>
      <c r="I109" s="2419"/>
      <c r="J109" s="2419"/>
      <c r="K109" s="2419"/>
      <c r="L109" s="2419"/>
      <c r="M109" s="2419"/>
      <c r="N109" s="2419"/>
      <c r="O109" s="2419"/>
      <c r="P109" s="2419"/>
      <c r="Q109" s="2419"/>
    </row>
    <row r="110" spans="2:17" s="2000" customFormat="1">
      <c r="B110" s="2419"/>
      <c r="C110" s="2419"/>
      <c r="D110" s="2419"/>
      <c r="E110" s="2419"/>
      <c r="F110" s="2419"/>
      <c r="G110" s="2419"/>
      <c r="H110" s="2419"/>
      <c r="I110" s="2419"/>
      <c r="J110" s="2419"/>
      <c r="K110" s="2419"/>
      <c r="L110" s="2419"/>
      <c r="M110" s="2419"/>
      <c r="N110" s="2419"/>
      <c r="O110" s="2419"/>
      <c r="P110" s="2419"/>
      <c r="Q110" s="2419"/>
    </row>
    <row r="111" spans="2:17" s="2000" customFormat="1">
      <c r="B111" s="2419"/>
      <c r="C111" s="2419"/>
      <c r="D111" s="2419"/>
      <c r="E111" s="2419"/>
      <c r="F111" s="2419"/>
      <c r="G111" s="2419"/>
      <c r="H111" s="2419"/>
      <c r="I111" s="2419"/>
      <c r="J111" s="2419"/>
      <c r="K111" s="2419"/>
      <c r="L111" s="2419"/>
      <c r="M111" s="2419"/>
      <c r="N111" s="2419"/>
      <c r="O111" s="2419"/>
      <c r="P111" s="2419"/>
      <c r="Q111" s="2419"/>
    </row>
    <row r="112" spans="2:17" s="2000" customFormat="1">
      <c r="B112" s="2419"/>
      <c r="C112" s="2419"/>
      <c r="D112" s="2419"/>
      <c r="E112" s="2419"/>
      <c r="F112" s="2419"/>
      <c r="G112" s="2419"/>
      <c r="H112" s="2419"/>
      <c r="I112" s="2419"/>
      <c r="J112" s="2419"/>
      <c r="K112" s="2419"/>
      <c r="L112" s="2419"/>
      <c r="M112" s="2419"/>
      <c r="N112" s="2419"/>
      <c r="O112" s="2419"/>
      <c r="P112" s="2419"/>
      <c r="Q112" s="2419"/>
    </row>
    <row r="113" spans="2:17" s="2000" customFormat="1">
      <c r="B113" s="2419"/>
      <c r="C113" s="2419"/>
      <c r="D113" s="2419"/>
      <c r="E113" s="2419"/>
      <c r="F113" s="2419"/>
      <c r="G113" s="2419"/>
      <c r="H113" s="2419"/>
      <c r="I113" s="2419"/>
      <c r="J113" s="2419"/>
      <c r="K113" s="2419"/>
      <c r="L113" s="2419"/>
      <c r="M113" s="2419"/>
      <c r="N113" s="2419"/>
      <c r="O113" s="2419"/>
      <c r="P113" s="2419"/>
      <c r="Q113" s="2419"/>
    </row>
    <row r="114" spans="2:17" s="2000" customFormat="1">
      <c r="B114" s="2419"/>
      <c r="C114" s="2419"/>
      <c r="D114" s="2419"/>
      <c r="E114" s="2419"/>
      <c r="F114" s="2419"/>
      <c r="G114" s="2419"/>
      <c r="H114" s="2419"/>
      <c r="I114" s="2419"/>
      <c r="J114" s="2419"/>
      <c r="K114" s="2419"/>
      <c r="L114" s="2419"/>
      <c r="M114" s="2419"/>
      <c r="N114" s="2419"/>
      <c r="O114" s="2419"/>
      <c r="P114" s="2419"/>
      <c r="Q114" s="2419"/>
    </row>
    <row r="115" spans="2:17" s="2000" customFormat="1">
      <c r="B115" s="2419"/>
      <c r="C115" s="2419"/>
      <c r="D115" s="2419"/>
      <c r="E115" s="2419"/>
      <c r="F115" s="2419"/>
      <c r="G115" s="2419"/>
      <c r="H115" s="2419"/>
      <c r="I115" s="2419"/>
      <c r="J115" s="2419"/>
      <c r="K115" s="2419"/>
      <c r="L115" s="2419"/>
      <c r="M115" s="2419"/>
      <c r="N115" s="2419"/>
      <c r="O115" s="2419"/>
      <c r="P115" s="2419"/>
      <c r="Q115" s="2419"/>
    </row>
    <row r="116" spans="2:17" s="2000" customFormat="1">
      <c r="B116" s="2419"/>
      <c r="C116" s="2419"/>
      <c r="D116" s="2419"/>
      <c r="E116" s="2419"/>
      <c r="F116" s="2419"/>
      <c r="G116" s="2419"/>
      <c r="H116" s="2419"/>
      <c r="I116" s="2419"/>
      <c r="J116" s="2419"/>
      <c r="K116" s="2419"/>
      <c r="L116" s="2419"/>
      <c r="M116" s="2419"/>
      <c r="N116" s="2419"/>
      <c r="O116" s="2419"/>
      <c r="P116" s="2419"/>
      <c r="Q116" s="2419"/>
    </row>
    <row r="117" spans="2:17" s="2000" customFormat="1">
      <c r="B117" s="2419"/>
      <c r="C117" s="2419"/>
      <c r="D117" s="2419"/>
      <c r="E117" s="2419"/>
      <c r="F117" s="2419"/>
      <c r="G117" s="2419"/>
      <c r="H117" s="2419"/>
      <c r="I117" s="2419"/>
      <c r="J117" s="2419"/>
      <c r="K117" s="2419"/>
      <c r="L117" s="2419"/>
      <c r="M117" s="2419"/>
      <c r="N117" s="2419"/>
      <c r="O117" s="2419"/>
      <c r="P117" s="2419"/>
      <c r="Q117" s="2419"/>
    </row>
    <row r="118" spans="2:17" s="2000" customFormat="1">
      <c r="B118" s="2419"/>
      <c r="C118" s="2419"/>
      <c r="D118" s="2419"/>
      <c r="E118" s="2419"/>
      <c r="F118" s="2419"/>
      <c r="G118" s="2419"/>
      <c r="H118" s="2419"/>
      <c r="I118" s="2419"/>
      <c r="J118" s="2419"/>
      <c r="K118" s="2419"/>
      <c r="L118" s="2419"/>
      <c r="M118" s="2419"/>
      <c r="N118" s="2419"/>
      <c r="O118" s="2419"/>
      <c r="P118" s="2419"/>
      <c r="Q118" s="2419"/>
    </row>
    <row r="119" spans="2:17" s="2000" customFormat="1">
      <c r="B119" s="2419"/>
      <c r="C119" s="2419"/>
      <c r="D119" s="2419"/>
      <c r="E119" s="2419"/>
      <c r="F119" s="2419"/>
      <c r="G119" s="2419"/>
      <c r="H119" s="2419"/>
      <c r="I119" s="2419"/>
      <c r="J119" s="2419"/>
      <c r="K119" s="2419"/>
      <c r="L119" s="2419"/>
      <c r="M119" s="2419"/>
      <c r="N119" s="2419"/>
      <c r="O119" s="2419"/>
      <c r="P119" s="2419"/>
      <c r="Q119" s="2419"/>
    </row>
    <row r="120" spans="2:17" s="2000" customFormat="1">
      <c r="B120" s="2419"/>
      <c r="C120" s="2419"/>
      <c r="D120" s="2419"/>
      <c r="E120" s="2419"/>
      <c r="F120" s="2419"/>
      <c r="G120" s="2419"/>
      <c r="H120" s="2419"/>
      <c r="I120" s="2419"/>
      <c r="J120" s="2419"/>
      <c r="K120" s="2419"/>
      <c r="L120" s="2419"/>
      <c r="M120" s="2419"/>
      <c r="N120" s="2419"/>
      <c r="O120" s="2419"/>
      <c r="P120" s="2419"/>
      <c r="Q120" s="2419"/>
    </row>
    <row r="121" spans="2:17" s="2000" customFormat="1">
      <c r="B121" s="2419"/>
      <c r="C121" s="2419"/>
      <c r="D121" s="2419"/>
      <c r="E121" s="2419"/>
      <c r="F121" s="2419"/>
      <c r="G121" s="2419"/>
      <c r="H121" s="2419"/>
      <c r="I121" s="2419"/>
      <c r="J121" s="2419"/>
      <c r="K121" s="2419"/>
      <c r="L121" s="2419"/>
      <c r="M121" s="2419"/>
      <c r="N121" s="2419"/>
      <c r="O121" s="2419"/>
      <c r="P121" s="2419"/>
      <c r="Q121" s="2419"/>
    </row>
    <row r="122" spans="2:17" s="2000" customFormat="1">
      <c r="B122" s="2419"/>
      <c r="C122" s="2419"/>
      <c r="D122" s="2419"/>
      <c r="E122" s="2419"/>
      <c r="F122" s="2419"/>
      <c r="G122" s="2419"/>
      <c r="H122" s="2419"/>
      <c r="I122" s="2419"/>
      <c r="J122" s="2419"/>
      <c r="K122" s="2419"/>
      <c r="L122" s="2419"/>
      <c r="M122" s="2419"/>
      <c r="N122" s="2419"/>
      <c r="O122" s="2419"/>
      <c r="P122" s="2419"/>
      <c r="Q122" s="2419"/>
    </row>
    <row r="123" spans="2:17" s="2000" customFormat="1">
      <c r="B123" s="2419"/>
      <c r="C123" s="2419"/>
      <c r="D123" s="2419"/>
      <c r="E123" s="2419"/>
      <c r="F123" s="2419"/>
      <c r="G123" s="2419"/>
      <c r="H123" s="2419"/>
      <c r="I123" s="2419"/>
      <c r="J123" s="2419"/>
      <c r="K123" s="2419"/>
      <c r="L123" s="2419"/>
      <c r="M123" s="2419"/>
      <c r="N123" s="2419"/>
      <c r="O123" s="2419"/>
      <c r="P123" s="2419"/>
      <c r="Q123" s="2419"/>
    </row>
    <row r="124" spans="2:17" s="2000" customFormat="1">
      <c r="B124" s="2419"/>
      <c r="C124" s="2419"/>
      <c r="D124" s="2419"/>
      <c r="E124" s="2419"/>
      <c r="F124" s="2419"/>
      <c r="G124" s="2419"/>
      <c r="H124" s="2419"/>
      <c r="I124" s="2419"/>
      <c r="J124" s="2419"/>
      <c r="K124" s="2419"/>
      <c r="L124" s="2419"/>
      <c r="M124" s="2419"/>
      <c r="N124" s="2419"/>
      <c r="O124" s="2419"/>
      <c r="P124" s="2419"/>
      <c r="Q124" s="2419"/>
    </row>
    <row r="125" spans="2:17" s="2000" customFormat="1">
      <c r="B125" s="2419"/>
      <c r="C125" s="2419"/>
      <c r="D125" s="2419"/>
      <c r="E125" s="2419"/>
      <c r="F125" s="2419"/>
      <c r="G125" s="2419"/>
      <c r="H125" s="2419"/>
      <c r="I125" s="2419"/>
      <c r="J125" s="2419"/>
      <c r="K125" s="2419"/>
      <c r="L125" s="2419"/>
      <c r="M125" s="2419"/>
      <c r="N125" s="2419"/>
      <c r="O125" s="2419"/>
      <c r="P125" s="2419"/>
      <c r="Q125" s="2419"/>
    </row>
    <row r="126" spans="2:17" s="2000" customFormat="1">
      <c r="B126" s="2419"/>
      <c r="C126" s="2419"/>
      <c r="D126" s="2419"/>
      <c r="E126" s="2419"/>
      <c r="F126" s="2419"/>
      <c r="G126" s="2419"/>
      <c r="H126" s="2419"/>
      <c r="I126" s="2419"/>
      <c r="J126" s="2419"/>
      <c r="K126" s="2419"/>
      <c r="L126" s="2419"/>
      <c r="M126" s="2419"/>
      <c r="N126" s="2419"/>
      <c r="O126" s="2419"/>
      <c r="P126" s="2419"/>
      <c r="Q126" s="2419"/>
    </row>
    <row r="127" spans="2:17" s="2000" customFormat="1">
      <c r="B127" s="2419"/>
      <c r="C127" s="2419"/>
      <c r="D127" s="2419"/>
      <c r="E127" s="2419"/>
      <c r="F127" s="2419"/>
      <c r="G127" s="2419"/>
      <c r="H127" s="2419"/>
      <c r="I127" s="2419"/>
      <c r="J127" s="2419"/>
      <c r="K127" s="2419"/>
      <c r="L127" s="2419"/>
      <c r="M127" s="2419"/>
      <c r="N127" s="2419"/>
      <c r="O127" s="2419"/>
      <c r="P127" s="2419"/>
      <c r="Q127" s="2419"/>
    </row>
    <row r="128" spans="2:17" s="2000" customFormat="1">
      <c r="B128" s="2419"/>
      <c r="C128" s="2419"/>
      <c r="D128" s="2419"/>
      <c r="E128" s="2419"/>
      <c r="F128" s="2419"/>
      <c r="G128" s="2419"/>
      <c r="H128" s="2419"/>
      <c r="I128" s="2419"/>
      <c r="J128" s="2419"/>
      <c r="K128" s="2419"/>
      <c r="L128" s="2419"/>
      <c r="M128" s="2419"/>
      <c r="N128" s="2419"/>
      <c r="O128" s="2419"/>
      <c r="P128" s="2419"/>
      <c r="Q128" s="2419"/>
    </row>
    <row r="129" spans="2:17" s="2000" customFormat="1">
      <c r="B129" s="2419"/>
      <c r="C129" s="2419"/>
      <c r="D129" s="2419"/>
      <c r="E129" s="2419"/>
      <c r="F129" s="2419"/>
      <c r="G129" s="2419"/>
      <c r="H129" s="2419"/>
      <c r="I129" s="2419"/>
      <c r="J129" s="2419"/>
      <c r="K129" s="2419"/>
      <c r="L129" s="2419"/>
      <c r="M129" s="2419"/>
      <c r="N129" s="2419"/>
      <c r="O129" s="2419"/>
      <c r="P129" s="2419"/>
      <c r="Q129" s="2419"/>
    </row>
    <row r="130" spans="2:17" s="2000" customFormat="1">
      <c r="B130" s="2419"/>
      <c r="C130" s="2419"/>
      <c r="D130" s="2419"/>
      <c r="E130" s="2419"/>
      <c r="F130" s="2419"/>
      <c r="G130" s="2419"/>
      <c r="H130" s="2419"/>
      <c r="I130" s="2419"/>
      <c r="J130" s="2419"/>
      <c r="K130" s="2419"/>
      <c r="L130" s="2419"/>
      <c r="M130" s="2419"/>
      <c r="N130" s="2419"/>
      <c r="O130" s="2419"/>
      <c r="P130" s="2419"/>
      <c r="Q130" s="2419"/>
    </row>
    <row r="131" spans="2:17" s="2000" customFormat="1">
      <c r="B131" s="2419"/>
      <c r="C131" s="2419"/>
      <c r="D131" s="2419"/>
      <c r="E131" s="2419"/>
      <c r="F131" s="2419"/>
      <c r="G131" s="2419"/>
      <c r="H131" s="2419"/>
      <c r="I131" s="2419"/>
      <c r="J131" s="2419"/>
      <c r="K131" s="2419"/>
      <c r="L131" s="2419"/>
      <c r="M131" s="2419"/>
      <c r="N131" s="2419"/>
      <c r="O131" s="2419"/>
      <c r="P131" s="2419"/>
      <c r="Q131" s="2419"/>
    </row>
    <row r="132" spans="2:17" s="2000" customFormat="1">
      <c r="B132" s="2419"/>
      <c r="C132" s="2419"/>
      <c r="D132" s="2419"/>
      <c r="E132" s="2419"/>
      <c r="F132" s="2419"/>
      <c r="G132" s="2419"/>
      <c r="H132" s="2419"/>
      <c r="I132" s="2419"/>
      <c r="J132" s="2419"/>
      <c r="K132" s="2419"/>
      <c r="L132" s="2419"/>
      <c r="M132" s="2419"/>
      <c r="N132" s="2419"/>
      <c r="O132" s="2419"/>
      <c r="P132" s="2419"/>
      <c r="Q132" s="2419"/>
    </row>
    <row r="133" spans="2:17" s="2000" customFormat="1">
      <c r="B133" s="2419"/>
      <c r="C133" s="2419"/>
      <c r="D133" s="2419"/>
      <c r="E133" s="2419"/>
      <c r="F133" s="2419"/>
      <c r="G133" s="2419"/>
      <c r="H133" s="2419"/>
      <c r="I133" s="2419"/>
      <c r="J133" s="2419"/>
      <c r="K133" s="2419"/>
      <c r="L133" s="2419"/>
      <c r="M133" s="2419"/>
      <c r="N133" s="2419"/>
      <c r="O133" s="2419"/>
      <c r="P133" s="2419"/>
      <c r="Q133" s="2419"/>
    </row>
    <row r="134" spans="2:17" s="2000" customFormat="1">
      <c r="B134" s="2419"/>
      <c r="C134" s="2419"/>
      <c r="D134" s="2419"/>
      <c r="E134" s="2419"/>
      <c r="F134" s="2419"/>
      <c r="G134" s="2419"/>
      <c r="H134" s="2419"/>
      <c r="I134" s="2419"/>
      <c r="J134" s="2419"/>
      <c r="K134" s="2419"/>
      <c r="L134" s="2419"/>
      <c r="M134" s="2419"/>
      <c r="N134" s="2419"/>
      <c r="O134" s="2419"/>
      <c r="P134" s="2419"/>
      <c r="Q134" s="2419"/>
    </row>
    <row r="135" spans="2:17" s="2000" customFormat="1">
      <c r="B135" s="2419"/>
      <c r="C135" s="2419"/>
      <c r="D135" s="2419"/>
      <c r="E135" s="2419"/>
      <c r="F135" s="2419"/>
      <c r="G135" s="2419"/>
      <c r="H135" s="2419"/>
      <c r="I135" s="2419"/>
      <c r="J135" s="2419"/>
      <c r="K135" s="2419"/>
      <c r="L135" s="2419"/>
      <c r="M135" s="2419"/>
      <c r="N135" s="2419"/>
      <c r="O135" s="2419"/>
      <c r="P135" s="2419"/>
      <c r="Q135" s="2419"/>
    </row>
    <row r="136" spans="2:17" s="2000" customFormat="1">
      <c r="B136" s="2419"/>
      <c r="C136" s="2419"/>
      <c r="D136" s="2419"/>
      <c r="E136" s="2419"/>
      <c r="F136" s="2419"/>
      <c r="G136" s="2419"/>
      <c r="H136" s="2419"/>
      <c r="I136" s="2419"/>
      <c r="J136" s="2419"/>
      <c r="K136" s="2419"/>
      <c r="L136" s="2419"/>
      <c r="M136" s="2419"/>
      <c r="N136" s="2419"/>
      <c r="O136" s="2419"/>
      <c r="P136" s="2419"/>
      <c r="Q136" s="2419"/>
    </row>
    <row r="137" spans="2:17" s="2000" customFormat="1">
      <c r="B137" s="2419"/>
      <c r="C137" s="2419"/>
      <c r="D137" s="2419"/>
      <c r="E137" s="2419"/>
      <c r="F137" s="2419"/>
      <c r="G137" s="2419"/>
      <c r="H137" s="2419"/>
      <c r="I137" s="2419"/>
      <c r="J137" s="2419"/>
      <c r="K137" s="2419"/>
      <c r="L137" s="2419"/>
      <c r="M137" s="2419"/>
      <c r="N137" s="2419"/>
      <c r="O137" s="2419"/>
      <c r="P137" s="2419"/>
      <c r="Q137" s="2419"/>
    </row>
    <row r="138" spans="2:17" s="2000" customFormat="1">
      <c r="B138" s="2419"/>
      <c r="C138" s="2419"/>
      <c r="D138" s="2419"/>
      <c r="E138" s="2419"/>
      <c r="F138" s="2419"/>
      <c r="G138" s="2419"/>
      <c r="H138" s="2419"/>
      <c r="I138" s="2419"/>
      <c r="J138" s="2419"/>
      <c r="K138" s="2419"/>
      <c r="L138" s="2419"/>
      <c r="M138" s="2419"/>
      <c r="N138" s="2419"/>
      <c r="O138" s="2419"/>
      <c r="P138" s="2419"/>
      <c r="Q138" s="2419"/>
    </row>
    <row r="139" spans="2:17" s="2000" customFormat="1">
      <c r="B139" s="2419"/>
      <c r="C139" s="2419"/>
      <c r="D139" s="2419"/>
      <c r="E139" s="2419"/>
      <c r="F139" s="2419"/>
      <c r="G139" s="2419"/>
      <c r="H139" s="2419"/>
      <c r="I139" s="2419"/>
      <c r="J139" s="2419"/>
      <c r="K139" s="2419"/>
      <c r="L139" s="2419"/>
      <c r="M139" s="2419"/>
      <c r="N139" s="2419"/>
      <c r="O139" s="2419"/>
      <c r="P139" s="2419"/>
      <c r="Q139" s="2419"/>
    </row>
    <row r="140" spans="2:17" s="2000" customFormat="1">
      <c r="B140" s="2419"/>
      <c r="C140" s="2419"/>
      <c r="D140" s="2419"/>
      <c r="E140" s="2419"/>
      <c r="F140" s="2419"/>
      <c r="G140" s="2419"/>
      <c r="H140" s="2419"/>
      <c r="I140" s="2419"/>
      <c r="J140" s="2419"/>
      <c r="K140" s="2419"/>
      <c r="L140" s="2419"/>
      <c r="M140" s="2419"/>
      <c r="N140" s="2419"/>
      <c r="O140" s="2419"/>
      <c r="P140" s="2419"/>
      <c r="Q140" s="2419"/>
    </row>
    <row r="141" spans="2:17" s="2000" customFormat="1">
      <c r="B141" s="2419"/>
      <c r="C141" s="2419"/>
      <c r="D141" s="2419"/>
      <c r="E141" s="2419"/>
      <c r="F141" s="2419"/>
      <c r="G141" s="2419"/>
      <c r="H141" s="2419"/>
      <c r="I141" s="2419"/>
      <c r="J141" s="2419"/>
      <c r="K141" s="2419"/>
      <c r="L141" s="2419"/>
      <c r="M141" s="2419"/>
      <c r="N141" s="2419"/>
      <c r="O141" s="2419"/>
      <c r="P141" s="2419"/>
      <c r="Q141" s="2419"/>
    </row>
    <row r="142" spans="2:17" s="2000" customFormat="1">
      <c r="B142" s="2419"/>
      <c r="C142" s="2419"/>
      <c r="D142" s="2419"/>
      <c r="E142" s="2419"/>
      <c r="F142" s="2419"/>
      <c r="G142" s="2419"/>
      <c r="H142" s="2419"/>
      <c r="I142" s="2419"/>
      <c r="J142" s="2419"/>
      <c r="K142" s="2419"/>
      <c r="L142" s="2419"/>
      <c r="M142" s="2419"/>
      <c r="N142" s="2419"/>
      <c r="O142" s="2419"/>
      <c r="P142" s="2419"/>
      <c r="Q142" s="2419"/>
    </row>
    <row r="143" spans="2:17" s="2000" customFormat="1">
      <c r="B143" s="2419"/>
      <c r="C143" s="2419"/>
      <c r="D143" s="2419"/>
      <c r="E143" s="2419"/>
      <c r="F143" s="2419"/>
      <c r="G143" s="2419"/>
      <c r="H143" s="2419"/>
      <c r="I143" s="2419"/>
      <c r="J143" s="2419"/>
      <c r="K143" s="2419"/>
      <c r="L143" s="2419"/>
      <c r="M143" s="2419"/>
      <c r="N143" s="2419"/>
      <c r="O143" s="2419"/>
      <c r="P143" s="2419"/>
      <c r="Q143" s="2419"/>
    </row>
    <row r="144" spans="2:17" s="2000" customFormat="1">
      <c r="B144" s="2419"/>
      <c r="C144" s="2419"/>
      <c r="D144" s="2419"/>
      <c r="E144" s="2419"/>
      <c r="F144" s="2419"/>
      <c r="G144" s="2419"/>
      <c r="H144" s="2419"/>
      <c r="I144" s="2419"/>
      <c r="J144" s="2419"/>
      <c r="K144" s="2419"/>
      <c r="L144" s="2419"/>
      <c r="M144" s="2419"/>
      <c r="N144" s="2419"/>
      <c r="O144" s="2419"/>
      <c r="P144" s="2419"/>
      <c r="Q144" s="2419"/>
    </row>
    <row r="145" spans="2:17" s="2000" customFormat="1">
      <c r="B145" s="2419"/>
      <c r="C145" s="2419"/>
      <c r="D145" s="2419"/>
      <c r="E145" s="2419"/>
      <c r="F145" s="2419"/>
      <c r="G145" s="2419"/>
      <c r="H145" s="2419"/>
      <c r="I145" s="2419"/>
      <c r="J145" s="2419"/>
      <c r="K145" s="2419"/>
      <c r="L145" s="2419"/>
      <c r="M145" s="2419"/>
      <c r="N145" s="2419"/>
      <c r="O145" s="2419"/>
      <c r="P145" s="2419"/>
      <c r="Q145" s="2419"/>
    </row>
    <row r="146" spans="2:17" s="2000" customFormat="1">
      <c r="B146" s="2419"/>
      <c r="C146" s="2419"/>
      <c r="D146" s="2419"/>
      <c r="E146" s="2419"/>
      <c r="F146" s="2419"/>
      <c r="G146" s="2419"/>
      <c r="H146" s="2419"/>
      <c r="I146" s="2419"/>
      <c r="J146" s="2419"/>
      <c r="K146" s="2419"/>
      <c r="L146" s="2419"/>
      <c r="M146" s="2419"/>
      <c r="N146" s="2419"/>
      <c r="O146" s="2419"/>
      <c r="P146" s="2419"/>
      <c r="Q146" s="2419"/>
    </row>
    <row r="147" spans="2:17" s="2000" customFormat="1">
      <c r="B147" s="2419"/>
      <c r="C147" s="2419"/>
      <c r="D147" s="2419"/>
      <c r="E147" s="2419"/>
      <c r="F147" s="2419"/>
      <c r="G147" s="2419"/>
      <c r="H147" s="2419"/>
      <c r="I147" s="2419"/>
      <c r="J147" s="2419"/>
      <c r="K147" s="2419"/>
      <c r="L147" s="2419"/>
      <c r="M147" s="2419"/>
      <c r="N147" s="2419"/>
      <c r="O147" s="2419"/>
      <c r="P147" s="2419"/>
      <c r="Q147" s="2419"/>
    </row>
    <row r="148" spans="2:17" s="2000" customFormat="1">
      <c r="B148" s="2419"/>
      <c r="C148" s="2419"/>
      <c r="D148" s="2419"/>
      <c r="E148" s="2419"/>
      <c r="F148" s="2419"/>
      <c r="G148" s="2419"/>
      <c r="H148" s="2419"/>
      <c r="I148" s="2419"/>
      <c r="J148" s="2419"/>
      <c r="K148" s="2419"/>
      <c r="L148" s="2419"/>
      <c r="M148" s="2419"/>
      <c r="N148" s="2419"/>
      <c r="O148" s="2419"/>
      <c r="P148" s="2419"/>
      <c r="Q148" s="2419"/>
    </row>
    <row r="149" spans="2:17" s="2000" customFormat="1">
      <c r="B149" s="2419"/>
      <c r="C149" s="2419"/>
      <c r="D149" s="2419"/>
      <c r="E149" s="2419"/>
      <c r="F149" s="2419"/>
      <c r="G149" s="2419"/>
      <c r="H149" s="2419"/>
      <c r="I149" s="2419"/>
      <c r="J149" s="2419"/>
      <c r="K149" s="2419"/>
      <c r="L149" s="2419"/>
      <c r="M149" s="2419"/>
      <c r="N149" s="2419"/>
      <c r="O149" s="2419"/>
      <c r="P149" s="2419"/>
      <c r="Q149" s="2419"/>
    </row>
    <row r="150" spans="2:17" s="2000" customFormat="1">
      <c r="B150" s="2419"/>
      <c r="C150" s="2419"/>
      <c r="D150" s="2419"/>
      <c r="E150" s="2419"/>
      <c r="F150" s="2419"/>
      <c r="G150" s="2419"/>
      <c r="H150" s="2419"/>
      <c r="I150" s="2419"/>
      <c r="J150" s="2419"/>
      <c r="K150" s="2419"/>
      <c r="L150" s="2419"/>
      <c r="M150" s="2419"/>
      <c r="N150" s="2419"/>
      <c r="O150" s="2419"/>
      <c r="P150" s="2419"/>
      <c r="Q150" s="2419"/>
    </row>
    <row r="151" spans="2:17" s="2000" customFormat="1">
      <c r="B151" s="2419"/>
      <c r="C151" s="2419"/>
      <c r="D151" s="2419"/>
      <c r="E151" s="2419"/>
      <c r="F151" s="2419"/>
      <c r="G151" s="2419"/>
      <c r="H151" s="2419"/>
      <c r="I151" s="2419"/>
      <c r="J151" s="2419"/>
      <c r="K151" s="2419"/>
      <c r="L151" s="2419"/>
      <c r="M151" s="2419"/>
      <c r="N151" s="2419"/>
      <c r="O151" s="2419"/>
      <c r="P151" s="2419"/>
      <c r="Q151" s="2419"/>
    </row>
    <row r="152" spans="2:17" s="2000" customFormat="1">
      <c r="B152" s="2419"/>
      <c r="C152" s="2419"/>
      <c r="D152" s="2419"/>
      <c r="E152" s="2419"/>
      <c r="F152" s="2419"/>
      <c r="G152" s="2419"/>
      <c r="H152" s="2419"/>
      <c r="I152" s="2419"/>
      <c r="J152" s="2419"/>
      <c r="K152" s="2419"/>
      <c r="L152" s="2419"/>
      <c r="M152" s="2419"/>
      <c r="N152" s="2419"/>
      <c r="O152" s="2419"/>
      <c r="P152" s="2419"/>
      <c r="Q152" s="2419"/>
    </row>
    <row r="153" spans="2:17" s="2000" customFormat="1">
      <c r="B153" s="2419"/>
      <c r="C153" s="2419"/>
      <c r="D153" s="2419"/>
      <c r="E153" s="2419"/>
      <c r="F153" s="2419"/>
      <c r="G153" s="2419"/>
      <c r="H153" s="2419"/>
      <c r="I153" s="2419"/>
      <c r="J153" s="2419"/>
      <c r="K153" s="2419"/>
      <c r="L153" s="2419"/>
      <c r="M153" s="2419"/>
      <c r="N153" s="2419"/>
      <c r="O153" s="2419"/>
      <c r="P153" s="2419"/>
      <c r="Q153" s="2419"/>
    </row>
    <row r="154" spans="2:17" s="2000" customFormat="1">
      <c r="B154" s="2419"/>
      <c r="C154" s="2419"/>
      <c r="D154" s="2419"/>
      <c r="E154" s="2419"/>
      <c r="F154" s="2419"/>
      <c r="G154" s="2419"/>
      <c r="H154" s="2419"/>
      <c r="I154" s="2419"/>
      <c r="J154" s="2419"/>
      <c r="K154" s="2419"/>
      <c r="L154" s="2419"/>
      <c r="M154" s="2419"/>
      <c r="N154" s="2419"/>
      <c r="O154" s="2419"/>
      <c r="P154" s="2419"/>
      <c r="Q154" s="2419"/>
    </row>
    <row r="155" spans="2:17" s="2000" customFormat="1">
      <c r="B155" s="2419"/>
      <c r="C155" s="2419"/>
      <c r="D155" s="2419"/>
      <c r="E155" s="2419"/>
      <c r="F155" s="2419"/>
      <c r="G155" s="2419"/>
      <c r="H155" s="2419"/>
      <c r="I155" s="2419"/>
      <c r="J155" s="2419"/>
      <c r="K155" s="2419"/>
      <c r="L155" s="2419"/>
      <c r="M155" s="2419"/>
      <c r="N155" s="2419"/>
      <c r="O155" s="2419"/>
      <c r="P155" s="2419"/>
      <c r="Q155" s="2419"/>
    </row>
    <row r="156" spans="2:17" s="2000" customFormat="1">
      <c r="B156" s="2419"/>
      <c r="C156" s="2419"/>
      <c r="D156" s="2419"/>
      <c r="E156" s="2419"/>
      <c r="F156" s="2419"/>
      <c r="G156" s="2419"/>
      <c r="H156" s="2419"/>
      <c r="I156" s="2419"/>
      <c r="J156" s="2419"/>
      <c r="K156" s="2419"/>
      <c r="L156" s="2419"/>
      <c r="M156" s="2419"/>
      <c r="N156" s="2419"/>
      <c r="O156" s="2419"/>
      <c r="P156" s="2419"/>
      <c r="Q156" s="2419"/>
    </row>
    <row r="157" spans="2:17" s="2000" customFormat="1">
      <c r="B157" s="2419"/>
      <c r="C157" s="2419"/>
      <c r="D157" s="2419"/>
      <c r="E157" s="2419"/>
      <c r="F157" s="2419"/>
      <c r="G157" s="2419"/>
      <c r="H157" s="2419"/>
      <c r="I157" s="2419"/>
      <c r="J157" s="2419"/>
      <c r="K157" s="2419"/>
      <c r="L157" s="2419"/>
      <c r="M157" s="2419"/>
      <c r="N157" s="2419"/>
      <c r="O157" s="2419"/>
      <c r="P157" s="2419"/>
      <c r="Q157" s="2419"/>
    </row>
    <row r="158" spans="2:17" s="2000" customFormat="1">
      <c r="B158" s="2419"/>
      <c r="C158" s="2419"/>
      <c r="D158" s="2419"/>
      <c r="E158" s="2419"/>
      <c r="F158" s="2419"/>
      <c r="G158" s="2419"/>
      <c r="H158" s="2419"/>
      <c r="I158" s="2419"/>
      <c r="J158" s="2419"/>
      <c r="K158" s="2419"/>
      <c r="L158" s="2419"/>
      <c r="M158" s="2419"/>
      <c r="N158" s="2419"/>
      <c r="O158" s="2419"/>
      <c r="P158" s="2419"/>
      <c r="Q158" s="2419"/>
    </row>
    <row r="159" spans="2:17" s="2000" customFormat="1">
      <c r="B159" s="2419"/>
      <c r="C159" s="2419"/>
      <c r="D159" s="2419"/>
      <c r="E159" s="2419"/>
      <c r="F159" s="2419"/>
      <c r="G159" s="2419"/>
      <c r="H159" s="2419"/>
      <c r="I159" s="2419"/>
      <c r="J159" s="2419"/>
      <c r="K159" s="2419"/>
      <c r="L159" s="2419"/>
      <c r="M159" s="2419"/>
      <c r="N159" s="2419"/>
      <c r="O159" s="2419"/>
      <c r="P159" s="2419"/>
      <c r="Q159" s="2419"/>
    </row>
    <row r="160" spans="2:17" s="2000" customFormat="1">
      <c r="B160" s="2419"/>
      <c r="C160" s="2419"/>
      <c r="D160" s="2419"/>
      <c r="E160" s="2419"/>
      <c r="F160" s="2419"/>
      <c r="G160" s="2419"/>
      <c r="H160" s="2419"/>
      <c r="I160" s="2419"/>
      <c r="J160" s="2419"/>
      <c r="K160" s="2419"/>
      <c r="L160" s="2419"/>
      <c r="M160" s="2419"/>
      <c r="N160" s="2419"/>
      <c r="O160" s="2419"/>
      <c r="P160" s="2419"/>
      <c r="Q160" s="2419"/>
    </row>
    <row r="161" spans="2:17" s="2000" customFormat="1">
      <c r="B161" s="2419"/>
      <c r="C161" s="2419"/>
      <c r="D161" s="2419"/>
      <c r="E161" s="2419"/>
      <c r="F161" s="2419"/>
      <c r="G161" s="2419"/>
      <c r="H161" s="2419"/>
      <c r="I161" s="2419"/>
      <c r="J161" s="2419"/>
      <c r="K161" s="2419"/>
      <c r="L161" s="2419"/>
      <c r="M161" s="2419"/>
      <c r="N161" s="2419"/>
      <c r="O161" s="2419"/>
      <c r="P161" s="2419"/>
      <c r="Q161" s="2419"/>
    </row>
    <row r="162" spans="2:17" s="2000" customFormat="1">
      <c r="B162" s="2419"/>
      <c r="C162" s="2419"/>
      <c r="D162" s="2419"/>
      <c r="E162" s="2419"/>
      <c r="F162" s="2419"/>
      <c r="G162" s="2419"/>
      <c r="H162" s="2419"/>
      <c r="I162" s="2419"/>
      <c r="J162" s="2419"/>
      <c r="K162" s="2419"/>
      <c r="L162" s="2419"/>
      <c r="M162" s="2419"/>
      <c r="N162" s="2419"/>
      <c r="O162" s="2419"/>
      <c r="P162" s="2419"/>
      <c r="Q162" s="2419"/>
    </row>
    <row r="163" spans="2:17" s="2000" customFormat="1">
      <c r="B163" s="2419"/>
      <c r="C163" s="2419"/>
      <c r="D163" s="2419"/>
      <c r="E163" s="2419"/>
      <c r="F163" s="2419"/>
      <c r="G163" s="2419"/>
      <c r="H163" s="2419"/>
      <c r="I163" s="2419"/>
      <c r="J163" s="2419"/>
      <c r="K163" s="2419"/>
      <c r="L163" s="2419"/>
      <c r="M163" s="2419"/>
      <c r="N163" s="2419"/>
      <c r="O163" s="2419"/>
      <c r="P163" s="2419"/>
      <c r="Q163" s="2419"/>
    </row>
    <row r="164" spans="2:17" s="2000" customFormat="1">
      <c r="B164" s="2419"/>
      <c r="C164" s="2419"/>
      <c r="D164" s="2419"/>
      <c r="E164" s="2419"/>
      <c r="F164" s="2419"/>
      <c r="G164" s="2419"/>
      <c r="H164" s="2419"/>
      <c r="I164" s="2419"/>
      <c r="J164" s="2419"/>
      <c r="K164" s="2419"/>
      <c r="L164" s="2419"/>
      <c r="M164" s="2419"/>
      <c r="N164" s="2419"/>
      <c r="O164" s="2419"/>
      <c r="P164" s="2419"/>
      <c r="Q164" s="2419"/>
    </row>
    <row r="165" spans="2:17" s="2000" customFormat="1">
      <c r="B165" s="2419"/>
      <c r="C165" s="2419"/>
      <c r="D165" s="2419"/>
      <c r="E165" s="2419"/>
      <c r="F165" s="2419"/>
      <c r="G165" s="2419"/>
      <c r="H165" s="2419"/>
      <c r="I165" s="2419"/>
      <c r="J165" s="2419"/>
      <c r="K165" s="2419"/>
      <c r="L165" s="2419"/>
      <c r="M165" s="2419"/>
      <c r="N165" s="2419"/>
      <c r="O165" s="2419"/>
      <c r="P165" s="2419"/>
      <c r="Q165" s="2419"/>
    </row>
    <row r="166" spans="2:17" s="2000" customFormat="1">
      <c r="B166" s="2419"/>
      <c r="C166" s="2419"/>
      <c r="D166" s="2419"/>
      <c r="E166" s="2419"/>
      <c r="F166" s="2419"/>
      <c r="G166" s="2419"/>
      <c r="H166" s="2419"/>
      <c r="I166" s="2419"/>
      <c r="J166" s="2419"/>
      <c r="K166" s="2419"/>
      <c r="L166" s="2419"/>
      <c r="M166" s="2419"/>
      <c r="N166" s="2419"/>
      <c r="O166" s="2419"/>
      <c r="P166" s="2419"/>
      <c r="Q166" s="2419"/>
    </row>
    <row r="167" spans="2:17" s="2000" customFormat="1">
      <c r="B167" s="2419"/>
      <c r="C167" s="2419"/>
      <c r="D167" s="2419"/>
      <c r="E167" s="2419"/>
      <c r="F167" s="2419"/>
      <c r="G167" s="2419"/>
      <c r="H167" s="2419"/>
      <c r="I167" s="2419"/>
      <c r="J167" s="2419"/>
      <c r="K167" s="2419"/>
      <c r="L167" s="2419"/>
      <c r="M167" s="2419"/>
      <c r="N167" s="2419"/>
      <c r="O167" s="2419"/>
      <c r="P167" s="2419"/>
      <c r="Q167" s="2419"/>
    </row>
    <row r="168" spans="2:17" s="2000" customFormat="1">
      <c r="B168" s="2419"/>
      <c r="C168" s="2419"/>
      <c r="D168" s="2419"/>
      <c r="E168" s="2419"/>
      <c r="F168" s="2419"/>
      <c r="G168" s="2419"/>
      <c r="H168" s="2419"/>
      <c r="I168" s="2419"/>
      <c r="J168" s="2419"/>
      <c r="K168" s="2419"/>
      <c r="L168" s="2419"/>
      <c r="M168" s="2419"/>
      <c r="N168" s="2419"/>
      <c r="O168" s="2419"/>
      <c r="P168" s="2419"/>
      <c r="Q168" s="2419"/>
    </row>
    <row r="169" spans="2:17" s="2000" customFormat="1">
      <c r="B169" s="2419"/>
      <c r="C169" s="2419"/>
      <c r="D169" s="2419"/>
      <c r="E169" s="2419"/>
      <c r="F169" s="2419"/>
      <c r="G169" s="2419"/>
      <c r="H169" s="2419"/>
      <c r="I169" s="2419"/>
      <c r="J169" s="2419"/>
      <c r="K169" s="2419"/>
      <c r="L169" s="2419"/>
      <c r="M169" s="2419"/>
      <c r="N169" s="2419"/>
      <c r="O169" s="2419"/>
      <c r="P169" s="2419"/>
      <c r="Q169" s="2419"/>
    </row>
    <row r="170" spans="2:17" s="2000" customFormat="1">
      <c r="B170" s="2419"/>
      <c r="C170" s="2419"/>
      <c r="D170" s="2419"/>
      <c r="E170" s="2419"/>
      <c r="F170" s="2419"/>
      <c r="G170" s="2419"/>
      <c r="H170" s="2419"/>
      <c r="I170" s="2419"/>
      <c r="J170" s="2419"/>
      <c r="K170" s="2419"/>
      <c r="L170" s="2419"/>
      <c r="M170" s="2419"/>
      <c r="N170" s="2419"/>
      <c r="O170" s="2419"/>
      <c r="P170" s="2419"/>
      <c r="Q170" s="2419"/>
    </row>
    <row r="171" spans="2:17" s="2000" customFormat="1">
      <c r="B171" s="2419"/>
      <c r="C171" s="2419"/>
      <c r="D171" s="2419"/>
      <c r="E171" s="2419"/>
      <c r="F171" s="2419"/>
      <c r="G171" s="2419"/>
      <c r="H171" s="2419"/>
      <c r="I171" s="2419"/>
      <c r="J171" s="2419"/>
      <c r="K171" s="2419"/>
      <c r="L171" s="2419"/>
      <c r="M171" s="2419"/>
      <c r="N171" s="2419"/>
      <c r="O171" s="2419"/>
      <c r="P171" s="2419"/>
      <c r="Q171" s="2419"/>
    </row>
    <row r="172" spans="2:17" s="2000" customFormat="1">
      <c r="B172" s="2419"/>
      <c r="C172" s="2419"/>
      <c r="D172" s="2419"/>
      <c r="E172" s="2419"/>
      <c r="F172" s="2419"/>
      <c r="G172" s="2419"/>
      <c r="H172" s="2419"/>
      <c r="I172" s="2419"/>
      <c r="J172" s="2419"/>
      <c r="K172" s="2419"/>
      <c r="L172" s="2419"/>
      <c r="M172" s="2419"/>
      <c r="N172" s="2419"/>
      <c r="O172" s="2419"/>
      <c r="P172" s="2419"/>
      <c r="Q172" s="2419"/>
    </row>
    <row r="173" spans="2:17" s="2000" customFormat="1">
      <c r="B173" s="2419"/>
      <c r="C173" s="2419"/>
      <c r="D173" s="2419"/>
      <c r="E173" s="2419"/>
      <c r="F173" s="2419"/>
      <c r="G173" s="2419"/>
      <c r="H173" s="2419"/>
      <c r="I173" s="2419"/>
      <c r="J173" s="2419"/>
      <c r="K173" s="2419"/>
      <c r="L173" s="2419"/>
      <c r="M173" s="2419"/>
      <c r="N173" s="2419"/>
      <c r="O173" s="2419"/>
      <c r="P173" s="2419"/>
      <c r="Q173" s="2419"/>
    </row>
    <row r="174" spans="2:17" s="2000" customFormat="1">
      <c r="B174" s="2419"/>
      <c r="C174" s="2419"/>
      <c r="D174" s="2419"/>
      <c r="E174" s="2419"/>
      <c r="F174" s="2419"/>
      <c r="G174" s="2419"/>
      <c r="H174" s="2419"/>
      <c r="I174" s="2419"/>
      <c r="J174" s="2419"/>
      <c r="K174" s="2419"/>
      <c r="L174" s="2419"/>
      <c r="M174" s="2419"/>
      <c r="N174" s="2419"/>
      <c r="O174" s="2419"/>
      <c r="P174" s="2419"/>
      <c r="Q174" s="2419"/>
    </row>
    <row r="175" spans="2:17" s="2000" customFormat="1">
      <c r="B175" s="2419"/>
      <c r="C175" s="2419"/>
      <c r="D175" s="2419"/>
      <c r="E175" s="2419"/>
      <c r="F175" s="2419"/>
      <c r="G175" s="2419"/>
      <c r="H175" s="2419"/>
      <c r="I175" s="2419"/>
      <c r="J175" s="2419"/>
      <c r="K175" s="2419"/>
      <c r="L175" s="2419"/>
      <c r="M175" s="2419"/>
      <c r="N175" s="2419"/>
      <c r="O175" s="2419"/>
      <c r="P175" s="2419"/>
      <c r="Q175" s="2419"/>
    </row>
    <row r="176" spans="2:17" s="2000" customFormat="1">
      <c r="B176" s="2419"/>
      <c r="C176" s="2419"/>
      <c r="D176" s="2419"/>
      <c r="E176" s="2419"/>
      <c r="F176" s="2419"/>
      <c r="G176" s="2419"/>
      <c r="H176" s="2419"/>
      <c r="I176" s="2419"/>
      <c r="J176" s="2419"/>
      <c r="K176" s="2419"/>
      <c r="L176" s="2419"/>
      <c r="M176" s="2419"/>
      <c r="N176" s="2419"/>
      <c r="O176" s="2419"/>
      <c r="P176" s="2419"/>
      <c r="Q176" s="2419"/>
    </row>
    <row r="177" spans="1:17" s="2000" customFormat="1">
      <c r="B177" s="2419"/>
      <c r="C177" s="2419"/>
      <c r="D177" s="2419"/>
      <c r="E177" s="2419"/>
      <c r="F177" s="2419"/>
      <c r="G177" s="2419"/>
      <c r="H177" s="2419"/>
      <c r="I177" s="2419"/>
      <c r="J177" s="2419"/>
      <c r="K177" s="2419"/>
      <c r="L177" s="2419"/>
      <c r="M177" s="2419"/>
      <c r="N177" s="2419"/>
      <c r="O177" s="2419"/>
      <c r="P177" s="2419"/>
      <c r="Q177" s="2419"/>
    </row>
    <row r="178" spans="1:17" s="2000" customFormat="1">
      <c r="B178" s="2419"/>
      <c r="C178" s="2419"/>
      <c r="D178" s="2419"/>
      <c r="E178" s="2419"/>
      <c r="F178" s="2419"/>
      <c r="G178" s="2419"/>
      <c r="H178" s="2419"/>
      <c r="I178" s="2419"/>
      <c r="J178" s="2419"/>
      <c r="K178" s="2419"/>
      <c r="L178" s="2419"/>
      <c r="M178" s="2419"/>
      <c r="N178" s="2419"/>
      <c r="O178" s="2419"/>
      <c r="P178" s="2419"/>
      <c r="Q178" s="2419"/>
    </row>
    <row r="179" spans="1:17" s="2000" customFormat="1">
      <c r="B179" s="2419"/>
      <c r="C179" s="2419"/>
      <c r="D179" s="2419"/>
      <c r="E179" s="2419"/>
      <c r="F179" s="2419"/>
      <c r="G179" s="2419"/>
      <c r="H179" s="2419"/>
      <c r="I179" s="2419"/>
      <c r="J179" s="2419"/>
      <c r="K179" s="2419"/>
      <c r="L179" s="2419"/>
      <c r="M179" s="2419"/>
      <c r="N179" s="2419"/>
      <c r="O179" s="2419"/>
      <c r="P179" s="2419"/>
      <c r="Q179" s="2419"/>
    </row>
    <row r="180" spans="1:17" s="2000" customFormat="1">
      <c r="B180" s="2419"/>
      <c r="C180" s="2419"/>
      <c r="D180" s="2419"/>
      <c r="E180" s="2419"/>
      <c r="F180" s="2419"/>
      <c r="G180" s="2419"/>
      <c r="H180" s="2419"/>
      <c r="I180" s="2419"/>
      <c r="J180" s="2419"/>
      <c r="K180" s="2419"/>
      <c r="L180" s="2419"/>
      <c r="M180" s="2419"/>
      <c r="N180" s="2419"/>
      <c r="O180" s="2419"/>
      <c r="P180" s="2419"/>
      <c r="Q180" s="2419"/>
    </row>
    <row r="181" spans="1:17" s="2000" customFormat="1">
      <c r="B181" s="2419"/>
      <c r="C181" s="2419"/>
      <c r="D181" s="2419"/>
      <c r="E181" s="2419"/>
      <c r="F181" s="2419"/>
      <c r="G181" s="2419"/>
      <c r="H181" s="2419"/>
      <c r="I181" s="2419"/>
      <c r="J181" s="2419"/>
      <c r="K181" s="2419"/>
      <c r="L181" s="2419"/>
      <c r="M181" s="2419"/>
      <c r="N181" s="2419"/>
      <c r="O181" s="2419"/>
      <c r="P181" s="2419"/>
      <c r="Q181" s="2419"/>
    </row>
    <row r="182" spans="1:17" s="2000" customFormat="1">
      <c r="B182" s="2419"/>
      <c r="C182" s="2419"/>
      <c r="D182" s="2419"/>
      <c r="E182" s="2419"/>
      <c r="F182" s="2419"/>
      <c r="G182" s="2419"/>
      <c r="H182" s="2419"/>
      <c r="I182" s="2419"/>
      <c r="J182" s="2419"/>
      <c r="K182" s="2419"/>
      <c r="L182" s="2419"/>
      <c r="M182" s="2419"/>
      <c r="N182" s="2419"/>
      <c r="O182" s="2419"/>
      <c r="P182" s="2419"/>
      <c r="Q182" s="2419"/>
    </row>
    <row r="183" spans="1:17" s="2000" customFormat="1">
      <c r="B183" s="2419"/>
      <c r="C183" s="2419"/>
      <c r="D183" s="2419"/>
      <c r="E183" s="2419"/>
      <c r="F183" s="2419"/>
      <c r="G183" s="2419"/>
      <c r="H183" s="2419"/>
      <c r="I183" s="2419"/>
      <c r="J183" s="2419"/>
      <c r="K183" s="2419"/>
      <c r="L183" s="2419"/>
      <c r="M183" s="2419"/>
      <c r="N183" s="2419"/>
      <c r="O183" s="2419"/>
      <c r="P183" s="2419"/>
      <c r="Q183" s="2419"/>
    </row>
    <row r="184" spans="1:17" s="2000" customFormat="1">
      <c r="B184" s="2419"/>
      <c r="C184" s="2419"/>
      <c r="D184" s="2419"/>
      <c r="E184" s="2419"/>
      <c r="F184" s="2419"/>
      <c r="G184" s="2419"/>
      <c r="H184" s="2419"/>
      <c r="I184" s="2419"/>
      <c r="J184" s="2419"/>
      <c r="K184" s="2419"/>
      <c r="L184" s="2419"/>
      <c r="M184" s="2419"/>
      <c r="N184" s="2419"/>
      <c r="O184" s="2419"/>
      <c r="P184" s="2419"/>
      <c r="Q184" s="2419"/>
    </row>
    <row r="185" spans="1:17" s="2000" customFormat="1">
      <c r="B185" s="2419"/>
      <c r="C185" s="2419"/>
      <c r="D185" s="2419"/>
      <c r="E185" s="2419"/>
      <c r="F185" s="2419"/>
      <c r="G185" s="2419"/>
      <c r="H185" s="2419"/>
      <c r="I185" s="2419"/>
      <c r="J185" s="2419"/>
      <c r="K185" s="2419"/>
      <c r="L185" s="2419"/>
      <c r="M185" s="2419"/>
      <c r="N185" s="2419"/>
      <c r="O185" s="2419"/>
      <c r="P185" s="2419"/>
      <c r="Q185" s="2419"/>
    </row>
    <row r="186" spans="1:17">
      <c r="A186" s="2000"/>
      <c r="B186" s="2419"/>
      <c r="C186" s="2419"/>
      <c r="E186" s="2419"/>
      <c r="F186" s="2419"/>
      <c r="G186" s="2419"/>
    </row>
    <row r="187" spans="1:17">
      <c r="A187" s="2000"/>
      <c r="B187" s="2419"/>
      <c r="C187" s="2419"/>
      <c r="E187" s="2419"/>
      <c r="F187" s="2419"/>
      <c r="G187" s="2419"/>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M19" sqref="M19"/>
    </sheetView>
  </sheetViews>
  <sheetFormatPr defaultColWidth="9" defaultRowHeight="13.5"/>
  <cols>
    <col min="1" max="1" width="25" style="2406" customWidth="1"/>
    <col min="2" max="9" width="15.75" style="2406" customWidth="1"/>
    <col min="10" max="16384" width="9" style="2406"/>
  </cols>
  <sheetData>
    <row r="1" spans="1:11" ht="16.5">
      <c r="A1" s="2407" t="s">
        <v>687</v>
      </c>
      <c r="B1" s="2407">
        <f>SUM(B14:B23)</f>
        <v>121712.14</v>
      </c>
      <c r="C1" s="2408"/>
      <c r="D1" s="2408"/>
      <c r="E1" s="2408"/>
      <c r="F1" s="2408"/>
      <c r="G1" s="2409"/>
      <c r="H1" s="2409"/>
      <c r="I1" s="2409"/>
      <c r="J1" s="2409"/>
      <c r="K1" s="2409"/>
    </row>
    <row r="2" spans="1:11" ht="16.5">
      <c r="A2" s="2407" t="s">
        <v>688</v>
      </c>
      <c r="B2" s="2407">
        <f>SUM(C14:C23)</f>
        <v>0</v>
      </c>
      <c r="C2" s="2408"/>
      <c r="D2" s="2408"/>
      <c r="E2" s="2408"/>
      <c r="F2" s="2408"/>
      <c r="G2" s="2409"/>
      <c r="H2" s="2409"/>
      <c r="I2" s="2409"/>
      <c r="J2" s="2409"/>
      <c r="K2" s="2409"/>
    </row>
    <row r="3" spans="1:11" ht="16.5">
      <c r="A3" s="2407" t="s">
        <v>689</v>
      </c>
      <c r="B3" s="2410">
        <f>项目基本情况!D3</f>
        <v>45475</v>
      </c>
      <c r="C3" s="2408"/>
      <c r="D3" s="2408"/>
      <c r="E3" s="2408"/>
      <c r="F3" s="2408"/>
      <c r="G3" s="2409"/>
      <c r="H3" s="2409"/>
      <c r="I3" s="2409"/>
      <c r="J3" s="2409"/>
      <c r="K3" s="2409"/>
    </row>
    <row r="4" spans="1:11" ht="33">
      <c r="A4" s="2407" t="s">
        <v>690</v>
      </c>
      <c r="B4" s="2407" t="s">
        <v>691</v>
      </c>
      <c r="C4" s="2407" t="s">
        <v>692</v>
      </c>
      <c r="D4" s="2407" t="s">
        <v>693</v>
      </c>
      <c r="E4" s="2408"/>
      <c r="F4" s="2409"/>
      <c r="G4" s="2409"/>
      <c r="H4" s="2409"/>
      <c r="I4" s="2409"/>
      <c r="J4" s="2409"/>
      <c r="K4" s="2409"/>
    </row>
    <row r="5" spans="1:11" ht="16.5">
      <c r="A5" s="2407" t="s">
        <v>694</v>
      </c>
      <c r="B5" s="2407">
        <f ca="1">SUM(D14:D23)</f>
        <v>211079</v>
      </c>
      <c r="C5" s="2407">
        <f ca="1">ROUND(B5*10000/$B$1,0)</f>
        <v>17342</v>
      </c>
      <c r="D5" s="2407" t="e">
        <f ca="1">ROUND(B5*10000/$B$2,0)</f>
        <v>#DIV/0!</v>
      </c>
      <c r="E5" s="2408"/>
      <c r="F5" s="2409"/>
      <c r="G5" s="2409"/>
      <c r="H5" s="2409"/>
      <c r="I5" s="2409"/>
      <c r="J5" s="2409"/>
      <c r="K5" s="2409"/>
    </row>
    <row r="6" spans="1:11" ht="16.5">
      <c r="A6" s="2407" t="s">
        <v>695</v>
      </c>
      <c r="B6" s="2407">
        <f ca="1">SUM(G14:G23)</f>
        <v>211079</v>
      </c>
      <c r="C6" s="2407">
        <f ca="1">ROUND(B6*10000/$B$1,0)</f>
        <v>17342</v>
      </c>
      <c r="D6" s="2407" t="e">
        <f ca="1">ROUND(B6*10000/$B$2,0)</f>
        <v>#DIV/0!</v>
      </c>
      <c r="E6" s="2408"/>
      <c r="F6" s="2409"/>
      <c r="G6" s="2409"/>
      <c r="H6" s="2409"/>
      <c r="I6" s="2409"/>
      <c r="J6" s="2409"/>
      <c r="K6" s="2409"/>
    </row>
    <row r="7" spans="1:11" ht="16.5">
      <c r="A7" s="2407" t="s">
        <v>696</v>
      </c>
      <c r="B7" s="2407">
        <f>SUM(H14:H23)</f>
        <v>0</v>
      </c>
      <c r="C7" s="2407">
        <f>ROUND(B7*10000/$B$1,0)</f>
        <v>0</v>
      </c>
      <c r="D7" s="2407" t="e">
        <f>ROUND(B7*10000/$B$2,0)</f>
        <v>#DIV/0!</v>
      </c>
      <c r="E7" s="2408"/>
      <c r="F7" s="2409"/>
      <c r="G7" s="2409"/>
      <c r="H7" s="2409"/>
      <c r="I7" s="2409"/>
      <c r="J7" s="2409"/>
      <c r="K7" s="2409"/>
    </row>
    <row r="8" spans="1:11" ht="16.5">
      <c r="A8" s="2407" t="s">
        <v>328</v>
      </c>
      <c r="B8" s="2407">
        <f ca="1">SUM(I14:I23)</f>
        <v>198612</v>
      </c>
      <c r="C8" s="2407">
        <f ca="1">ROUND(B8*10000/$B$1,0)</f>
        <v>16318</v>
      </c>
      <c r="D8" s="2407" t="e">
        <f ca="1">ROUND(B8*10000/$B$2,0)</f>
        <v>#DIV/0!</v>
      </c>
      <c r="E8" s="2408"/>
      <c r="F8" s="2409"/>
      <c r="G8" s="2409"/>
      <c r="H8" s="2409"/>
      <c r="I8" s="2409"/>
      <c r="J8" s="2409"/>
      <c r="K8" s="2409"/>
    </row>
    <row r="9" spans="1:11" ht="16.5">
      <c r="A9" s="2407" t="s">
        <v>697</v>
      </c>
      <c r="B9" s="2411"/>
      <c r="C9" s="2408"/>
      <c r="D9" s="2408"/>
      <c r="E9" s="2408"/>
      <c r="F9" s="2409"/>
      <c r="G9" s="2409"/>
      <c r="H9" s="2409"/>
      <c r="I9" s="2409"/>
      <c r="J9" s="2409"/>
      <c r="K9" s="2409"/>
    </row>
    <row r="10" spans="1:11" ht="16.5">
      <c r="A10" s="2407" t="s">
        <v>698</v>
      </c>
      <c r="B10" s="2411"/>
      <c r="C10" s="2408"/>
      <c r="D10" s="2408"/>
      <c r="E10" s="2408"/>
      <c r="F10" s="2409"/>
      <c r="G10" s="2409"/>
      <c r="H10" s="2409"/>
      <c r="I10" s="2409"/>
      <c r="J10" s="2409"/>
      <c r="K10" s="2409"/>
    </row>
    <row r="11" spans="1:11" ht="16.5">
      <c r="A11" s="2407" t="s">
        <v>699</v>
      </c>
      <c r="B11" s="2411"/>
      <c r="C11" s="2408"/>
      <c r="D11" s="2408"/>
      <c r="E11" s="2408"/>
      <c r="F11" s="2409"/>
      <c r="G11" s="2409"/>
      <c r="H11" s="2409"/>
      <c r="I11" s="2409"/>
      <c r="J11" s="2409"/>
      <c r="K11" s="2409"/>
    </row>
    <row r="12" spans="1:11" ht="16.5">
      <c r="A12" s="2408"/>
      <c r="B12" s="2408"/>
      <c r="C12" s="2408"/>
      <c r="D12" s="2408"/>
      <c r="E12" s="2408"/>
      <c r="F12" s="2409"/>
      <c r="G12" s="2409"/>
      <c r="H12" s="2409"/>
      <c r="I12" s="2409"/>
      <c r="J12" s="2409"/>
      <c r="K12" s="2409"/>
    </row>
    <row r="13" spans="1:11" ht="33">
      <c r="A13" s="2412" t="s">
        <v>700</v>
      </c>
      <c r="B13" s="2413" t="s">
        <v>687</v>
      </c>
      <c r="C13" s="2413" t="s">
        <v>688</v>
      </c>
      <c r="D13" s="2413" t="s">
        <v>701</v>
      </c>
      <c r="E13" s="2407" t="s">
        <v>692</v>
      </c>
      <c r="F13" s="2407" t="s">
        <v>693</v>
      </c>
      <c r="G13" s="2413" t="s">
        <v>702</v>
      </c>
      <c r="H13" s="2413" t="s">
        <v>703</v>
      </c>
      <c r="I13" s="2413" t="s">
        <v>704</v>
      </c>
      <c r="J13" s="2409"/>
      <c r="K13" s="2409"/>
    </row>
    <row r="14" spans="1:11" ht="16.5">
      <c r="A14" s="2414" t="s">
        <v>705</v>
      </c>
      <c r="B14" s="2415">
        <f>典型户型修正!B22</f>
        <v>13554.36999999999</v>
      </c>
      <c r="C14" s="2415">
        <f>'数据-汇总表'!R19+'数据-汇总表'!R23</f>
        <v>0</v>
      </c>
      <c r="D14" s="2415">
        <f ca="1">典型户型修正!S22</f>
        <v>37583</v>
      </c>
      <c r="E14" s="2415">
        <f ca="1">ROUND(D14*10000/B14,0)</f>
        <v>27728</v>
      </c>
      <c r="F14" s="2415" t="e">
        <f ca="1">ROUND(D14*10000/C14,0)</f>
        <v>#DIV/0!</v>
      </c>
      <c r="G14" s="2415">
        <f ca="1">D14</f>
        <v>37583</v>
      </c>
      <c r="H14" s="2415" t="str">
        <f>结果表!D124</f>
        <v>——</v>
      </c>
      <c r="I14" s="2415">
        <f ca="1">工程进度!P5+工程进度!P6</f>
        <v>47885</v>
      </c>
      <c r="J14" s="3074" t="s">
        <v>3028</v>
      </c>
      <c r="K14" s="2409"/>
    </row>
    <row r="15" spans="1:11" ht="16.5">
      <c r="A15" s="2414" t="s">
        <v>706</v>
      </c>
      <c r="B15" s="2415">
        <f>结果表商!B118</f>
        <v>2704.89</v>
      </c>
      <c r="C15" s="2415">
        <f>结果表商!C118</f>
        <v>0</v>
      </c>
      <c r="D15" s="2415">
        <f ca="1">结果表商!H118</f>
        <v>5565</v>
      </c>
      <c r="E15" s="2415">
        <f t="shared" ref="E15:E23" ca="1" si="0">ROUND(D15*10000/B15,0)</f>
        <v>20574</v>
      </c>
      <c r="F15" s="2415" t="e">
        <f t="shared" ref="F15:F23" ca="1" si="1">ROUND(D15*10000/C15,0)</f>
        <v>#DIV/0!</v>
      </c>
      <c r="G15" s="2411">
        <f ca="1">D15</f>
        <v>5565</v>
      </c>
      <c r="H15" s="2411"/>
      <c r="I15" s="2416"/>
      <c r="J15" s="3074" t="s">
        <v>3029</v>
      </c>
      <c r="K15" s="2409"/>
    </row>
    <row r="16" spans="1:11" ht="16.5">
      <c r="A16" s="2414" t="s">
        <v>707</v>
      </c>
      <c r="B16" s="2415">
        <f>结果表仓!B118</f>
        <v>369.19</v>
      </c>
      <c r="C16" s="2415">
        <f>结果表仓!C118</f>
        <v>0</v>
      </c>
      <c r="D16" s="2415">
        <f ca="1">结果表仓!H118</f>
        <v>206</v>
      </c>
      <c r="E16" s="2415">
        <f t="shared" ca="1" si="0"/>
        <v>5580</v>
      </c>
      <c r="F16" s="2415" t="e">
        <f t="shared" ca="1" si="1"/>
        <v>#DIV/0!</v>
      </c>
      <c r="G16" s="2411">
        <f ca="1">D16</f>
        <v>206</v>
      </c>
      <c r="H16" s="2411"/>
      <c r="I16" s="2416"/>
      <c r="J16" s="3074" t="s">
        <v>3030</v>
      </c>
      <c r="K16" s="2409"/>
    </row>
    <row r="17" spans="1:11" ht="16.5">
      <c r="A17" s="2414" t="s">
        <v>708</v>
      </c>
      <c r="B17" s="2415">
        <f>结果表车!B118</f>
        <v>32774.76</v>
      </c>
      <c r="C17" s="2415">
        <f>结果表车!C118</f>
        <v>0</v>
      </c>
      <c r="D17" s="2415">
        <f ca="1">结果表车!G19</f>
        <v>8582</v>
      </c>
      <c r="E17" s="2415">
        <f t="shared" ca="1" si="0"/>
        <v>2618</v>
      </c>
      <c r="F17" s="2415" t="e">
        <f t="shared" ca="1" si="1"/>
        <v>#DIV/0!</v>
      </c>
      <c r="G17" s="2411">
        <f ca="1">D17</f>
        <v>8582</v>
      </c>
      <c r="H17" s="2411"/>
      <c r="I17" s="2416"/>
      <c r="J17" s="3074" t="s">
        <v>3031</v>
      </c>
      <c r="K17" s="2409"/>
    </row>
    <row r="18" spans="1:11" ht="16.5">
      <c r="A18" s="2414" t="s">
        <v>709</v>
      </c>
      <c r="B18" s="2415">
        <f>[4]系统读取表!$B$14</f>
        <v>72308.930000000008</v>
      </c>
      <c r="C18" s="2415"/>
      <c r="D18" s="2415">
        <f>[4]结果表!$G$19</f>
        <v>159143</v>
      </c>
      <c r="E18" s="2415">
        <f t="shared" si="0"/>
        <v>22009</v>
      </c>
      <c r="F18" s="2415" t="e">
        <f t="shared" si="1"/>
        <v>#DIV/0!</v>
      </c>
      <c r="G18" s="2411">
        <f>D18</f>
        <v>159143</v>
      </c>
      <c r="H18" s="2411"/>
      <c r="I18" s="2411">
        <f>[4]系统读取表!$I$14</f>
        <v>150727</v>
      </c>
      <c r="J18" s="3074" t="s">
        <v>3178</v>
      </c>
      <c r="K18" s="2409"/>
    </row>
    <row r="19" spans="1:11" ht="16.5">
      <c r="A19" s="2414" t="s">
        <v>710</v>
      </c>
      <c r="B19" s="2416"/>
      <c r="C19" s="2416"/>
      <c r="D19" s="2416"/>
      <c r="E19" s="2415" t="e">
        <f t="shared" si="0"/>
        <v>#DIV/0!</v>
      </c>
      <c r="F19" s="2415" t="e">
        <f t="shared" si="1"/>
        <v>#DIV/0!</v>
      </c>
      <c r="G19" s="2416"/>
      <c r="H19" s="2416"/>
      <c r="I19" s="2416"/>
      <c r="J19" s="2409"/>
      <c r="K19" s="2409"/>
    </row>
    <row r="20" spans="1:11" ht="16.5">
      <c r="A20" s="2414" t="s">
        <v>711</v>
      </c>
      <c r="B20" s="2416"/>
      <c r="C20" s="2416"/>
      <c r="D20" s="2416"/>
      <c r="E20" s="2415" t="e">
        <f t="shared" si="0"/>
        <v>#DIV/0!</v>
      </c>
      <c r="F20" s="2415" t="e">
        <f t="shared" si="1"/>
        <v>#DIV/0!</v>
      </c>
      <c r="G20" s="2416"/>
      <c r="H20" s="2416"/>
      <c r="I20" s="2416"/>
      <c r="J20" s="2409"/>
      <c r="K20" s="2409"/>
    </row>
    <row r="21" spans="1:11" ht="16.5">
      <c r="A21" s="2414" t="s">
        <v>712</v>
      </c>
      <c r="B21" s="2416"/>
      <c r="C21" s="2416"/>
      <c r="D21" s="2416"/>
      <c r="E21" s="2415" t="e">
        <f t="shared" si="0"/>
        <v>#DIV/0!</v>
      </c>
      <c r="F21" s="2415" t="e">
        <f t="shared" si="1"/>
        <v>#DIV/0!</v>
      </c>
      <c r="G21" s="2416"/>
      <c r="H21" s="2416"/>
      <c r="I21" s="2416"/>
      <c r="J21" s="2409"/>
      <c r="K21" s="2409"/>
    </row>
    <row r="22" spans="1:11" ht="16.5">
      <c r="A22" s="2414" t="s">
        <v>713</v>
      </c>
      <c r="B22" s="2416"/>
      <c r="C22" s="2416"/>
      <c r="D22" s="2416"/>
      <c r="E22" s="2415" t="e">
        <f t="shared" si="0"/>
        <v>#DIV/0!</v>
      </c>
      <c r="F22" s="2415" t="e">
        <f t="shared" si="1"/>
        <v>#DIV/0!</v>
      </c>
      <c r="G22" s="2416"/>
      <c r="H22" s="2416"/>
      <c r="I22" s="2416"/>
      <c r="J22" s="2409"/>
      <c r="K22" s="2409"/>
    </row>
    <row r="23" spans="1:11" ht="16.5">
      <c r="A23" s="2414" t="s">
        <v>714</v>
      </c>
      <c r="B23" s="2416"/>
      <c r="C23" s="2416"/>
      <c r="D23" s="2416"/>
      <c r="E23" s="2411" t="e">
        <f t="shared" si="0"/>
        <v>#DIV/0!</v>
      </c>
      <c r="F23" s="2411" t="e">
        <f t="shared" si="1"/>
        <v>#DIV/0!</v>
      </c>
      <c r="G23" s="2416"/>
      <c r="H23" s="2416"/>
      <c r="I23" s="2416"/>
      <c r="J23" s="2409"/>
      <c r="K23" s="2409"/>
    </row>
    <row r="24" spans="1:11">
      <c r="A24" s="2409"/>
      <c r="B24" s="2409"/>
      <c r="C24" s="2409"/>
      <c r="D24" s="2409"/>
      <c r="E24" s="2409"/>
      <c r="F24" s="2409"/>
      <c r="G24" s="2409"/>
      <c r="H24" s="2409"/>
      <c r="I24" s="2409"/>
      <c r="J24" s="2409"/>
      <c r="K24" s="2409"/>
    </row>
    <row r="25" spans="1:11">
      <c r="A25" s="2409"/>
      <c r="B25" s="2409"/>
      <c r="C25" s="2409"/>
      <c r="D25" s="2409"/>
      <c r="E25" s="2409"/>
      <c r="F25" s="2409"/>
      <c r="G25" s="2409"/>
      <c r="H25" s="2409"/>
      <c r="I25" s="2409"/>
      <c r="J25" s="2409"/>
      <c r="K25" s="2409"/>
    </row>
    <row r="26" spans="1:11">
      <c r="A26" s="2409"/>
      <c r="B26" s="2409"/>
      <c r="C26" s="2409"/>
      <c r="D26" s="2409"/>
      <c r="E26" s="2409"/>
      <c r="F26" s="2409"/>
      <c r="G26" s="2409"/>
      <c r="H26" s="2409"/>
      <c r="I26" s="2409"/>
      <c r="J26" s="2409"/>
      <c r="K26" s="2409"/>
    </row>
    <row r="31" spans="1:11">
      <c r="C31" s="3075"/>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4" t="str">
        <f>项目基本情况!B1</f>
        <v>北京市顺义区北小营镇顺义新城第30街区30-01-02地块R2二类居住用地出让国有建设用地使用权及在建建筑物房地产抵押价值预评估</v>
      </c>
      <c r="C37" s="3114"/>
      <c r="D37" s="3114"/>
      <c r="E37" s="3114"/>
      <c r="F37" s="3114"/>
      <c r="G37" s="3114"/>
      <c r="H37" s="3114"/>
      <c r="I37" s="3114"/>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19" sqref="J19"/>
    </sheetView>
  </sheetViews>
  <sheetFormatPr defaultColWidth="12.625" defaultRowHeight="21.75" customHeight="1"/>
  <cols>
    <col min="1" max="2" width="12.625" style="2132"/>
    <col min="3" max="4" width="12.625" style="2132" customWidth="1"/>
    <col min="5" max="8" width="12.625" style="2132"/>
    <col min="9" max="9" width="14.5" style="2132" bestFit="1" customWidth="1"/>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c r="A1" s="2133" t="s">
        <v>715</v>
      </c>
      <c r="B1" s="1780"/>
      <c r="C1" s="2134" t="s">
        <v>3041</v>
      </c>
      <c r="D1" s="1780"/>
      <c r="E1" s="1780"/>
      <c r="F1" s="2135" t="s">
        <v>716</v>
      </c>
      <c r="G1" s="2136" t="s">
        <v>395</v>
      </c>
      <c r="H1" s="2135" t="str">
        <f>IF(G1="现房","——","估价对象范围")</f>
        <v>估价对象范围</v>
      </c>
      <c r="I1" s="2265" t="s">
        <v>717</v>
      </c>
    </row>
    <row r="2" spans="1:12" ht="21.75" customHeight="1">
      <c r="A2" s="3211" t="str">
        <f>项目基本情况!S2</f>
        <v>北京市顺义区北小营镇顺义新城第30街区30-01-02地块R2二类居住用地出让国有建设用地使用权及在建建筑物房地产</v>
      </c>
      <c r="B2" s="3212"/>
      <c r="C2" s="3212"/>
      <c r="D2" s="3212"/>
      <c r="E2" s="3212"/>
      <c r="F2" s="3212"/>
      <c r="G2" s="3212"/>
      <c r="H2" s="3212"/>
      <c r="I2" s="3213"/>
    </row>
    <row r="3" spans="1:12" ht="12.75">
      <c r="A3" s="3214" t="s">
        <v>718</v>
      </c>
      <c r="B3" s="3215"/>
      <c r="C3" s="3215"/>
      <c r="D3" s="3215"/>
      <c r="E3" s="3215"/>
      <c r="F3" s="3215"/>
      <c r="G3" s="3215"/>
      <c r="H3" s="3215"/>
      <c r="I3" s="3215"/>
    </row>
    <row r="4" spans="1:12" ht="14.25">
      <c r="A4" s="2137" t="s">
        <v>719</v>
      </c>
      <c r="B4" s="2138" t="s">
        <v>720</v>
      </c>
      <c r="C4" s="2139" t="s">
        <v>240</v>
      </c>
      <c r="D4" s="2139" t="s">
        <v>3015</v>
      </c>
      <c r="E4" s="3216" t="s">
        <v>722</v>
      </c>
      <c r="F4" s="3217"/>
      <c r="G4" s="3217"/>
      <c r="H4" s="3217"/>
      <c r="I4" s="3218"/>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61" t="s">
        <v>723</v>
      </c>
      <c r="B5" s="3302">
        <v>25</v>
      </c>
      <c r="C5" s="3231"/>
      <c r="D5" s="3230"/>
      <c r="E5" s="1678" t="s">
        <v>724</v>
      </c>
      <c r="F5" s="2144"/>
      <c r="G5" s="2144"/>
      <c r="H5" s="2144"/>
      <c r="I5" s="1880"/>
    </row>
    <row r="6" spans="1:12" ht="12.75">
      <c r="A6" s="3261"/>
      <c r="B6" s="3302"/>
      <c r="C6" s="3232"/>
      <c r="D6" s="3230"/>
      <c r="E6" s="1678" t="s">
        <v>725</v>
      </c>
      <c r="F6" s="2144"/>
      <c r="G6" s="2144"/>
      <c r="H6" s="2144"/>
      <c r="I6" s="1880"/>
    </row>
    <row r="7" spans="1:12" ht="12.75">
      <c r="A7" s="3261"/>
      <c r="B7" s="3302"/>
      <c r="C7" s="3233"/>
      <c r="D7" s="3230"/>
      <c r="E7" s="1678" t="s">
        <v>726</v>
      </c>
      <c r="F7" s="2144"/>
      <c r="G7" s="2144"/>
      <c r="H7" s="2144"/>
      <c r="I7" s="1880"/>
    </row>
    <row r="8" spans="1:12" ht="12.75">
      <c r="A8" s="3261" t="s">
        <v>727</v>
      </c>
      <c r="B8" s="3302">
        <v>15</v>
      </c>
      <c r="C8" s="3231"/>
      <c r="D8" s="3230"/>
      <c r="E8" s="1678" t="s">
        <v>728</v>
      </c>
      <c r="F8" s="2144"/>
      <c r="G8" s="2144"/>
      <c r="H8" s="2144"/>
      <c r="I8" s="1880"/>
    </row>
    <row r="9" spans="1:12" ht="12.75">
      <c r="A9" s="3261"/>
      <c r="B9" s="3302"/>
      <c r="C9" s="3233"/>
      <c r="D9" s="3230"/>
      <c r="E9" s="1678" t="s">
        <v>729</v>
      </c>
      <c r="F9" s="2144"/>
      <c r="G9" s="2144"/>
      <c r="H9" s="2144"/>
      <c r="I9" s="1880"/>
    </row>
    <row r="10" spans="1:12" ht="12.75">
      <c r="A10" s="3261" t="s">
        <v>730</v>
      </c>
      <c r="B10" s="3302">
        <v>15</v>
      </c>
      <c r="C10" s="3231"/>
      <c r="D10" s="3230"/>
      <c r="E10" s="1678" t="s">
        <v>731</v>
      </c>
      <c r="F10" s="2144"/>
      <c r="G10" s="2144"/>
      <c r="H10" s="2144"/>
      <c r="I10" s="1880"/>
    </row>
    <row r="11" spans="1:12" ht="12.75">
      <c r="A11" s="3261"/>
      <c r="B11" s="3302"/>
      <c r="C11" s="3233"/>
      <c r="D11" s="3230"/>
      <c r="E11" s="1678" t="s">
        <v>732</v>
      </c>
      <c r="F11" s="2144"/>
      <c r="G11" s="2144"/>
      <c r="H11" s="2144"/>
      <c r="I11" s="1880"/>
    </row>
    <row r="12" spans="1:12" ht="12.75">
      <c r="A12" s="3261" t="s">
        <v>733</v>
      </c>
      <c r="B12" s="3302">
        <v>15</v>
      </c>
      <c r="C12" s="3231"/>
      <c r="D12" s="3230"/>
      <c r="E12" s="1678" t="s">
        <v>734</v>
      </c>
      <c r="F12" s="2144"/>
      <c r="G12" s="2144"/>
      <c r="H12" s="2144"/>
      <c r="I12" s="1880"/>
    </row>
    <row r="13" spans="1:12" ht="12.75">
      <c r="A13" s="3261"/>
      <c r="B13" s="3302"/>
      <c r="C13" s="3233"/>
      <c r="D13" s="3230"/>
      <c r="E13" s="1678" t="s">
        <v>735</v>
      </c>
      <c r="F13" s="2144"/>
      <c r="G13" s="2144"/>
      <c r="H13" s="2144"/>
      <c r="I13" s="1880"/>
    </row>
    <row r="14" spans="1:12" ht="12.75">
      <c r="A14" s="3261" t="s">
        <v>736</v>
      </c>
      <c r="B14" s="3302">
        <v>30</v>
      </c>
      <c r="C14" s="3231">
        <v>5</v>
      </c>
      <c r="D14" s="3230">
        <v>5</v>
      </c>
      <c r="E14" s="1678" t="s">
        <v>737</v>
      </c>
      <c r="F14" s="2144"/>
      <c r="G14" s="2144"/>
      <c r="H14" s="2144"/>
      <c r="I14" s="1880"/>
    </row>
    <row r="15" spans="1:12" ht="12.75">
      <c r="A15" s="3261"/>
      <c r="B15" s="3302"/>
      <c r="C15" s="3232"/>
      <c r="D15" s="3230"/>
      <c r="E15" s="1678" t="s">
        <v>738</v>
      </c>
      <c r="F15" s="2144"/>
      <c r="G15" s="2144"/>
      <c r="H15" s="2144"/>
      <c r="I15" s="1880"/>
    </row>
    <row r="16" spans="1:12" ht="12.75">
      <c r="A16" s="3261"/>
      <c r="B16" s="3302"/>
      <c r="C16" s="3233"/>
      <c r="D16" s="323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c r="A18" s="2148" t="s">
        <v>743</v>
      </c>
      <c r="B18" s="2149"/>
      <c r="C18" s="2150">
        <f>ROUND(C17/SUM(C17:D17),2)</f>
        <v>0.5</v>
      </c>
      <c r="D18" s="2150">
        <f>1-C18</f>
        <v>0.5</v>
      </c>
      <c r="E18" s="3219" t="s">
        <v>744</v>
      </c>
      <c r="F18" s="3220"/>
      <c r="G18" s="3220"/>
      <c r="H18" s="3220"/>
      <c r="I18" s="3220"/>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1" t="s">
        <v>746</v>
      </c>
      <c r="C19" s="2152">
        <f ca="1">SUMIF(INDIRECT("'"&amp;C4&amp;"'"&amp;"!A:A"),结果表!B19,INDIRECT("'"&amp;C4&amp;"'"&amp;"!B:B"))</f>
        <v>262</v>
      </c>
      <c r="D19" s="2116">
        <f ca="1">SUMIF(INDIRECT("'"&amp;D4&amp;"'"&amp;"!A:A"),结果表!B19,INDIRECT("'"&amp;D4&amp;"'"&amp;"!B:B"))</f>
        <v>240</v>
      </c>
      <c r="E19" s="1086" t="s">
        <v>747</v>
      </c>
      <c r="F19" s="2151" t="s">
        <v>746</v>
      </c>
      <c r="G19" s="2153">
        <f ca="1">ROUND(C19*$C$18+D19*$D$18,0)</f>
        <v>251</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SUMIF(INDIRECT("'"&amp;C4&amp;"'"&amp;"!A:A"),结果表!B20,INDIRECT("'"&amp;C4&amp;"'"&amp;"!B:B"))</f>
        <v>29264</v>
      </c>
      <c r="D20" s="1969">
        <f ca="1">SUMIF(INDIRECT("'"&amp;D4&amp;"'"&amp;"!A:A"),结果表!B20,INDIRECT("'"&amp;D4&amp;"'"&amp;"!B:B"))</f>
        <v>26776</v>
      </c>
      <c r="E20" s="2155"/>
      <c r="F20" s="2156" t="s">
        <v>749</v>
      </c>
      <c r="G20" s="2157">
        <f ca="1">ROUND(C20*$C$18+D20*$D$18,0)</f>
        <v>28020</v>
      </c>
      <c r="H20" s="1789" t="s">
        <v>750</v>
      </c>
      <c r="I20" s="274"/>
    </row>
    <row r="21" spans="1:36" ht="15" customHeigh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4.25">
      <c r="A22" s="2163" t="s">
        <v>752</v>
      </c>
      <c r="B22" s="2164"/>
      <c r="C22" s="2165"/>
      <c r="D22" s="2166">
        <f ca="1">IF(C19&lt;D19,D19/C19-1,C19/D19-1)</f>
        <v>9.1666666666666563E-2</v>
      </c>
      <c r="E22" s="274"/>
      <c r="F22" s="274"/>
      <c r="G22" s="274"/>
      <c r="H22" s="274"/>
      <c r="I22" s="274"/>
      <c r="K22" s="232">
        <f ca="1">G19</f>
        <v>251</v>
      </c>
      <c r="L22" s="232">
        <f ca="1">N59</f>
        <v>4277</v>
      </c>
    </row>
    <row r="23" spans="1:36" ht="12.75">
      <c r="A23" s="1780"/>
      <c r="B23" s="1780"/>
      <c r="C23" s="1780"/>
      <c r="D23" s="1780"/>
      <c r="E23" s="274"/>
      <c r="F23" s="274"/>
      <c r="G23" s="274"/>
      <c r="H23" s="274"/>
      <c r="I23" s="274"/>
      <c r="K23" s="232">
        <f ca="1">K21-K22</f>
        <v>412254</v>
      </c>
      <c r="L23" s="232">
        <f ca="1">L21-L22</f>
        <v>396012</v>
      </c>
    </row>
    <row r="24" spans="1:36" ht="14.25">
      <c r="A24" s="3295" t="s">
        <v>753</v>
      </c>
      <c r="B24" s="2151" t="s">
        <v>746</v>
      </c>
      <c r="C24" s="2153">
        <f>IF(B30=0,0,D30)</f>
        <v>0</v>
      </c>
      <c r="D24" s="2167"/>
      <c r="E24" s="274"/>
      <c r="F24" s="274"/>
      <c r="G24" s="274"/>
      <c r="H24" s="274"/>
      <c r="I24" s="274"/>
    </row>
    <row r="25" spans="1:36" ht="14.25">
      <c r="A25" s="329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4.25">
      <c r="A30" s="2171" t="s">
        <v>758</v>
      </c>
      <c r="B30" s="2171"/>
      <c r="C30" s="2171"/>
      <c r="D30" s="2171"/>
      <c r="E30" s="2173" t="s">
        <v>759</v>
      </c>
      <c r="F30" s="274"/>
      <c r="G30" s="274"/>
      <c r="H30" s="274"/>
      <c r="I30" s="274"/>
    </row>
    <row r="31" spans="1:36" s="2130" customFormat="1" ht="26.45" customHeigh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5">
      <c r="A32" s="2176" t="s">
        <v>761</v>
      </c>
      <c r="B32" s="2177"/>
      <c r="C32" s="2178">
        <f ca="1">IF(D32="总价",G19-C24,G20-C25)</f>
        <v>251</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134</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
      <c r="A35" s="2190"/>
      <c r="B35" s="2191" t="s">
        <v>768</v>
      </c>
      <c r="C35" s="2192">
        <f ca="1">IF(C33="自定义",F35,ROUND(C32*D35,0))</f>
        <v>117</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
      <c r="A36" s="3297" t="s">
        <v>770</v>
      </c>
      <c r="B36" s="2196" t="s">
        <v>771</v>
      </c>
      <c r="C36" s="2197"/>
      <c r="D36" s="2198"/>
      <c r="E36" s="2199"/>
      <c r="F36" s="2200"/>
      <c r="G36" s="274"/>
      <c r="H36" s="274"/>
      <c r="I36" s="274"/>
    </row>
    <row r="37" spans="1:15" ht="15">
      <c r="A37" s="3298"/>
      <c r="B37" s="2201" t="s">
        <v>772</v>
      </c>
      <c r="C37" s="2202"/>
      <c r="D37" s="2203"/>
      <c r="E37" s="2203"/>
      <c r="F37" s="2200"/>
      <c r="G37" s="274"/>
      <c r="H37" s="274"/>
      <c r="I37" s="274"/>
    </row>
    <row r="38" spans="1:15" ht="15">
      <c r="A38" s="329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4.25">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c r="A45" s="3221" t="s">
        <v>781</v>
      </c>
      <c r="B45" s="3222"/>
      <c r="C45" s="3223"/>
      <c r="D45" s="1637">
        <f ca="1">工程进度!O5</f>
        <v>4516</v>
      </c>
      <c r="E45" s="2222" t="s">
        <v>782</v>
      </c>
      <c r="F45" s="2223">
        <v>1</v>
      </c>
      <c r="G45" s="1648" t="s">
        <v>783</v>
      </c>
      <c r="H45" s="274"/>
      <c r="I45" s="274"/>
      <c r="J45" s="3224" t="s">
        <v>784</v>
      </c>
      <c r="K45" s="3224"/>
      <c r="L45" s="3224"/>
      <c r="M45" s="3224"/>
      <c r="N45" s="3224"/>
      <c r="O45" s="3224"/>
    </row>
    <row r="46" spans="1:15" ht="14.25" customHeight="1">
      <c r="A46" s="3225" t="s">
        <v>785</v>
      </c>
      <c r="B46" s="3226"/>
      <c r="C46" s="3226"/>
      <c r="D46" s="3226"/>
      <c r="E46" s="3226"/>
      <c r="F46" s="3226"/>
      <c r="G46" s="3227"/>
      <c r="H46" s="2224"/>
      <c r="I46" s="275"/>
      <c r="J46" s="2272">
        <v>1</v>
      </c>
      <c r="K46" s="3228" t="s">
        <v>786</v>
      </c>
      <c r="L46" s="3228"/>
      <c r="M46" s="3229"/>
      <c r="N46" s="3229"/>
      <c r="O46" s="3229"/>
    </row>
    <row r="47" spans="1:15" ht="12" customHeight="1">
      <c r="A47" s="2225" t="s">
        <v>787</v>
      </c>
      <c r="B47" s="2226"/>
      <c r="C47" s="2227"/>
      <c r="D47" s="1687" t="s">
        <v>788</v>
      </c>
      <c r="E47" s="1638" t="s">
        <v>789</v>
      </c>
      <c r="F47" s="2228" t="s">
        <v>790</v>
      </c>
      <c r="G47" s="2229" t="s">
        <v>791</v>
      </c>
      <c r="H47" s="2230"/>
      <c r="I47" s="275"/>
      <c r="J47" s="2272">
        <v>2</v>
      </c>
      <c r="K47" s="3228" t="s">
        <v>792</v>
      </c>
      <c r="L47" s="3228"/>
      <c r="M47" s="3234">
        <f>'数据-取费表'!B2</f>
        <v>45475</v>
      </c>
      <c r="N47" s="3234"/>
      <c r="O47" s="3234"/>
    </row>
    <row r="48" spans="1:15" ht="25.5">
      <c r="A48" s="3235" t="s">
        <v>793</v>
      </c>
      <c r="B48" s="3236"/>
      <c r="C48" s="3236"/>
      <c r="D48" s="1787">
        <f ca="1">IF(H48="情况1",0,IF(H48="情况2",D52,IF(H48="情况3",D53,IF(H48="情况4",D54))))</f>
        <v>237</v>
      </c>
      <c r="E48" s="1691" t="str">
        <f>IF(H48="情况4","(销售额-原购置价)×税（费）率","销售额×税（费）率")</f>
        <v>销售额×税（费）率</v>
      </c>
      <c r="F48" s="2232">
        <f>IF(H48="情况1","免征",'数据-取费表'!B41)</f>
        <v>5.5E-2</v>
      </c>
      <c r="G48" s="2233" t="s">
        <v>794</v>
      </c>
      <c r="H48" s="2234" t="s">
        <v>795</v>
      </c>
      <c r="I48" s="2224"/>
      <c r="J48" s="2272">
        <v>3</v>
      </c>
      <c r="K48" s="3228" t="s">
        <v>796</v>
      </c>
      <c r="L48" s="3228"/>
      <c r="M48" s="3237">
        <f ca="1">D45</f>
        <v>4516</v>
      </c>
      <c r="N48" s="3237"/>
      <c r="O48" s="3237"/>
    </row>
    <row r="49" spans="1:35" ht="25.5" customHeight="1">
      <c r="A49" s="2231" t="s">
        <v>797</v>
      </c>
      <c r="B49" s="3238" t="s">
        <v>798</v>
      </c>
      <c r="C49" s="3238"/>
      <c r="D49" s="2235">
        <v>0</v>
      </c>
      <c r="E49" s="1697" t="s">
        <v>799</v>
      </c>
      <c r="F49" s="2236" t="s">
        <v>124</v>
      </c>
      <c r="G49" s="3244"/>
      <c r="H49" s="2237" t="s">
        <v>800</v>
      </c>
      <c r="I49" s="2274"/>
      <c r="J49" s="2272">
        <v>4</v>
      </c>
      <c r="K49" s="3228" t="str">
        <f>IF(项目基本情况!E8="房地产抵押价值","房地产抵押价值","抵押担保权已注销时的房地产抵押价值")</f>
        <v>房地产抵押价值</v>
      </c>
      <c r="L49" s="3228"/>
      <c r="M49" s="3237">
        <f ca="1">M48</f>
        <v>4516</v>
      </c>
      <c r="N49" s="3237"/>
      <c r="O49" s="3237"/>
    </row>
    <row r="50" spans="1:35" ht="25.5" customHeight="1">
      <c r="A50" s="2238"/>
      <c r="B50" s="3238" t="s">
        <v>801</v>
      </c>
      <c r="C50" s="3238"/>
      <c r="D50" s="2239"/>
      <c r="E50" s="1712"/>
      <c r="F50" s="2236"/>
      <c r="G50" s="3245"/>
      <c r="H50" s="2240" t="s">
        <v>802</v>
      </c>
      <c r="I50" s="2274"/>
      <c r="J50" s="3224" t="s">
        <v>803</v>
      </c>
      <c r="K50" s="3224"/>
      <c r="L50" s="3224"/>
      <c r="M50" s="3224"/>
      <c r="N50" s="3224"/>
      <c r="O50" s="3224"/>
    </row>
    <row r="51" spans="1:35" ht="20.45" customHeight="1">
      <c r="A51" s="2241"/>
      <c r="B51" s="3238" t="s">
        <v>804</v>
      </c>
      <c r="C51" s="3238"/>
      <c r="D51" s="1687"/>
      <c r="E51" s="1701"/>
      <c r="F51" s="2236"/>
      <c r="G51" s="3246"/>
      <c r="H51" s="2240" t="s">
        <v>805</v>
      </c>
      <c r="I51" s="2274"/>
      <c r="J51" s="2273" t="s">
        <v>806</v>
      </c>
      <c r="K51" s="3228" t="s">
        <v>807</v>
      </c>
      <c r="L51" s="3228"/>
      <c r="M51" s="2273" t="s">
        <v>808</v>
      </c>
      <c r="N51" s="2273" t="s">
        <v>809</v>
      </c>
      <c r="O51" s="2273" t="s">
        <v>810</v>
      </c>
    </row>
    <row r="52" spans="1:35" ht="24" customHeight="1">
      <c r="A52" s="2242" t="s">
        <v>811</v>
      </c>
      <c r="B52" s="3238" t="s">
        <v>812</v>
      </c>
      <c r="C52" s="3238"/>
      <c r="D52" s="1687">
        <f ca="1">ROUND(D45*'数据-取费表'!B41/(1+'数据-取费表'!C42),0)</f>
        <v>237</v>
      </c>
      <c r="E52" s="1691" t="s">
        <v>813</v>
      </c>
      <c r="F52" s="2243">
        <f>'数据-取费表'!B41</f>
        <v>5.5E-2</v>
      </c>
      <c r="G52" s="2244"/>
      <c r="H52" s="1801"/>
      <c r="I52" s="2275"/>
      <c r="J52" s="2272">
        <v>1</v>
      </c>
      <c r="K52" s="3240" t="s">
        <v>814</v>
      </c>
      <c r="L52" s="3240"/>
      <c r="M52" s="2276">
        <f ca="1">D48</f>
        <v>237</v>
      </c>
      <c r="N52" s="2272" t="str">
        <f>E48</f>
        <v>销售额×税（费）率</v>
      </c>
      <c r="O52" s="2277">
        <f>F48</f>
        <v>5.5E-2</v>
      </c>
    </row>
    <row r="53" spans="1:35" ht="12" customHeight="1">
      <c r="A53" s="2242" t="s">
        <v>815</v>
      </c>
      <c r="B53" s="3241" t="s">
        <v>816</v>
      </c>
      <c r="C53" s="3242"/>
      <c r="D53" s="1687">
        <f ca="1">ROUND(D45*'数据-取费表'!B41/(1+'数据-取费表'!C42),0)</f>
        <v>237</v>
      </c>
      <c r="E53" s="1691" t="s">
        <v>813</v>
      </c>
      <c r="F53" s="2243">
        <f>'数据-取费表'!B41</f>
        <v>5.5E-2</v>
      </c>
      <c r="G53" s="2244"/>
      <c r="H53" s="1801"/>
      <c r="I53" s="2275"/>
      <c r="J53" s="2272">
        <v>2</v>
      </c>
      <c r="K53" s="3240" t="s">
        <v>817</v>
      </c>
      <c r="L53" s="3240"/>
      <c r="M53" s="2276">
        <f t="shared" ref="M53:O54" ca="1" si="0">D55</f>
        <v>2</v>
      </c>
      <c r="N53" s="2272" t="str">
        <f t="shared" si="0"/>
        <v>销售额×税（费）率</v>
      </c>
      <c r="O53" s="2277">
        <f t="shared" si="0"/>
        <v>5.0000000000000001E-4</v>
      </c>
    </row>
    <row r="54" spans="1:35" ht="12" customHeight="1">
      <c r="A54" s="2242" t="s">
        <v>818</v>
      </c>
      <c r="B54" s="3241" t="s">
        <v>819</v>
      </c>
      <c r="C54" s="3242"/>
      <c r="D54" s="1687">
        <f ca="1">C68</f>
        <v>237</v>
      </c>
      <c r="E54" s="1701" t="s">
        <v>820</v>
      </c>
      <c r="F54" s="2243">
        <f>'数据-取费表'!B41</f>
        <v>5.5E-2</v>
      </c>
      <c r="G54" s="2244"/>
      <c r="H54" s="2245"/>
      <c r="I54" s="2275"/>
      <c r="J54" s="2272">
        <v>3</v>
      </c>
      <c r="K54" s="3240" t="s">
        <v>821</v>
      </c>
      <c r="L54" s="3240"/>
      <c r="M54" s="2276">
        <f t="shared" ca="1" si="0"/>
        <v>0</v>
      </c>
      <c r="N54" s="2272" t="str">
        <f t="shared" si="0"/>
        <v>增值额×税（费）率</v>
      </c>
      <c r="O54" s="2278" t="str">
        <f t="shared" si="0"/>
        <v>——</v>
      </c>
    </row>
    <row r="55" spans="1:35" ht="24" customHeight="1">
      <c r="A55" s="3243" t="s">
        <v>822</v>
      </c>
      <c r="B55" s="3236"/>
      <c r="C55" s="3236"/>
      <c r="D55" s="1787">
        <f ca="1">IF(H55="个人住宅",0,ROUND(D45*I55,0))</f>
        <v>2</v>
      </c>
      <c r="E55" s="1691" t="s">
        <v>823</v>
      </c>
      <c r="F55" s="2243">
        <f>IF(H55="正常",I55,"免征")</f>
        <v>5.0000000000000001E-4</v>
      </c>
      <c r="G55" s="2244"/>
      <c r="H55" s="2234" t="s">
        <v>824</v>
      </c>
      <c r="I55" s="2279">
        <f>'数据-取费表'!B49</f>
        <v>5.0000000000000001E-4</v>
      </c>
      <c r="J55" s="2272" t="str">
        <f>IF(H59="非个人房产","",4)</f>
        <v/>
      </c>
      <c r="K55" s="3240" t="str">
        <f>IF(H59="非个人房产","——","个人所得税")</f>
        <v>——</v>
      </c>
      <c r="L55" s="3240"/>
      <c r="M55" s="2280" t="str">
        <f>D59</f>
        <v>——</v>
      </c>
      <c r="N55" s="597" t="str">
        <f>E59</f>
        <v>——</v>
      </c>
      <c r="O55" s="2281" t="str">
        <f>F59</f>
        <v>——</v>
      </c>
    </row>
    <row r="56" spans="1:35" ht="24.75">
      <c r="A56" s="3243" t="s">
        <v>825</v>
      </c>
      <c r="B56" s="3236"/>
      <c r="C56" s="3236"/>
      <c r="D56" s="1787">
        <f ca="1">IF(H56="个人住宅",D57,D58)</f>
        <v>0</v>
      </c>
      <c r="E56" s="1691" t="s">
        <v>826</v>
      </c>
      <c r="F56" s="2243" t="str">
        <f>IF(H56="正常",F58,"免征")</f>
        <v>——</v>
      </c>
      <c r="G56" s="2246" t="s">
        <v>827</v>
      </c>
      <c r="H56" s="2247" t="s">
        <v>824</v>
      </c>
      <c r="I56" s="2256"/>
      <c r="J56" s="2272" t="str">
        <f>IF(项目基本情况!K6="上海银行",IF(J55="",4,J55+1),"")</f>
        <v/>
      </c>
      <c r="K56" s="3247" t="str">
        <f>IF(项目基本情况!K6="上海银行","其他处置费用","")</f>
        <v/>
      </c>
      <c r="L56" s="3248"/>
      <c r="M56" s="2276" t="str">
        <f>IF(项目基本情况!K6="上海银行",M69,"")</f>
        <v/>
      </c>
      <c r="N56" s="3247" t="str">
        <f>IF(项目基本情况!K6="上海银行","包含处置中涉及的律师、诉讼、拍卖、评估等费用","")</f>
        <v/>
      </c>
      <c r="O56" s="3249"/>
    </row>
    <row r="57" spans="1:35" ht="12.75">
      <c r="A57" s="2242" t="s">
        <v>797</v>
      </c>
      <c r="B57" s="3241" t="s">
        <v>828</v>
      </c>
      <c r="C57" s="3242"/>
      <c r="D57" s="2235">
        <v>0</v>
      </c>
      <c r="E57" s="1697" t="s">
        <v>799</v>
      </c>
      <c r="F57" s="1638"/>
      <c r="G57" s="2244"/>
      <c r="H57" s="2248"/>
      <c r="I57" s="2256"/>
      <c r="J57" s="3240">
        <f>IF(AND(J55="",J56=""),4,IF(项目基本情况!K6="上海银行",结果表!J56+1,结果表!J55+1))</f>
        <v>4</v>
      </c>
      <c r="K57" s="3240" t="s">
        <v>829</v>
      </c>
      <c r="L57" s="2282" t="s">
        <v>830</v>
      </c>
      <c r="M57" s="2283"/>
      <c r="N57" s="2284">
        <f ca="1">SUMIF(M52:M56,"&lt;9e307")</f>
        <v>239</v>
      </c>
      <c r="O57" s="2285"/>
      <c r="P57" s="2286">
        <f ca="1">N57/M49</f>
        <v>5.2922940655447295E-2</v>
      </c>
    </row>
    <row r="58" spans="1:35" ht="24.75">
      <c r="A58" s="2242" t="s">
        <v>811</v>
      </c>
      <c r="B58" s="3241" t="s">
        <v>831</v>
      </c>
      <c r="C58" s="3238"/>
      <c r="D58" s="1787">
        <f ca="1">IF(H58="转让取得",C81,C97)</f>
        <v>0</v>
      </c>
      <c r="E58" s="1691" t="s">
        <v>826</v>
      </c>
      <c r="F58" s="1638" t="s">
        <v>124</v>
      </c>
      <c r="G58" s="2244"/>
      <c r="H58" s="2247" t="s">
        <v>832</v>
      </c>
      <c r="I58" s="2256"/>
      <c r="J58" s="3240"/>
      <c r="K58" s="3240"/>
      <c r="L58" s="2282" t="s">
        <v>833</v>
      </c>
      <c r="M58" s="2287"/>
      <c r="N58" s="2288" t="str">
        <f ca="1">NUMBERSTRING(INT(N57*10000),2)&amp;"元整"</f>
        <v>贰佰叁拾玖万元整</v>
      </c>
      <c r="O58" s="2289"/>
    </row>
    <row r="59" spans="1:35" ht="24">
      <c r="A59" s="3250" t="s">
        <v>834</v>
      </c>
      <c r="B59" s="3251"/>
      <c r="C59" s="3251"/>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5">
        <f>J57+1</f>
        <v>5</v>
      </c>
      <c r="K59" s="3240" t="s">
        <v>837</v>
      </c>
      <c r="L59" s="2272" t="s">
        <v>830</v>
      </c>
      <c r="M59" s="2291"/>
      <c r="N59" s="2292">
        <f ca="1">M49-N57</f>
        <v>4277</v>
      </c>
      <c r="O59" s="2293"/>
    </row>
    <row r="60" spans="1:35" ht="12" customHeight="1">
      <c r="A60" s="2254"/>
      <c r="B60" s="1780"/>
      <c r="C60" s="1780"/>
      <c r="D60" s="1780"/>
      <c r="E60" s="2255"/>
      <c r="F60" s="2256"/>
      <c r="G60" s="2256"/>
      <c r="H60" s="275"/>
      <c r="I60" s="274"/>
      <c r="J60" s="3256"/>
      <c r="K60" s="3240"/>
      <c r="L60" s="2282" t="s">
        <v>833</v>
      </c>
      <c r="M60" s="2287"/>
      <c r="N60" s="2288" t="str">
        <f ca="1">NUMBERSTRING(INT(N59*10000),2)&amp;"元整"</f>
        <v>肆仟贰佰柒拾柒万元整</v>
      </c>
      <c r="O60" s="2289"/>
    </row>
    <row r="61" spans="1:35" ht="12.75">
      <c r="A61" s="3252" t="s">
        <v>838</v>
      </c>
      <c r="B61" s="3252"/>
      <c r="C61" s="3252"/>
      <c r="D61" s="3252"/>
      <c r="E61" s="3252"/>
      <c r="F61" s="2256"/>
      <c r="G61" s="2256"/>
      <c r="H61" s="275"/>
      <c r="I61" s="274"/>
      <c r="J61" s="2272">
        <f>J59+1</f>
        <v>6</v>
      </c>
      <c r="K61" s="3240" t="s">
        <v>839</v>
      </c>
      <c r="L61" s="3240"/>
      <c r="M61" s="2294"/>
      <c r="N61" s="2295">
        <f ca="1">ROUND(N59*10000/'数据-汇总表'!E3,0)</f>
        <v>866</v>
      </c>
      <c r="O61" s="2296"/>
    </row>
    <row r="62" spans="1:35" ht="12.75">
      <c r="A62" s="3253" t="s">
        <v>840</v>
      </c>
      <c r="B62" s="3254"/>
      <c r="C62" s="579"/>
      <c r="D62" s="579" t="s">
        <v>841</v>
      </c>
      <c r="E62" s="2257" t="s">
        <v>791</v>
      </c>
      <c r="F62" s="2256"/>
      <c r="G62" s="2256"/>
      <c r="H62" s="275"/>
      <c r="I62" s="274"/>
    </row>
    <row r="63" spans="1:35" ht="12.75">
      <c r="A63" s="2258" t="s">
        <v>842</v>
      </c>
      <c r="B63" s="2259" t="s">
        <v>843</v>
      </c>
      <c r="C63" s="2260">
        <f ca="1">ROUND((C64+C65)/(1+'数据-取费表'!C42),0)</f>
        <v>4301</v>
      </c>
      <c r="D63" s="2259"/>
      <c r="E63" s="2261"/>
      <c r="F63" s="2256"/>
      <c r="G63" s="2256"/>
      <c r="H63" s="275"/>
      <c r="I63" s="274"/>
      <c r="J63" s="3239" t="s">
        <v>844</v>
      </c>
      <c r="K63" s="2297" t="s">
        <v>845</v>
      </c>
      <c r="L63" s="2297">
        <f ca="1">IF(M49&gt;10000,M49*0.5%,IF(AND(M49&gt;1000,M49&lt;=10000),M49*1%,IF(AND(M49&gt;100,M49&lt;=1000),M49*3%,IF(AND(M49&gt;10,M49&lt;=100),M49*5%,M49*8%))))</f>
        <v>45.160000000000004</v>
      </c>
      <c r="M63" s="1638">
        <f ca="1">ROUND(L63,1)</f>
        <v>45.2</v>
      </c>
      <c r="N63" s="2298"/>
      <c r="Z63" s="2131"/>
      <c r="AI63" s="2132"/>
    </row>
    <row r="64" spans="1:35" ht="14.25" customHeight="1">
      <c r="A64" s="2262" t="s">
        <v>846</v>
      </c>
      <c r="B64" s="561" t="s">
        <v>847</v>
      </c>
      <c r="C64" s="2263">
        <f ca="1">D45</f>
        <v>4516</v>
      </c>
      <c r="D64" s="561" t="s">
        <v>124</v>
      </c>
      <c r="E64" s="2264"/>
      <c r="F64" s="2256"/>
      <c r="G64" s="2256"/>
      <c r="H64" s="275"/>
      <c r="I64" s="274"/>
      <c r="J64" s="3239"/>
      <c r="K64" s="2297" t="s">
        <v>848</v>
      </c>
      <c r="L64" s="2297">
        <f ca="1">IF(M49&gt;2000,M49*0.5%,IF(AND(M49&gt;1000,M49&lt;=2000),M49*0.6%,IF(AND(M49&gt;500,M49&lt;=1000),M49*0.7%,IF(AND(M49&gt;200,M49&lt;=500),M49*0.8%,IF(AND(M49&gt;100,M49&lt;=200),M49*0.9%,IF(AND(M49&gt;50,M49&lt;=100),M49*1%,IF(AND(M49&gt;20,M49&lt;=50),M49*1.5%,IF(AND(M49&gt;10,M49&lt;=20),M49*2%,IF(AND(M49&gt;1,M49&lt;=10),M49*2.5%)))))))))</f>
        <v>22.580000000000002</v>
      </c>
      <c r="M64" s="1638">
        <f t="shared" ref="M64:M65" ca="1" si="1">ROUND(L64,1)</f>
        <v>22.6</v>
      </c>
      <c r="N64" s="1801" t="s">
        <v>849</v>
      </c>
      <c r="Z64" s="2131"/>
      <c r="AI64" s="2132"/>
    </row>
    <row r="65" spans="1:35" ht="14.25" customHeight="1">
      <c r="A65" s="2262" t="s">
        <v>850</v>
      </c>
      <c r="B65" s="561" t="s">
        <v>851</v>
      </c>
      <c r="C65" s="2300"/>
      <c r="D65" s="561"/>
      <c r="E65" s="2264"/>
      <c r="F65" s="2256"/>
      <c r="G65" s="2256"/>
      <c r="H65" s="275"/>
      <c r="I65" s="274"/>
      <c r="J65" s="3239"/>
      <c r="K65" s="2297" t="s">
        <v>852</v>
      </c>
      <c r="L65" s="2297">
        <f ca="1">IF(M49&gt;1000,M49*0.1%,IF(AND(M49&gt;500,M49&lt;=1000),M49*0.5%,IF(AND(M49&gt;50,M49&lt;=500),M49*1%,IF(AND(M49&gt;1,M49&lt;=50),M49*1.5%))))</f>
        <v>4.516</v>
      </c>
      <c r="M65" s="1638">
        <f t="shared" ca="1" si="1"/>
        <v>4.5</v>
      </c>
      <c r="N65" s="1801" t="s">
        <v>849</v>
      </c>
      <c r="Z65" s="2131"/>
      <c r="AI65" s="2132"/>
    </row>
    <row r="66" spans="1:35" ht="14.25" customHeight="1">
      <c r="A66" s="2258" t="s">
        <v>853</v>
      </c>
      <c r="B66" s="2301" t="s">
        <v>854</v>
      </c>
      <c r="C66" s="2302"/>
      <c r="D66" s="2301" t="s">
        <v>124</v>
      </c>
      <c r="E66" s="2303" t="s">
        <v>855</v>
      </c>
      <c r="F66" s="2256"/>
      <c r="G66" s="2256"/>
      <c r="H66" s="275"/>
      <c r="I66" s="274"/>
      <c r="J66" s="3239"/>
      <c r="K66" s="2297" t="s">
        <v>856</v>
      </c>
      <c r="L66" s="2297">
        <f ca="1">M49*0.5%</f>
        <v>22.580000000000002</v>
      </c>
      <c r="M66" s="1638">
        <f ca="1">IF(L66&gt;0.5,0.5,ROUND(L66,0))</f>
        <v>0.5</v>
      </c>
      <c r="N66" s="1801" t="s">
        <v>857</v>
      </c>
      <c r="Z66" s="2131"/>
      <c r="AI66" s="2132"/>
    </row>
    <row r="67" spans="1:35" ht="14.25" customHeight="1">
      <c r="A67" s="2258" t="s">
        <v>858</v>
      </c>
      <c r="B67" s="2301" t="s">
        <v>859</v>
      </c>
      <c r="C67" s="2304">
        <f ca="1">C63-C66</f>
        <v>4301</v>
      </c>
      <c r="D67" s="561" t="s">
        <v>124</v>
      </c>
      <c r="E67" s="2264"/>
      <c r="F67" s="2256"/>
      <c r="G67" s="2256"/>
      <c r="H67" s="275"/>
      <c r="I67" s="274"/>
      <c r="J67" s="3239"/>
      <c r="K67" s="2297" t="s">
        <v>860</v>
      </c>
      <c r="L67" s="2297">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8"/>
      <c r="Z67" s="2131"/>
      <c r="AI67" s="2132"/>
    </row>
    <row r="68" spans="1:35" ht="14.25" customHeight="1">
      <c r="A68" s="2305" t="s">
        <v>861</v>
      </c>
      <c r="B68" s="2306" t="s">
        <v>862</v>
      </c>
      <c r="C68" s="2307">
        <f ca="1">IF(C67&lt;=0,0,ROUND(C67*D68,0))</f>
        <v>237</v>
      </c>
      <c r="D68" s="2308">
        <f>'数据-取费表'!B41</f>
        <v>5.5E-2</v>
      </c>
      <c r="E68" s="2309"/>
      <c r="F68" s="2256"/>
      <c r="G68" s="2256"/>
      <c r="H68" s="275"/>
      <c r="I68" s="274"/>
      <c r="J68" s="3239"/>
      <c r="K68" s="2297" t="s">
        <v>863</v>
      </c>
      <c r="L68" s="2297">
        <f ca="1">IF(M49&gt;10000,M49*0.5%,IF(AND(M49&gt;5000,M49&lt;=10000),M49*1%,IF(AND(M49&gt;1000,M49&lt;=5000),M49*2%,IF(AND(M49&gt;200,M49&lt;=1000),M49*3%,M49*5%))))</f>
        <v>90.320000000000007</v>
      </c>
      <c r="M68" s="1638">
        <f ca="1">ROUND(L68,1)</f>
        <v>90.3</v>
      </c>
      <c r="N68" s="2298"/>
      <c r="Z68" s="2131"/>
      <c r="AI68" s="2132"/>
    </row>
    <row r="69" spans="1:35" ht="16.5" customHeight="1">
      <c r="A69" s="2310"/>
      <c r="B69" s="2311"/>
      <c r="C69" s="2312"/>
      <c r="D69" s="712"/>
      <c r="E69" s="2313"/>
      <c r="F69" s="2255"/>
      <c r="G69" s="2255"/>
      <c r="H69" s="2216"/>
      <c r="I69" s="1780"/>
      <c r="J69" s="3239"/>
      <c r="K69" s="2297" t="s">
        <v>864</v>
      </c>
      <c r="L69" s="2297"/>
      <c r="M69" s="1638">
        <f ca="1">ROUND(SUM(M63:M68),0)</f>
        <v>166</v>
      </c>
      <c r="N69" s="2375">
        <f ca="1">M69/M49</f>
        <v>3.6758193091231177E-2</v>
      </c>
      <c r="Z69" s="2131"/>
      <c r="AI69" s="2132"/>
    </row>
    <row r="70" spans="1:35" s="464" customFormat="1" ht="14.25">
      <c r="A70" s="3280" t="s">
        <v>865</v>
      </c>
      <c r="B70" s="3281"/>
      <c r="C70" s="3281"/>
      <c r="D70" s="3281"/>
      <c r="E70" s="3281"/>
      <c r="F70" s="3281"/>
      <c r="G70" s="3281"/>
      <c r="H70" s="3281"/>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3" t="s">
        <v>840</v>
      </c>
      <c r="B71" s="3254"/>
      <c r="C71" s="579"/>
      <c r="D71" s="579"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4301</v>
      </c>
      <c r="D72" s="561" t="s">
        <v>124</v>
      </c>
      <c r="E72" s="1669"/>
      <c r="F72" s="1670"/>
      <c r="G72" s="1670"/>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v>
      </c>
      <c r="D73" s="561" t="s">
        <v>124</v>
      </c>
      <c r="E73" s="1669"/>
      <c r="F73" s="1670"/>
      <c r="G73" s="1670"/>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1669"/>
      <c r="F74" s="1670"/>
      <c r="G74" s="1670"/>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1" t="s">
        <v>875</v>
      </c>
      <c r="F76" s="3238"/>
      <c r="G76" s="3238"/>
      <c r="H76" s="3282"/>
      <c r="I76" s="2378"/>
      <c r="J76" s="2377"/>
      <c r="K76" s="3086">
        <f>工程进度!G5</f>
        <v>2183.39</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1787" t="s">
        <v>879</v>
      </c>
      <c r="F77" s="2326"/>
      <c r="G77" s="2327"/>
      <c r="H77" s="2324" t="str">
        <f>IF(G77="个人买卖住房","免征印花税"," ")</f>
        <v/>
      </c>
      <c r="I77" s="2378"/>
      <c r="J77" s="2377"/>
      <c r="K77" s="2377">
        <v>0</v>
      </c>
      <c r="L77" s="2379" t="s">
        <v>880</v>
      </c>
      <c r="M77" s="2377">
        <f>M76*0.2*0.25</f>
        <v>752.8</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v>
      </c>
      <c r="D78" s="2329">
        <f>'数据-取费表'!B43</f>
        <v>5.0000000000000001E-3</v>
      </c>
      <c r="E78" s="3283" t="s">
        <v>882</v>
      </c>
      <c r="F78" s="3284"/>
      <c r="G78" s="3284"/>
      <c r="H78" s="3285"/>
      <c r="I78" s="2380"/>
      <c r="J78" s="2377"/>
      <c r="K78" s="3086">
        <f>工程进度!I5</f>
        <v>1203.22</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4279</v>
      </c>
      <c r="D79" s="561" t="s">
        <v>124</v>
      </c>
      <c r="E79" s="1669"/>
      <c r="F79" s="1670"/>
      <c r="G79" s="1670"/>
      <c r="H79" s="2317"/>
      <c r="I79" s="2378"/>
      <c r="J79" s="2377"/>
      <c r="K79" s="3086">
        <f>K76+K77+K78</f>
        <v>3386.6099999999997</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194.5</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
      <c r="A81" s="2305" t="s">
        <v>885</v>
      </c>
      <c r="B81" s="2306" t="s">
        <v>886</v>
      </c>
      <c r="C81" s="2334">
        <f ca="1">ROUND(IF(C79&lt;=0,0,IF(C80&gt;=200%,C79*60%-C73*35%,IF(C80&gt;=100%,C79*50%-C73*15%,IF(C80&gt;=50%,C79*40%-C73*5%,IF(C80&lt;50%,C79*30%,0))))),0)</f>
        <v>2560</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4.25">
      <c r="A83" s="3280" t="s">
        <v>887</v>
      </c>
      <c r="B83" s="3281"/>
      <c r="C83" s="3281"/>
      <c r="D83" s="3281"/>
      <c r="E83" s="3281"/>
      <c r="F83" s="3281"/>
      <c r="G83" s="3281"/>
      <c r="H83" s="3281"/>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3" t="s">
        <v>840</v>
      </c>
      <c r="B84" s="3254"/>
      <c r="C84" s="579"/>
      <c r="D84" s="579"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4301</v>
      </c>
      <c r="D85" s="561" t="s">
        <v>124</v>
      </c>
      <c r="E85" s="1669"/>
      <c r="F85" s="1670"/>
      <c r="G85" s="1670"/>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6056.3135000000002</v>
      </c>
      <c r="D86" s="2343"/>
      <c r="E86" s="1669"/>
      <c r="F86" s="1670"/>
      <c r="G86" s="1670"/>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3457</v>
      </c>
      <c r="D87" s="2329"/>
      <c r="E87" s="2330"/>
      <c r="F87" s="2331"/>
      <c r="G87" s="2331"/>
      <c r="H87" s="2332"/>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3355</v>
      </c>
      <c r="D88" s="2329"/>
      <c r="E88" s="2345" t="s">
        <v>890</v>
      </c>
      <c r="F88" s="2331"/>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102</v>
      </c>
      <c r="D89" s="2329">
        <f>'数据-取费表'!B48+'数据-取费表'!B49</f>
        <v>3.0499999999999999E-2</v>
      </c>
      <c r="E89" s="2345" t="s">
        <v>894</v>
      </c>
      <c r="F89" s="2331"/>
      <c r="G89" s="2331"/>
      <c r="H89" s="2332"/>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c>
      <c r="F90" s="2331"/>
      <c r="G90" s="3292" t="s">
        <v>896</v>
      </c>
      <c r="H90" s="3293"/>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1185.3135</v>
      </c>
      <c r="D91" s="2329"/>
      <c r="E91" s="3283" t="s">
        <v>900</v>
      </c>
      <c r="F91" s="3284"/>
      <c r="G91" s="3284"/>
      <c r="H91" s="2348" t="s">
        <v>3049</v>
      </c>
      <c r="I91" s="3087">
        <f>(3500*结果表!K76+3500*结果表!K78)/10000</f>
        <v>1185.3135</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464</v>
      </c>
      <c r="D92" s="2349">
        <v>0.1</v>
      </c>
      <c r="E92" s="3283" t="s">
        <v>903</v>
      </c>
      <c r="F92" s="3284"/>
      <c r="G92" s="3284"/>
      <c r="H92" s="3285"/>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v>
      </c>
      <c r="D93" s="2329">
        <f>'数据-取费表'!B43</f>
        <v>5.0000000000000001E-3</v>
      </c>
      <c r="E93" s="3283" t="s">
        <v>882</v>
      </c>
      <c r="F93" s="3284"/>
      <c r="G93" s="3284"/>
      <c r="H93" s="3285"/>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928</v>
      </c>
      <c r="D94" s="2329">
        <v>0.2</v>
      </c>
      <c r="E94" s="3305" t="s">
        <v>908</v>
      </c>
      <c r="F94" s="3306"/>
      <c r="G94" s="3306"/>
      <c r="H94" s="3307"/>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-1755</v>
      </c>
      <c r="D95" s="561" t="s">
        <v>124</v>
      </c>
      <c r="E95" s="1669"/>
      <c r="F95" s="1670"/>
      <c r="G95" s="1670"/>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c r="A99" s="2218" t="s">
        <v>909</v>
      </c>
      <c r="B99" s="1780"/>
      <c r="C99" s="1780"/>
      <c r="D99" s="1780"/>
      <c r="E99" s="2255"/>
      <c r="F99" s="2255"/>
      <c r="G99" s="2255"/>
      <c r="H99" s="2216"/>
      <c r="I99" s="274"/>
    </row>
    <row r="100" spans="1:35" ht="18.75" customHeight="1">
      <c r="A100" s="3199" t="s">
        <v>910</v>
      </c>
      <c r="B100" s="3200"/>
      <c r="C100" s="3200"/>
      <c r="D100" s="3268"/>
      <c r="E100" s="3200" t="s">
        <v>911</v>
      </c>
      <c r="F100" s="3200"/>
      <c r="G100" s="3200"/>
      <c r="H100" s="3268"/>
      <c r="I100" s="274"/>
    </row>
    <row r="101" spans="1:35" ht="18.75" customHeight="1">
      <c r="A101" s="3269" t="s">
        <v>912</v>
      </c>
      <c r="B101" s="3270"/>
      <c r="C101" s="2352" t="str">
        <f>C4</f>
        <v>成本法 (元)</v>
      </c>
      <c r="D101" s="2353" t="str">
        <f>D4</f>
        <v>比较法-住宅</v>
      </c>
      <c r="E101" s="3291" t="s">
        <v>913</v>
      </c>
      <c r="F101" s="3287"/>
      <c r="G101" s="2355" t="s">
        <v>914</v>
      </c>
      <c r="H101" s="2356">
        <f ca="1">H118</f>
        <v>251</v>
      </c>
      <c r="I101" s="274"/>
    </row>
    <row r="102" spans="1:35" ht="18.75" customHeight="1">
      <c r="A102" s="3300" t="s">
        <v>915</v>
      </c>
      <c r="B102" s="2357" t="s">
        <v>914</v>
      </c>
      <c r="C102" s="2352">
        <f ca="1">C19</f>
        <v>262</v>
      </c>
      <c r="D102" s="2353">
        <f ca="1">D19</f>
        <v>240</v>
      </c>
      <c r="E102" s="3291"/>
      <c r="F102" s="3287"/>
      <c r="G102" s="2355" t="s">
        <v>99</v>
      </c>
      <c r="H102" s="2244" t="e">
        <f ca="1">I118</f>
        <v>#DIV/0!</v>
      </c>
      <c r="I102" s="274"/>
    </row>
    <row r="103" spans="1:35" ht="42.75" customHeight="1">
      <c r="A103" s="3300"/>
      <c r="B103" s="2357" t="s">
        <v>99</v>
      </c>
      <c r="C103" s="2358">
        <f ca="1">C20</f>
        <v>29264</v>
      </c>
      <c r="D103" s="2359">
        <f ca="1">D20</f>
        <v>26776</v>
      </c>
      <c r="E103" s="3271" t="s">
        <v>916</v>
      </c>
      <c r="F103" s="3272"/>
      <c r="G103" s="2360" t="s">
        <v>102</v>
      </c>
      <c r="H103" s="2356">
        <f>IF(D36="正常操作",H104+H105+H106,H105+H106)</f>
        <v>0</v>
      </c>
      <c r="I103" s="274"/>
    </row>
    <row r="104" spans="1:35" ht="18.75" customHeight="1">
      <c r="A104" s="3300" t="s">
        <v>917</v>
      </c>
      <c r="B104" s="2361" t="s">
        <v>914</v>
      </c>
      <c r="C104" s="2362">
        <f ca="1">H118</f>
        <v>251</v>
      </c>
      <c r="D104" s="2363"/>
      <c r="E104" s="2201" t="s">
        <v>918</v>
      </c>
      <c r="F104" s="2364"/>
      <c r="G104" s="2360" t="s">
        <v>102</v>
      </c>
      <c r="H104" s="2365">
        <f>IF(D36="同一抵押权人同一抵押物续贷",C36&amp;"（续贷，未扣减，详见特别提示）",C36)</f>
        <v>0</v>
      </c>
      <c r="I104" s="274"/>
    </row>
    <row r="105" spans="1:35" ht="18.75" customHeight="1">
      <c r="A105" s="3301"/>
      <c r="B105" s="2366" t="s">
        <v>99</v>
      </c>
      <c r="C105" s="2367" t="e">
        <f ca="1">I118</f>
        <v>#DIV/0!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6" t="str">
        <f>IF(项目基本情况!E8="已注销","——","3.房地产抵押价值")</f>
        <v>3.房地产抵押价值</v>
      </c>
      <c r="F107" s="3287"/>
      <c r="G107" s="2355" t="s">
        <v>914</v>
      </c>
      <c r="H107" s="2356">
        <f ca="1">IF(E107="——","——",H101-H103)</f>
        <v>251</v>
      </c>
      <c r="I107" s="274"/>
    </row>
    <row r="108" spans="1:35" ht="18.75" customHeight="1">
      <c r="A108" s="274"/>
      <c r="B108" s="274"/>
      <c r="C108" s="274"/>
      <c r="D108" s="274"/>
      <c r="E108" s="3286"/>
      <c r="F108" s="3287"/>
      <c r="G108" s="2355" t="s">
        <v>99</v>
      </c>
      <c r="H108" s="2244">
        <f ca="1">ROUND(H107*10000/'数据-汇总表'!E3,0)</f>
        <v>51</v>
      </c>
      <c r="I108" s="274"/>
    </row>
    <row r="109" spans="1:35" ht="18.75" customHeight="1">
      <c r="A109" s="274"/>
      <c r="B109" s="274"/>
      <c r="C109" s="274"/>
      <c r="D109" s="274"/>
      <c r="E109" s="3286" t="str">
        <f>IF(项目基本情况!E8="已注销及未注销","4.抵押担保权已注销时的房地产抵押价值",IF(项目基本情况!E8="已注销","3.抵押担保权已注销时的房地产抵押价值","——"))</f>
        <v>——</v>
      </c>
      <c r="F109" s="3287"/>
      <c r="G109" s="2355" t="s">
        <v>914</v>
      </c>
      <c r="H109" s="2371" t="str">
        <f>IF(E109="——","——",H101-H105-H106)</f>
        <v>——</v>
      </c>
      <c r="I109" s="274"/>
    </row>
    <row r="110" spans="1:35" ht="18.75" customHeight="1">
      <c r="A110" s="274"/>
      <c r="B110" s="274"/>
      <c r="C110" s="274"/>
      <c r="D110" s="274"/>
      <c r="E110" s="3286"/>
      <c r="F110" s="3287"/>
      <c r="G110" s="2355" t="s">
        <v>99</v>
      </c>
      <c r="H110" s="2244" t="str">
        <f>IF(H109="——","——",ROUND(H109*10000/'数据-汇总表'!E3,0))</f>
        <v>——</v>
      </c>
      <c r="I110" s="274"/>
    </row>
    <row r="111" spans="1:35" ht="18.75" customHeight="1">
      <c r="A111" s="274"/>
      <c r="B111" s="274"/>
      <c r="C111" s="274"/>
      <c r="D111" s="274"/>
      <c r="E111" s="3288" t="str">
        <f>IF(项目基本情况!E9="抵押净值",IF(OR(项目基本情况!E8="已注销",项目基本情况!E8="房地产抵押价值"),"4.抵押净值","5.抵押净值"),"——")</f>
        <v>4.抵押净值</v>
      </c>
      <c r="F111" s="3257"/>
      <c r="G111" s="2355" t="s">
        <v>914</v>
      </c>
      <c r="H111" s="2356">
        <f ca="1">IF(E111="——","——",N59)</f>
        <v>4277</v>
      </c>
      <c r="I111" s="274"/>
    </row>
    <row r="112" spans="1:35" ht="18.75" customHeight="1">
      <c r="A112" s="274"/>
      <c r="B112" s="274"/>
      <c r="C112" s="274"/>
      <c r="D112" s="274"/>
      <c r="E112" s="3289"/>
      <c r="F112" s="3290"/>
      <c r="G112" s="2372" t="s">
        <v>99</v>
      </c>
      <c r="H112" s="2373">
        <f ca="1">IF(E111="——","——",N61)</f>
        <v>866</v>
      </c>
      <c r="I112" s="274"/>
    </row>
    <row r="113" spans="1:27" ht="18.75" customHeight="1">
      <c r="A113" s="274"/>
      <c r="B113" s="274"/>
      <c r="C113" s="274"/>
      <c r="D113" s="274"/>
      <c r="E113" s="3273" t="s">
        <v>920</v>
      </c>
      <c r="F113" s="3273"/>
      <c r="G113" s="3273"/>
      <c r="H113" s="3273"/>
      <c r="I113" s="274"/>
    </row>
    <row r="114" spans="1:27" ht="3.75" customHeight="1">
      <c r="A114" s="1780"/>
      <c r="B114" s="1780"/>
      <c r="C114" s="1780"/>
      <c r="D114" s="1780"/>
      <c r="E114" s="2254"/>
      <c r="F114" s="2254"/>
      <c r="G114" s="2254"/>
      <c r="H114" s="2254"/>
      <c r="I114" s="1780"/>
    </row>
    <row r="115" spans="1:27" ht="18.75" customHeight="1">
      <c r="A115" s="3274" t="s">
        <v>922</v>
      </c>
      <c r="B115" s="3275"/>
      <c r="C115" s="3275"/>
      <c r="D115" s="3275"/>
      <c r="E115" s="3275"/>
      <c r="F115" s="3275"/>
      <c r="G115" s="3275"/>
      <c r="H115" s="3275"/>
      <c r="I115" s="3276"/>
    </row>
    <row r="116" spans="1:27" ht="27" customHeight="1">
      <c r="A116" s="3261" t="s">
        <v>923</v>
      </c>
      <c r="B116" s="3303" t="s">
        <v>924</v>
      </c>
      <c r="C116" s="3303" t="s">
        <v>925</v>
      </c>
      <c r="D116" s="3277" t="s">
        <v>926</v>
      </c>
      <c r="E116" s="3278"/>
      <c r="F116" s="3279" t="s">
        <v>927</v>
      </c>
      <c r="G116" s="3279"/>
      <c r="H116" s="3261" t="s">
        <v>928</v>
      </c>
      <c r="I116" s="3261"/>
    </row>
    <row r="117" spans="1:27" ht="18.75" customHeight="1">
      <c r="A117" s="3261"/>
      <c r="B117" s="3304"/>
      <c r="C117" s="3304"/>
      <c r="D117" s="2142" t="s">
        <v>929</v>
      </c>
      <c r="E117" s="2142" t="s">
        <v>749</v>
      </c>
      <c r="F117" s="2142" t="s">
        <v>929</v>
      </c>
      <c r="G117" s="2142" t="s">
        <v>749</v>
      </c>
      <c r="H117" s="2142" t="s">
        <v>929</v>
      </c>
      <c r="I117" s="2142" t="s">
        <v>749</v>
      </c>
    </row>
    <row r="118" spans="1:27" ht="24.75" customHeight="1">
      <c r="A118" s="2374" t="str">
        <f>项目基本情况!S2</f>
        <v>北京市顺义区北小营镇顺义新城第30街区30-01-02地块R2二类居住用地出让国有建设用地使用权及在建建筑物房地产</v>
      </c>
      <c r="B118" s="2142">
        <f>M18</f>
        <v>0</v>
      </c>
      <c r="C118" s="2142">
        <f>M19</f>
        <v>0</v>
      </c>
      <c r="D118" s="2142">
        <f ca="1">ROUND(IF(D32="总价",C34,E118*B118/10000),0)</f>
        <v>134</v>
      </c>
      <c r="E118" s="2142" t="e">
        <f ca="1">ROUND(IF(C33="自定义",IF(D32="楼面单价",C34,D118*10000/B118),I118-G118),0)</f>
        <v>#DIV/0!</v>
      </c>
      <c r="F118" s="2142">
        <f ca="1">ROUND(IF(D32="总价",C35,G118*B118/10000),0)</f>
        <v>117</v>
      </c>
      <c r="G118" s="2142" t="e">
        <f ca="1">ROUND(IF(D32="楼面单价",C35,F118*10000/B118),0)</f>
        <v>#DIV/0!</v>
      </c>
      <c r="H118" s="2142">
        <f ca="1">ROUND(IF(D32="总价",C32,I118*B118/10000),0)</f>
        <v>251</v>
      </c>
      <c r="I118" s="2142" t="e">
        <f ca="1">ROUND(IF(D32="楼面单价",C32,H118*10000/B118),0)</f>
        <v>#DIV/0!</v>
      </c>
    </row>
    <row r="119" spans="1:27" ht="18.75" customHeight="1">
      <c r="A119" s="3261" t="s">
        <v>930</v>
      </c>
      <c r="B119" s="3261"/>
      <c r="C119" s="3261"/>
      <c r="D119" s="3262" t="str">
        <f ca="1">NUMBERSTRING(INT(D118*10000),2)&amp;"元整"</f>
        <v>壹佰叁拾肆万元整</v>
      </c>
      <c r="E119" s="3264"/>
      <c r="F119" s="3262" t="str">
        <f ca="1">NUMBERSTRING(INT(F118*10000),2)&amp;"元整"</f>
        <v>壹佰壹拾柒万元整</v>
      </c>
      <c r="G119" s="3264"/>
      <c r="H119" s="3262" t="str">
        <f ca="1">NUMBERSTRING(INT(H118*10000),2)&amp;"元整"</f>
        <v>贰佰伍拾壹万元整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5" t="s">
        <v>930</v>
      </c>
      <c r="B121" s="3266"/>
      <c r="C121" s="3267"/>
      <c r="D121" s="3262" t="str">
        <f>IF(D120=0,"零元整",NUMBERSTRING(INT(D120*10000),2)&amp;"元整")</f>
        <v>零元整</v>
      </c>
      <c r="E121" s="3263"/>
      <c r="F121" s="3263"/>
      <c r="G121" s="3263"/>
      <c r="H121" s="3263"/>
      <c r="I121" s="3264"/>
      <c r="AA121" s="232"/>
    </row>
    <row r="122" spans="1:27" ht="18.75" customHeight="1">
      <c r="A122" s="3257" t="str">
        <f>IF(项目基本情况!B9="房地产市场价值","",MID(E107,3,LEN(E107)-2))</f>
        <v>房地产抵押价值</v>
      </c>
      <c r="B122" s="3257"/>
      <c r="C122" s="3257"/>
      <c r="D122" s="3258">
        <f ca="1">H107</f>
        <v>251</v>
      </c>
      <c r="E122" s="3259"/>
      <c r="F122" s="3259"/>
      <c r="G122" s="3259"/>
      <c r="H122" s="3259"/>
      <c r="I122" s="3260"/>
      <c r="AA122" s="232"/>
    </row>
    <row r="123" spans="1:27" ht="18.75" customHeight="1">
      <c r="A123" s="3261" t="s">
        <v>930</v>
      </c>
      <c r="B123" s="3261"/>
      <c r="C123" s="3261"/>
      <c r="D123" s="3262" t="str">
        <f ca="1">NUMBERSTRING(INT(D122*10000),2)&amp;"元整"</f>
        <v>贰佰伍拾壹万元整</v>
      </c>
      <c r="E123" s="3263"/>
      <c r="F123" s="3263"/>
      <c r="G123" s="3263"/>
      <c r="H123" s="3263"/>
      <c r="I123" s="3264"/>
      <c r="AA123" s="232"/>
    </row>
    <row r="124" spans="1:27" ht="18.75" customHeight="1">
      <c r="A124" s="3257" t="str">
        <f>IF(项目基本情况!B9="房地产市场价值","",MID(E109,3,LEN(E109)-2))</f>
        <v/>
      </c>
      <c r="B124" s="3257"/>
      <c r="C124" s="3257"/>
      <c r="D124" s="3258" t="str">
        <f>H109</f>
        <v>——</v>
      </c>
      <c r="E124" s="3259"/>
      <c r="F124" s="3259"/>
      <c r="G124" s="3259"/>
      <c r="H124" s="3259"/>
      <c r="I124" s="3260"/>
      <c r="AA124" s="232"/>
    </row>
    <row r="125" spans="1:27" ht="18.75" customHeight="1">
      <c r="A125" s="3261" t="s">
        <v>930</v>
      </c>
      <c r="B125" s="3261"/>
      <c r="C125" s="3261"/>
      <c r="D125" s="3262" t="e">
        <f>NUMBERSTRING(INT(D124*10000),2)&amp;"元整"</f>
        <v>#VALUE!</v>
      </c>
      <c r="E125" s="3263"/>
      <c r="F125" s="3263"/>
      <c r="G125" s="3263"/>
      <c r="H125" s="3263"/>
      <c r="I125" s="3264"/>
      <c r="AA125" s="232"/>
    </row>
    <row r="126" spans="1:27" ht="18.75" customHeight="1">
      <c r="A126" s="3257" t="str">
        <f>IF(项目基本情况!B9="房地产市场价值","",MID(E111,3,LEN(E111)-2))</f>
        <v>抵押净值</v>
      </c>
      <c r="B126" s="3257"/>
      <c r="C126" s="3257"/>
      <c r="D126" s="3258">
        <f ca="1">H111</f>
        <v>4277</v>
      </c>
      <c r="E126" s="3259"/>
      <c r="F126" s="3259"/>
      <c r="G126" s="3259"/>
      <c r="H126" s="3259"/>
      <c r="I126" s="3260"/>
      <c r="AA126" s="232"/>
    </row>
    <row r="127" spans="1:27" ht="18.75" customHeight="1">
      <c r="A127" s="3261" t="s">
        <v>930</v>
      </c>
      <c r="B127" s="3261"/>
      <c r="C127" s="3261"/>
      <c r="D127" s="3262" t="str">
        <f ca="1">NUMBERSTRING(INT(D126*10000),2)&amp;"元整"</f>
        <v>肆仟贰佰柒拾柒万元整</v>
      </c>
      <c r="E127" s="3263"/>
      <c r="F127" s="3263"/>
      <c r="G127" s="3263"/>
      <c r="H127" s="3263"/>
      <c r="I127" s="3264"/>
      <c r="AA127" s="232"/>
    </row>
    <row r="128" spans="1:27" ht="21.75" customHeight="1">
      <c r="A128" s="3294" t="s">
        <v>113</v>
      </c>
      <c r="B128" s="3294"/>
      <c r="C128" s="3294"/>
      <c r="D128" s="3294"/>
      <c r="E128" s="3294"/>
      <c r="F128" s="3294"/>
      <c r="G128" s="3294"/>
      <c r="H128" s="3294"/>
      <c r="I128" s="3294"/>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c r="C1" s="146"/>
      <c r="D1" s="146"/>
      <c r="E1" s="146"/>
      <c r="F1" s="146"/>
      <c r="G1" s="2093">
        <f>MATCH(B1,'数据-取费表'!A6:A16,0)+5</f>
        <v>11</v>
      </c>
    </row>
    <row r="2" spans="1:9" s="136" customFormat="1" ht="18" customHeight="1">
      <c r="A2" s="148" t="s">
        <v>941</v>
      </c>
      <c r="B2" s="149">
        <f ca="1">IF(D2="——",C52,C52-E2)</f>
        <v>56110</v>
      </c>
      <c r="C2" s="147" t="s">
        <v>1397</v>
      </c>
      <c r="D2" s="2094" t="s">
        <v>124</v>
      </c>
      <c r="E2" s="2095" t="e">
        <f ca="1">SUMIF(INDIRECT("'"&amp;G2&amp;"'"&amp;"!A:A"),"承租人权益价值",INDIRECT("'"&amp;G2&amp;"'"&amp;"!c:c"))</f>
        <v>#REF!</v>
      </c>
      <c r="F2" s="2096" t="s">
        <v>1397</v>
      </c>
      <c r="G2" s="2097"/>
    </row>
    <row r="3" spans="1:9" s="136" customFormat="1" ht="18" customHeight="1">
      <c r="A3" s="151" t="s">
        <v>942</v>
      </c>
      <c r="B3" s="152">
        <f ca="1">ROUND(B2*10000/(IF(B1="",'数据-汇总表'!E3,INDIRECT("'数据-取费表'!k"&amp;$G$1))),0)</f>
        <v>11358</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22692</v>
      </c>
      <c r="D5" s="158" t="s">
        <v>1402</v>
      </c>
      <c r="E5" s="159" t="s">
        <v>1403</v>
      </c>
      <c r="F5" s="159" t="s">
        <v>841</v>
      </c>
      <c r="G5" s="160"/>
    </row>
    <row r="6" spans="1:9" s="138" customFormat="1" ht="13.5" customHeight="1">
      <c r="A6" s="161" t="s">
        <v>1404</v>
      </c>
      <c r="B6" s="162" t="s">
        <v>1405</v>
      </c>
      <c r="C6" s="163">
        <f ca="1">ROUND(D9*'土地比较法-住宅、综合'!C47/10000,0)</f>
        <v>21114</v>
      </c>
      <c r="D6" s="164"/>
      <c r="E6" s="165"/>
      <c r="F6" s="165"/>
      <c r="G6" s="166"/>
    </row>
    <row r="7" spans="1:9" s="138" customFormat="1" ht="13.5" customHeight="1">
      <c r="A7" s="161" t="s">
        <v>1406</v>
      </c>
      <c r="B7" s="162" t="s">
        <v>1407</v>
      </c>
      <c r="C7" s="167">
        <f ca="1">ROUND(C6*F7,0)</f>
        <v>644</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8"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2" t="s">
        <v>3052</v>
      </c>
      <c r="H9" s="2103"/>
      <c r="I9" s="2104"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8" t="s">
        <v>1433</v>
      </c>
    </row>
    <row r="20" spans="1:10" s="138" customFormat="1" ht="13.5" customHeight="1">
      <c r="A20" s="156" t="s">
        <v>1434</v>
      </c>
      <c r="B20" s="157" t="s">
        <v>1435</v>
      </c>
      <c r="C20" s="181">
        <f ca="1">ROUND((C5+C19)*F20,0)</f>
        <v>454</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2455</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2431</v>
      </c>
      <c r="D23" s="191"/>
      <c r="E23" s="191"/>
      <c r="F23" s="192"/>
      <c r="G23" s="193" t="s">
        <v>1444</v>
      </c>
      <c r="J23" s="138">
        <f ca="1">B2/'数据-汇总表'!F31</f>
        <v>3.4509565625987899</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2083</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2083</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29935</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1106</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08" t="s">
        <v>1475</v>
      </c>
    </row>
    <row r="43" spans="1:7" ht="13.5" customHeight="1">
      <c r="A43" s="189" t="s">
        <v>1406</v>
      </c>
      <c r="B43" s="162" t="s">
        <v>1445</v>
      </c>
      <c r="C43" s="191">
        <f ca="1">ROUND(IF('数据-取费表'!B22&lt;=1,C39*F22*'数据-取费表'!B21/2,C39*(POWER((1+F22),'数据-取费表'!B21/2)-1)),0)</f>
        <v>22</v>
      </c>
      <c r="D43" s="191"/>
      <c r="E43" s="191"/>
      <c r="F43" s="192"/>
      <c r="G43" s="3309"/>
    </row>
    <row r="44" spans="1:7" ht="13.5" customHeight="1">
      <c r="A44" s="189" t="s">
        <v>1408</v>
      </c>
      <c r="B44" s="162" t="s">
        <v>1447</v>
      </c>
      <c r="C44" s="191">
        <f>ROUND(IF('数据-取费表'!B22&lt;=1,C40*F22*'数据-取费表'!B21/2,C40*(POWER((1+F22),'数据-取费表'!B21/2)-1)),4)</f>
        <v>1E-3</v>
      </c>
      <c r="D44" s="191"/>
      <c r="E44" s="191"/>
      <c r="F44" s="192"/>
      <c r="G44" s="3310"/>
    </row>
    <row r="45" spans="1:7" s="138" customFormat="1" ht="13.5" customHeight="1">
      <c r="A45" s="156" t="s">
        <v>1441</v>
      </c>
      <c r="B45" s="197" t="s">
        <v>1452</v>
      </c>
      <c r="C45" s="198">
        <f ca="1">C46</f>
        <v>1907</v>
      </c>
      <c r="D45" s="184">
        <f ca="1">C47</f>
        <v>1.8E-3</v>
      </c>
      <c r="E45" s="185" t="s">
        <v>1473</v>
      </c>
      <c r="F45" s="2101">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56110</v>
      </c>
      <c r="D52" s="218"/>
      <c r="E52" s="218"/>
      <c r="F52" s="218"/>
      <c r="G52" s="220"/>
    </row>
    <row r="55" spans="1:7" ht="15">
      <c r="B55" s="221" t="s">
        <v>1489</v>
      </c>
      <c r="C55" s="222"/>
    </row>
    <row r="56" spans="1:7">
      <c r="B56" s="223" t="s">
        <v>1490</v>
      </c>
      <c r="C56" s="225">
        <f ca="1">1-C57</f>
        <v>0.53400000000000003</v>
      </c>
    </row>
    <row r="57" spans="1:7">
      <c r="B57" s="223" t="s">
        <v>1491</v>
      </c>
      <c r="C57" s="224">
        <f ca="1">ROUND(C51/C52,3)</f>
        <v>0.46600000000000003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workbookViewId="0">
      <selection activeCell="N25" sqref="N25"/>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26631</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5391</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12"/>
      <c r="E4" s="3313" t="s">
        <v>946</v>
      </c>
      <c r="F4" s="3314"/>
      <c r="G4" s="3311" t="s">
        <v>947</v>
      </c>
      <c r="H4" s="3312"/>
      <c r="I4" s="3311" t="s">
        <v>948</v>
      </c>
      <c r="J4" s="3312"/>
      <c r="K4" s="1021" t="s">
        <v>949</v>
      </c>
      <c r="L4" s="1022"/>
      <c r="M4" s="972"/>
      <c r="N4" s="972"/>
      <c r="O4" s="972"/>
      <c r="P4" s="3337" t="s">
        <v>950</v>
      </c>
      <c r="Q4" s="3338"/>
      <c r="R4" s="3343" t="s">
        <v>946</v>
      </c>
      <c r="S4" s="3344"/>
      <c r="T4" s="3343" t="s">
        <v>947</v>
      </c>
      <c r="U4" s="3344"/>
      <c r="V4" s="3327" t="s">
        <v>948</v>
      </c>
      <c r="W4" s="3327"/>
      <c r="X4" s="1070"/>
      <c r="Y4" s="3343" t="s">
        <v>950</v>
      </c>
      <c r="Z4" s="3344"/>
      <c r="AA4" s="3332" t="s">
        <v>946</v>
      </c>
      <c r="AB4" s="3333" t="s">
        <v>947</v>
      </c>
      <c r="AC4" s="3332" t="s">
        <v>948</v>
      </c>
    </row>
    <row r="5" spans="1:29" ht="45" customHeight="1">
      <c r="A5" s="879"/>
      <c r="B5" s="880"/>
      <c r="C5" s="3315" t="s">
        <v>951</v>
      </c>
      <c r="D5" s="3316"/>
      <c r="E5" s="3317" t="str">
        <f>土地!A5</f>
        <v>北京市顺义区顺义新城土地一级开发项目SY00-1101-0601、0603地块R2二类居住用地、SY00-1101-6002地块A334托幼用地</v>
      </c>
      <c r="F5" s="3318"/>
      <c r="G5" s="3315" t="str">
        <f>土地!A16</f>
        <v>北京市顺义区顺义新城第13街区SY00-0013-6050、6053地块二类居住用地</v>
      </c>
      <c r="H5" s="3316"/>
      <c r="I5" s="3315" t="str">
        <f>土地!A17</f>
        <v>北京市顺义区顺义新城第5街区平各庄旧村改造项目SY00-0005-6046地块R2二类居住用地、SY00-0005-6045地块A334托幼用地</v>
      </c>
      <c r="J5" s="3316"/>
      <c r="K5" s="1021"/>
      <c r="L5" s="1022"/>
      <c r="M5" s="972"/>
      <c r="N5" s="972"/>
      <c r="O5" s="972"/>
      <c r="P5" s="3339"/>
      <c r="Q5" s="3340"/>
      <c r="R5" s="3345"/>
      <c r="S5" s="3346"/>
      <c r="T5" s="3345"/>
      <c r="U5" s="3346"/>
      <c r="V5" s="3327"/>
      <c r="W5" s="3327"/>
      <c r="X5" s="1070"/>
      <c r="Y5" s="3345"/>
      <c r="Z5" s="3346"/>
      <c r="AA5" s="3333"/>
      <c r="AB5" s="3333"/>
      <c r="AC5" s="3333"/>
    </row>
    <row r="6" spans="1:29" ht="15">
      <c r="A6" s="881"/>
      <c r="B6" s="882"/>
      <c r="C6" s="3319" t="s">
        <v>952</v>
      </c>
      <c r="D6" s="3320"/>
      <c r="E6" s="3321" t="s">
        <v>952</v>
      </c>
      <c r="F6" s="3322"/>
      <c r="G6" s="3319" t="s">
        <v>952</v>
      </c>
      <c r="H6" s="3320"/>
      <c r="I6" s="3319" t="s">
        <v>952</v>
      </c>
      <c r="J6" s="3320"/>
      <c r="K6" s="1021" t="s">
        <v>953</v>
      </c>
      <c r="L6" s="1022"/>
      <c r="M6" s="972"/>
      <c r="N6" s="972"/>
      <c r="O6" s="972"/>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888">
        <f>土地!AE5</f>
        <v>45288.000497685185</v>
      </c>
      <c r="F7" s="889">
        <f>SUMIF(69:69,YEAR(E7)&amp;"-"&amp;INT((MONTH(E7)+2)/3),70:70)</f>
        <v>99.4</v>
      </c>
      <c r="G7" s="890">
        <f>土地!AB16</f>
        <v>44608.0004976852</v>
      </c>
      <c r="H7" s="887">
        <f>SUMIF(69:69,YEAR(G7)&amp;"-"&amp;INT((MONTH(G7)+2)/3),70:70)</f>
        <v>98</v>
      </c>
      <c r="I7" s="890">
        <f>土地!AB17</f>
        <v>44608.0004976852</v>
      </c>
      <c r="J7" s="887">
        <f>SUMIF(69:69,YEAR(I7)&amp;"-"&amp;INT((MONTH(I7)+2)/3),70:70)</f>
        <v>98</v>
      </c>
      <c r="K7" s="1026"/>
      <c r="L7" s="1027"/>
      <c r="M7" s="1028"/>
      <c r="N7" s="1028"/>
      <c r="O7" s="1028"/>
      <c r="P7" s="3323" t="s">
        <v>955</v>
      </c>
      <c r="Q7" s="3324"/>
      <c r="R7" s="1071" t="s">
        <v>956</v>
      </c>
      <c r="S7" s="1072">
        <f t="shared" ref="S7:S15" si="0">F7</f>
        <v>99.4</v>
      </c>
      <c r="T7" s="1071" t="s">
        <v>956</v>
      </c>
      <c r="U7" s="1072">
        <f t="shared" ref="U7:U15" si="1">H7</f>
        <v>98</v>
      </c>
      <c r="V7" s="1071" t="s">
        <v>956</v>
      </c>
      <c r="W7" s="1072">
        <f t="shared" ref="W7:W15" si="2">J7</f>
        <v>98</v>
      </c>
      <c r="X7" s="1073"/>
      <c r="Y7" s="3323" t="s">
        <v>955</v>
      </c>
      <c r="Z7" s="3325"/>
      <c r="AA7" s="1083">
        <f>D7/F7</f>
        <v>1.0060362173038229</v>
      </c>
      <c r="AB7" s="1083">
        <f>D7/H7</f>
        <v>1.0204081632653061</v>
      </c>
      <c r="AC7" s="1083">
        <f>D7/J7</f>
        <v>1.0204081632653061</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23" t="s">
        <v>959</v>
      </c>
      <c r="Q8" s="3325"/>
      <c r="R8" s="1071" t="s">
        <v>956</v>
      </c>
      <c r="S8" s="1072">
        <f t="shared" si="0"/>
        <v>100</v>
      </c>
      <c r="T8" s="1071" t="s">
        <v>956</v>
      </c>
      <c r="U8" s="1072">
        <f t="shared" si="1"/>
        <v>100</v>
      </c>
      <c r="V8" s="1071" t="s">
        <v>956</v>
      </c>
      <c r="W8" s="1072">
        <f t="shared" si="2"/>
        <v>100</v>
      </c>
      <c r="X8" s="1073"/>
      <c r="Y8" s="3323" t="s">
        <v>959</v>
      </c>
      <c r="Z8" s="3325"/>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2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1"/>
      <c r="F10" s="899">
        <f>ROUND(100/'数据-取费表'!G16,0)</f>
        <v>103</v>
      </c>
      <c r="G10" s="2111"/>
      <c r="H10" s="899">
        <f>ROUND(100/'数据-取费表'!G16,0)</f>
        <v>103</v>
      </c>
      <c r="I10" s="2111"/>
      <c r="J10" s="899">
        <f>ROUND(100/'数据-取费表'!G16,0)</f>
        <v>103</v>
      </c>
      <c r="K10" s="1031"/>
      <c r="L10" s="1032"/>
      <c r="M10" s="1033"/>
      <c r="N10" s="1033"/>
      <c r="O10" s="1034"/>
      <c r="P10" s="3326"/>
      <c r="Q10" s="796" t="str">
        <f t="shared" si="6"/>
        <v>土地使用年限（年）</v>
      </c>
      <c r="R10" s="1071" t="s">
        <v>956</v>
      </c>
      <c r="S10" s="1072">
        <f t="shared" si="0"/>
        <v>103</v>
      </c>
      <c r="T10" s="1071" t="s">
        <v>956</v>
      </c>
      <c r="U10" s="1072">
        <f t="shared" si="1"/>
        <v>103</v>
      </c>
      <c r="V10" s="1071" t="s">
        <v>956</v>
      </c>
      <c r="W10" s="1072">
        <f t="shared" si="2"/>
        <v>103</v>
      </c>
      <c r="X10" s="1073"/>
      <c r="Y10" s="3302"/>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26"/>
      <c r="Q11" s="796" t="str">
        <f t="shared" si="6"/>
        <v>容积率</v>
      </c>
      <c r="R11" s="1071" t="s">
        <v>956</v>
      </c>
      <c r="S11" s="1072">
        <f t="shared" si="0"/>
        <v>105</v>
      </c>
      <c r="T11" s="1071" t="s">
        <v>956</v>
      </c>
      <c r="U11" s="1072">
        <f t="shared" si="1"/>
        <v>105</v>
      </c>
      <c r="V11" s="1071" t="s">
        <v>956</v>
      </c>
      <c r="W11" s="1072">
        <f t="shared" si="2"/>
        <v>100</v>
      </c>
      <c r="X11" s="1073"/>
      <c r="Y11" s="3302"/>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1"/>
      <c r="F12" s="899">
        <f>SUMIF(81:81,E12,82:82)-SUMIF(81:81,C12,82:82)+100</f>
        <v>100</v>
      </c>
      <c r="G12" s="2111"/>
      <c r="H12" s="899">
        <f>SUMIF(81:81,G12,82:82)-SUMIF(81:81,C12,82:82)+100</f>
        <v>100</v>
      </c>
      <c r="I12" s="1901"/>
      <c r="J12" s="899">
        <f>SUMIF(81:81,I12,82:82)-SUMIF(81:81,C12,82:82)+100</f>
        <v>100</v>
      </c>
      <c r="K12" s="1031"/>
      <c r="L12" s="1027"/>
      <c r="M12" s="1028"/>
      <c r="N12" s="1028"/>
      <c r="O12" s="1030"/>
      <c r="P12" s="3326"/>
      <c r="Q12" s="796" t="str">
        <f t="shared" si="6"/>
        <v>配建</v>
      </c>
      <c r="R12" s="1071" t="s">
        <v>956</v>
      </c>
      <c r="S12" s="1072">
        <f t="shared" si="0"/>
        <v>100</v>
      </c>
      <c r="T12" s="1071" t="s">
        <v>956</v>
      </c>
      <c r="U12" s="1072">
        <f t="shared" si="1"/>
        <v>100</v>
      </c>
      <c r="V12" s="1071" t="s">
        <v>956</v>
      </c>
      <c r="W12" s="1072">
        <f t="shared" si="2"/>
        <v>100</v>
      </c>
      <c r="X12" s="1073"/>
      <c r="Y12" s="3302"/>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2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2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28" t="s">
        <v>969</v>
      </c>
      <c r="Q15" s="642" t="str">
        <f t="shared" si="6"/>
        <v>居住社区成熟度</v>
      </c>
      <c r="R15" s="1075" t="s">
        <v>956</v>
      </c>
      <c r="S15" s="1076">
        <f t="shared" si="0"/>
        <v>105</v>
      </c>
      <c r="T15" s="1075" t="s">
        <v>956</v>
      </c>
      <c r="U15" s="1076">
        <f t="shared" si="1"/>
        <v>105</v>
      </c>
      <c r="V15" s="1075" t="s">
        <v>956</v>
      </c>
      <c r="W15" s="1076">
        <f t="shared" si="2"/>
        <v>105</v>
      </c>
      <c r="X15" s="1070"/>
      <c r="Y15" s="3328"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29"/>
      <c r="Q16" s="642"/>
      <c r="R16" s="1075"/>
      <c r="S16" s="1076"/>
      <c r="T16" s="1075"/>
      <c r="U16" s="1076"/>
      <c r="V16" s="1075"/>
      <c r="W16" s="1076"/>
      <c r="X16" s="1070"/>
      <c r="Y16" s="3329"/>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29"/>
      <c r="Q17" s="642" t="str">
        <f>B17</f>
        <v>商业繁华度</v>
      </c>
      <c r="R17" s="1075" t="s">
        <v>956</v>
      </c>
      <c r="S17" s="1076">
        <f>F17</f>
        <v>103</v>
      </c>
      <c r="T17" s="1075" t="s">
        <v>956</v>
      </c>
      <c r="U17" s="1076">
        <f>H17</f>
        <v>103</v>
      </c>
      <c r="V17" s="1075" t="s">
        <v>956</v>
      </c>
      <c r="W17" s="1076">
        <f>J17</f>
        <v>103</v>
      </c>
      <c r="X17" s="1070"/>
      <c r="Y17" s="3329"/>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29"/>
      <c r="Q18" s="642"/>
      <c r="R18" s="1075"/>
      <c r="S18" s="1076"/>
      <c r="T18" s="1075"/>
      <c r="U18" s="1076"/>
      <c r="V18" s="1075"/>
      <c r="W18" s="1076"/>
      <c r="X18" s="1070"/>
      <c r="Y18" s="3329"/>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29"/>
      <c r="Q19" s="642" t="str">
        <f>B19</f>
        <v>办公集聚程度</v>
      </c>
      <c r="R19" s="1075" t="s">
        <v>956</v>
      </c>
      <c r="S19" s="1076">
        <f>F19</f>
        <v>100</v>
      </c>
      <c r="T19" s="1075" t="s">
        <v>956</v>
      </c>
      <c r="U19" s="1076">
        <f>H19</f>
        <v>100</v>
      </c>
      <c r="V19" s="1075" t="s">
        <v>956</v>
      </c>
      <c r="W19" s="1076">
        <f>J19</f>
        <v>100</v>
      </c>
      <c r="X19" s="1070"/>
      <c r="Y19" s="3329"/>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29"/>
      <c r="Q20" s="642"/>
      <c r="R20" s="1075"/>
      <c r="S20" s="1076"/>
      <c r="T20" s="1075"/>
      <c r="U20" s="1076"/>
      <c r="V20" s="1075"/>
      <c r="W20" s="1076"/>
      <c r="X20" s="1070"/>
      <c r="Y20" s="3329"/>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29"/>
      <c r="Q21" s="642" t="str">
        <f>B21</f>
        <v>交通便捷度</v>
      </c>
      <c r="R21" s="1075" t="s">
        <v>956</v>
      </c>
      <c r="S21" s="1076">
        <f>F21</f>
        <v>103</v>
      </c>
      <c r="T21" s="1075" t="s">
        <v>956</v>
      </c>
      <c r="U21" s="1076">
        <f>H21</f>
        <v>103</v>
      </c>
      <c r="V21" s="1075" t="s">
        <v>956</v>
      </c>
      <c r="W21" s="1076">
        <f>J21</f>
        <v>103</v>
      </c>
      <c r="X21" s="1070"/>
      <c r="Y21" s="3329"/>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29"/>
      <c r="Q22" s="642"/>
      <c r="R22" s="1075"/>
      <c r="S22" s="1076"/>
      <c r="T22" s="1075"/>
      <c r="U22" s="1076"/>
      <c r="V22" s="1075"/>
      <c r="W22" s="1076"/>
      <c r="X22" s="1070"/>
      <c r="Y22" s="3329"/>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29"/>
      <c r="Q23" s="642" t="str">
        <f t="shared" ref="Q23:Q38" si="8">B23</f>
        <v>区域土地利用方向</v>
      </c>
      <c r="R23" s="1075" t="s">
        <v>956</v>
      </c>
      <c r="S23" s="1076">
        <f>F23</f>
        <v>100</v>
      </c>
      <c r="T23" s="1075" t="s">
        <v>956</v>
      </c>
      <c r="U23" s="1076">
        <f>H23</f>
        <v>100</v>
      </c>
      <c r="V23" s="1075" t="s">
        <v>956</v>
      </c>
      <c r="W23" s="1076">
        <f>J23</f>
        <v>100</v>
      </c>
      <c r="X23" s="1070"/>
      <c r="Y23" s="3329"/>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29"/>
      <c r="Q24" s="642"/>
      <c r="R24" s="1075"/>
      <c r="S24" s="1076"/>
      <c r="T24" s="1075"/>
      <c r="U24" s="1076"/>
      <c r="V24" s="1075"/>
      <c r="W24" s="1076"/>
      <c r="X24" s="1070"/>
      <c r="Y24" s="3329"/>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29"/>
      <c r="Q25" s="642" t="str">
        <f t="shared" si="8"/>
        <v>自然及人文环境状况</v>
      </c>
      <c r="R25" s="1075" t="s">
        <v>956</v>
      </c>
      <c r="S25" s="1076">
        <f>F25</f>
        <v>103</v>
      </c>
      <c r="T25" s="1075" t="s">
        <v>956</v>
      </c>
      <c r="U25" s="1076">
        <f>H25</f>
        <v>103</v>
      </c>
      <c r="V25" s="1075" t="s">
        <v>956</v>
      </c>
      <c r="W25" s="1076">
        <f>J25</f>
        <v>103</v>
      </c>
      <c r="X25" s="1070"/>
      <c r="Y25" s="3329"/>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29"/>
      <c r="Q26" s="642"/>
      <c r="R26" s="1075"/>
      <c r="S26" s="1076"/>
      <c r="T26" s="1075"/>
      <c r="U26" s="1076"/>
      <c r="V26" s="1075"/>
      <c r="W26" s="1076"/>
      <c r="X26" s="1070"/>
      <c r="Y26" s="3329"/>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29"/>
      <c r="Q27" s="796" t="str">
        <f t="shared" si="8"/>
        <v>公共配套设施</v>
      </c>
      <c r="R27" s="1071" t="s">
        <v>956</v>
      </c>
      <c r="S27" s="1072">
        <f>F27</f>
        <v>103</v>
      </c>
      <c r="T27" s="1071" t="s">
        <v>956</v>
      </c>
      <c r="U27" s="1072">
        <f>H27</f>
        <v>103</v>
      </c>
      <c r="V27" s="1071" t="s">
        <v>956</v>
      </c>
      <c r="W27" s="1072">
        <f>J27</f>
        <v>103</v>
      </c>
      <c r="X27" s="1073"/>
      <c r="Y27" s="3329"/>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29"/>
      <c r="Q28" s="796"/>
      <c r="R28" s="1071"/>
      <c r="S28" s="1072"/>
      <c r="T28" s="1071"/>
      <c r="U28" s="1072"/>
      <c r="V28" s="1071"/>
      <c r="W28" s="1072"/>
      <c r="X28" s="1073"/>
      <c r="Y28" s="3329"/>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29"/>
      <c r="Q29" s="796" t="str">
        <f t="shared" ref="Q29" si="9">B29</f>
        <v>基础设施水平</v>
      </c>
      <c r="R29" s="1071" t="s">
        <v>956</v>
      </c>
      <c r="S29" s="1072">
        <f>F29</f>
        <v>100</v>
      </c>
      <c r="T29" s="1071" t="s">
        <v>956</v>
      </c>
      <c r="U29" s="1072">
        <f>H29</f>
        <v>100</v>
      </c>
      <c r="V29" s="1071" t="s">
        <v>956</v>
      </c>
      <c r="W29" s="1072">
        <f>J29</f>
        <v>100</v>
      </c>
      <c r="X29" s="1073"/>
      <c r="Y29" s="3329"/>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29"/>
      <c r="Q30" s="796"/>
      <c r="R30" s="1071"/>
      <c r="S30" s="1072"/>
      <c r="T30" s="1071"/>
      <c r="U30" s="1072"/>
      <c r="V30" s="1071"/>
      <c r="W30" s="1072"/>
      <c r="X30" s="1073"/>
      <c r="Y30" s="3329"/>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29"/>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29"/>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29"/>
      <c r="Q32" s="642" t="str">
        <f t="shared" si="8"/>
        <v>毗邻道路的类型与等级</v>
      </c>
      <c r="R32" s="1075" t="s">
        <v>956</v>
      </c>
      <c r="S32" s="1076">
        <f t="shared" si="10"/>
        <v>100</v>
      </c>
      <c r="T32" s="1075" t="s">
        <v>956</v>
      </c>
      <c r="U32" s="1076">
        <f t="shared" si="11"/>
        <v>100</v>
      </c>
      <c r="V32" s="1075" t="s">
        <v>956</v>
      </c>
      <c r="W32" s="1076">
        <f t="shared" si="12"/>
        <v>100</v>
      </c>
      <c r="X32" s="1070"/>
      <c r="Y32" s="3329"/>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29"/>
      <c r="Q33" s="642"/>
      <c r="R33" s="1075"/>
      <c r="S33" s="1076"/>
      <c r="T33" s="1075"/>
      <c r="U33" s="1076"/>
      <c r="V33" s="1075"/>
      <c r="W33" s="1076"/>
      <c r="X33" s="1070"/>
      <c r="Y33" s="3329"/>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29"/>
      <c r="Q34" s="642" t="str">
        <f t="shared" si="8"/>
        <v>土地级别</v>
      </c>
      <c r="R34" s="1075" t="s">
        <v>956</v>
      </c>
      <c r="S34" s="1076">
        <f t="shared" si="10"/>
        <v>100</v>
      </c>
      <c r="T34" s="1075" t="s">
        <v>956</v>
      </c>
      <c r="U34" s="1076">
        <f t="shared" si="11"/>
        <v>100</v>
      </c>
      <c r="V34" s="1075" t="s">
        <v>956</v>
      </c>
      <c r="W34" s="1076">
        <f t="shared" si="12"/>
        <v>100</v>
      </c>
      <c r="X34" s="1070"/>
      <c r="Y34" s="3329"/>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29"/>
      <c r="Q35" s="642">
        <f t="shared" si="8"/>
        <v>111</v>
      </c>
      <c r="R35" s="1075" t="s">
        <v>956</v>
      </c>
      <c r="S35" s="1076">
        <f t="shared" si="10"/>
        <v>100</v>
      </c>
      <c r="T35" s="1075" t="s">
        <v>956</v>
      </c>
      <c r="U35" s="1076">
        <f t="shared" si="11"/>
        <v>100</v>
      </c>
      <c r="V35" s="1075" t="s">
        <v>956</v>
      </c>
      <c r="W35" s="1076">
        <f t="shared" si="12"/>
        <v>100</v>
      </c>
      <c r="X35" s="1070"/>
      <c r="Y35" s="3329"/>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30" t="s">
        <v>982</v>
      </c>
      <c r="Q36" s="642">
        <f t="shared" si="8"/>
        <v>111</v>
      </c>
      <c r="R36" s="1075" t="s">
        <v>956</v>
      </c>
      <c r="S36" s="1076">
        <f t="shared" si="10"/>
        <v>100</v>
      </c>
      <c r="T36" s="1075" t="s">
        <v>956</v>
      </c>
      <c r="U36" s="1076">
        <f t="shared" si="11"/>
        <v>100</v>
      </c>
      <c r="V36" s="1075" t="s">
        <v>956</v>
      </c>
      <c r="W36" s="1076">
        <f t="shared" si="12"/>
        <v>100</v>
      </c>
      <c r="X36" s="1070"/>
      <c r="Y36" s="3331" t="s">
        <v>982</v>
      </c>
      <c r="Z36" s="1059">
        <f t="shared" si="13"/>
        <v>111</v>
      </c>
      <c r="AA36" s="1059">
        <f t="shared" si="3"/>
        <v>1</v>
      </c>
      <c r="AB36" s="1059">
        <f t="shared" si="4"/>
        <v>1</v>
      </c>
      <c r="AC36" s="1059">
        <f t="shared" si="5"/>
        <v>1</v>
      </c>
    </row>
    <row r="37" spans="1:29" s="858" customFormat="1" ht="15">
      <c r="A37" s="941"/>
      <c r="B37" s="2112">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31"/>
      <c r="Q37" s="642">
        <f t="shared" si="8"/>
        <v>111</v>
      </c>
      <c r="R37" s="1077" t="s">
        <v>956</v>
      </c>
      <c r="S37" s="1078">
        <f t="shared" si="10"/>
        <v>100</v>
      </c>
      <c r="T37" s="1077" t="s">
        <v>956</v>
      </c>
      <c r="U37" s="1078">
        <f t="shared" si="11"/>
        <v>100</v>
      </c>
      <c r="V37" s="1077" t="s">
        <v>956</v>
      </c>
      <c r="W37" s="1078">
        <f t="shared" si="12"/>
        <v>100</v>
      </c>
      <c r="X37" s="1079"/>
      <c r="Y37" s="3331"/>
      <c r="Z37" s="1084">
        <f t="shared" si="13"/>
        <v>111</v>
      </c>
      <c r="AA37" s="1059">
        <f t="shared" si="3"/>
        <v>1</v>
      </c>
      <c r="AB37" s="1059">
        <f t="shared" si="4"/>
        <v>1</v>
      </c>
      <c r="AC37" s="1059">
        <f t="shared" si="5"/>
        <v>1</v>
      </c>
    </row>
    <row r="38" spans="1:29" ht="15">
      <c r="A38" s="948" t="s">
        <v>983</v>
      </c>
      <c r="B38" s="946" t="s">
        <v>984</v>
      </c>
      <c r="C38" s="3111">
        <f>工程进度!B5</f>
        <v>56182.22</v>
      </c>
      <c r="D38" s="877">
        <v>100</v>
      </c>
      <c r="E38" s="947">
        <f>土地!I5</f>
        <v>69893.14</v>
      </c>
      <c r="F38" s="877">
        <f>LOOKUP(E38,116:116,117:117)-LOOKUP(C38,116:116,117:117)+100</f>
        <v>100</v>
      </c>
      <c r="G38" s="947">
        <f>土地!I16</f>
        <v>51409.62</v>
      </c>
      <c r="H38" s="877">
        <f>LOOKUP(G38,116:116,117:117)-LOOKUP(C38,116:116,117:117)+100</f>
        <v>100</v>
      </c>
      <c r="I38" s="1048">
        <f>土地!I17</f>
        <v>40739.620000000003</v>
      </c>
      <c r="J38" s="877">
        <f>LOOKUP(I38,116:116,117:117)-LOOKUP(C38,116:116,117:117)+100</f>
        <v>98</v>
      </c>
      <c r="K38" s="1044"/>
      <c r="L38" s="1038"/>
      <c r="M38" s="972"/>
      <c r="N38" s="972"/>
      <c r="O38" s="1037"/>
      <c r="P38" s="3331"/>
      <c r="Q38" s="642" t="str">
        <f t="shared" si="8"/>
        <v>宗地面积</v>
      </c>
      <c r="R38" s="1075" t="s">
        <v>956</v>
      </c>
      <c r="S38" s="1076">
        <f t="shared" si="10"/>
        <v>100</v>
      </c>
      <c r="T38" s="1075" t="s">
        <v>956</v>
      </c>
      <c r="U38" s="1076">
        <f t="shared" si="11"/>
        <v>100</v>
      </c>
      <c r="V38" s="1075" t="s">
        <v>956</v>
      </c>
      <c r="W38" s="1076">
        <f t="shared" si="12"/>
        <v>98</v>
      </c>
      <c r="X38" s="1070"/>
      <c r="Y38" s="3331"/>
      <c r="Z38" s="1059" t="str">
        <f t="shared" si="13"/>
        <v>宗地面积</v>
      </c>
      <c r="AA38" s="1059">
        <f t="shared" si="3"/>
        <v>1</v>
      </c>
      <c r="AB38" s="1059">
        <f t="shared" si="4"/>
        <v>1</v>
      </c>
      <c r="AC38" s="1059">
        <f t="shared" si="5"/>
        <v>1.0204081632653061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31"/>
      <c r="Q39" s="642" t="str">
        <f t="shared" ref="Q39:Q45" si="14">B39</f>
        <v>宗地形状</v>
      </c>
      <c r="R39" s="1075" t="s">
        <v>956</v>
      </c>
      <c r="S39" s="1076">
        <f t="shared" si="10"/>
        <v>100</v>
      </c>
      <c r="T39" s="1075" t="s">
        <v>956</v>
      </c>
      <c r="U39" s="1076">
        <f t="shared" si="11"/>
        <v>100</v>
      </c>
      <c r="V39" s="1075" t="s">
        <v>956</v>
      </c>
      <c r="W39" s="1076">
        <f t="shared" si="12"/>
        <v>100</v>
      </c>
      <c r="X39" s="1070"/>
      <c r="Y39" s="3331"/>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31"/>
      <c r="Q40" s="642" t="str">
        <f t="shared" si="14"/>
        <v>临街宽度及深度</v>
      </c>
      <c r="R40" s="1075" t="s">
        <v>956</v>
      </c>
      <c r="S40" s="1076">
        <f t="shared" si="10"/>
        <v>100</v>
      </c>
      <c r="T40" s="1075" t="s">
        <v>956</v>
      </c>
      <c r="U40" s="1076">
        <f t="shared" si="11"/>
        <v>100</v>
      </c>
      <c r="V40" s="1075" t="s">
        <v>956</v>
      </c>
      <c r="W40" s="1076">
        <f t="shared" si="12"/>
        <v>100</v>
      </c>
      <c r="X40" s="1070"/>
      <c r="Y40" s="3331"/>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31"/>
      <c r="Q41" s="642" t="str">
        <f t="shared" si="14"/>
        <v>宗地开发程度</v>
      </c>
      <c r="R41" s="1071" t="s">
        <v>956</v>
      </c>
      <c r="S41" s="1072">
        <f t="shared" si="10"/>
        <v>100</v>
      </c>
      <c r="T41" s="1071" t="s">
        <v>956</v>
      </c>
      <c r="U41" s="1072">
        <f t="shared" si="11"/>
        <v>100</v>
      </c>
      <c r="V41" s="1071" t="s">
        <v>956</v>
      </c>
      <c r="W41" s="1072">
        <f t="shared" si="12"/>
        <v>98</v>
      </c>
      <c r="X41" s="1073"/>
      <c r="Y41" s="3331"/>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31" t="s">
        <v>982</v>
      </c>
      <c r="Q42" s="642" t="str">
        <f t="shared" si="14"/>
        <v>工程地质条件</v>
      </c>
      <c r="R42" s="1075" t="s">
        <v>956</v>
      </c>
      <c r="S42" s="1076">
        <f t="shared" si="10"/>
        <v>100</v>
      </c>
      <c r="T42" s="1075" t="s">
        <v>956</v>
      </c>
      <c r="U42" s="1076">
        <f t="shared" si="11"/>
        <v>100</v>
      </c>
      <c r="V42" s="1075" t="s">
        <v>956</v>
      </c>
      <c r="W42" s="1076">
        <f t="shared" si="12"/>
        <v>100</v>
      </c>
      <c r="X42" s="1070"/>
      <c r="Y42" s="3331"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31"/>
      <c r="Q43" s="642">
        <f t="shared" si="14"/>
        <v>111</v>
      </c>
      <c r="R43" s="1075" t="s">
        <v>956</v>
      </c>
      <c r="S43" s="1076">
        <f t="shared" si="10"/>
        <v>100</v>
      </c>
      <c r="T43" s="1075" t="s">
        <v>956</v>
      </c>
      <c r="U43" s="1076">
        <f t="shared" si="11"/>
        <v>100</v>
      </c>
      <c r="V43" s="1075" t="s">
        <v>956</v>
      </c>
      <c r="W43" s="1076">
        <f t="shared" si="12"/>
        <v>100</v>
      </c>
      <c r="X43" s="1070"/>
      <c r="Y43" s="3331"/>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31"/>
      <c r="Q44" s="642">
        <f t="shared" si="14"/>
        <v>111</v>
      </c>
      <c r="R44" s="1075" t="s">
        <v>956</v>
      </c>
      <c r="S44" s="1076">
        <f t="shared" si="10"/>
        <v>100</v>
      </c>
      <c r="T44" s="1075" t="s">
        <v>956</v>
      </c>
      <c r="U44" s="1076">
        <f t="shared" si="11"/>
        <v>100</v>
      </c>
      <c r="V44" s="1075" t="s">
        <v>956</v>
      </c>
      <c r="W44" s="1076">
        <f t="shared" si="12"/>
        <v>100</v>
      </c>
      <c r="X44" s="1070"/>
      <c r="Y44" s="3331"/>
      <c r="Z44" s="1059">
        <f t="shared" si="13"/>
        <v>111</v>
      </c>
      <c r="AA44" s="1059">
        <f t="shared" si="3"/>
        <v>1</v>
      </c>
      <c r="AB44" s="1059">
        <f t="shared" si="4"/>
        <v>1</v>
      </c>
      <c r="AC44" s="1059">
        <f t="shared" si="5"/>
        <v>1</v>
      </c>
    </row>
    <row r="45" spans="1:29" s="858" customFormat="1" ht="15">
      <c r="A45" s="953"/>
      <c r="B45" s="952">
        <v>111</v>
      </c>
      <c r="C45" s="954"/>
      <c r="D45" s="2113">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31"/>
      <c r="Q45" s="642">
        <f t="shared" si="14"/>
        <v>111</v>
      </c>
      <c r="R45" s="1077" t="s">
        <v>956</v>
      </c>
      <c r="S45" s="1078">
        <f t="shared" si="10"/>
        <v>100</v>
      </c>
      <c r="T45" s="1077" t="s">
        <v>956</v>
      </c>
      <c r="U45" s="1078">
        <f t="shared" si="11"/>
        <v>100</v>
      </c>
      <c r="V45" s="1077" t="s">
        <v>956</v>
      </c>
      <c r="W45" s="1078">
        <f t="shared" si="12"/>
        <v>100</v>
      </c>
      <c r="X45" s="1079"/>
      <c r="Y45" s="3331"/>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26" t="str">
        <f>A46</f>
        <v>成交单价</v>
      </c>
      <c r="Q46" s="3326"/>
      <c r="R46" s="3327">
        <f>E46</f>
        <v>18524</v>
      </c>
      <c r="S46" s="3327"/>
      <c r="T46" s="3327">
        <f>G46</f>
        <v>19858</v>
      </c>
      <c r="U46" s="3327"/>
      <c r="V46" s="3327">
        <f>I46</f>
        <v>18671</v>
      </c>
      <c r="W46" s="3327"/>
      <c r="X46" s="1012"/>
      <c r="Y46" s="1085"/>
      <c r="Z46" s="1012"/>
      <c r="AA46" s="1012"/>
      <c r="AB46" s="1012"/>
      <c r="AC46" s="1012"/>
    </row>
    <row r="47" spans="1:29" ht="15">
      <c r="A47" s="963" t="s">
        <v>993</v>
      </c>
      <c r="B47" s="964"/>
      <c r="C47" s="965">
        <f>R48</f>
        <v>15577</v>
      </c>
      <c r="D47" s="966" t="s">
        <v>994</v>
      </c>
      <c r="E47" s="965">
        <f>R47</f>
        <v>14581</v>
      </c>
      <c r="F47" s="967"/>
      <c r="G47" s="968">
        <f>T47</f>
        <v>15854</v>
      </c>
      <c r="H47" s="967"/>
      <c r="I47" s="965">
        <f>V47</f>
        <v>16297</v>
      </c>
      <c r="J47" s="967"/>
      <c r="K47" s="1052">
        <f>F47+H47+J47</f>
        <v>0</v>
      </c>
      <c r="L47" s="1051"/>
      <c r="M47" s="972"/>
      <c r="N47" s="972"/>
      <c r="O47" s="972"/>
      <c r="P47" s="3326" t="str">
        <f>A47</f>
        <v>比较价值（元/平方米）</v>
      </c>
      <c r="Q47" s="3326"/>
      <c r="R47" s="3349">
        <f>ROUND(PRODUCT(R46,AA7:AA45),0)</f>
        <v>14581</v>
      </c>
      <c r="S47" s="3349"/>
      <c r="T47" s="3349">
        <f>ROUND(PRODUCT(T46,AB7:AB45),0)</f>
        <v>15854</v>
      </c>
      <c r="U47" s="3349"/>
      <c r="V47" s="3349">
        <f>ROUND(PRODUCT(V46,AC7:AC45),0)</f>
        <v>16297</v>
      </c>
      <c r="W47" s="3349"/>
      <c r="X47" s="1012"/>
      <c r="Y47" s="1012"/>
      <c r="Z47" s="1012"/>
      <c r="AA47" s="1012"/>
      <c r="AB47" s="1012"/>
      <c r="AC47" s="1012"/>
    </row>
    <row r="48" spans="1:29" ht="15">
      <c r="A48" s="969" t="s">
        <v>995</v>
      </c>
      <c r="B48" s="970"/>
      <c r="C48" s="971">
        <f>R48</f>
        <v>15577</v>
      </c>
      <c r="D48" s="971"/>
      <c r="E48" s="971"/>
      <c r="F48" s="971"/>
      <c r="G48" s="971"/>
      <c r="H48" s="971"/>
      <c r="I48" s="971"/>
      <c r="J48" s="971"/>
      <c r="K48" s="1053"/>
      <c r="L48" s="1051"/>
      <c r="M48" s="972"/>
      <c r="N48" s="972"/>
      <c r="O48" s="972"/>
      <c r="P48" s="3350" t="str">
        <f>A48</f>
        <v>估价对象XX用房的比较价值（楼面单价，元/平方米）</v>
      </c>
      <c r="Q48" s="3351"/>
      <c r="R48" s="3352">
        <f>ROUND(IF(D47="简单平均",AVERAGE(R47:W47),R47*F47+T47*H47+V47*J47),0)</f>
        <v>15577</v>
      </c>
      <c r="S48" s="3352"/>
      <c r="T48" s="3352"/>
      <c r="U48" s="3352"/>
      <c r="V48" s="3352"/>
      <c r="W48" s="3352"/>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0.27042041012276252</v>
      </c>
      <c r="F51" s="976" t="str">
        <f>IF(OR(E51&gt;=0.3,E51&lt;=-0.3),"超过30%","")</f>
        <v/>
      </c>
      <c r="G51" s="975">
        <f>IF(G46&lt;G47,G47/G46-1,G46/G47-1)</f>
        <v>0.25255456036331525</v>
      </c>
      <c r="H51" s="976" t="str">
        <f>IF(OR(G51&gt;=0.3,G51&lt;=-0.3),"超过30%","")</f>
        <v/>
      </c>
      <c r="I51" s="975">
        <f>IF(I46&lt;I47,I47/I46-1,I46/I47-1)</f>
        <v>0.14567098238939691</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8.7305397435018195E-2</v>
      </c>
      <c r="F52" s="976" t="str">
        <f>IF(OR(E52&gt;=0.2,E52&lt;=-0.2),"超过20%","")</f>
        <v/>
      </c>
      <c r="G52" s="975">
        <f>IF(G47&lt;I47,I47/G47-1,G47/I47-1)</f>
        <v>2.7942475085152019E-2</v>
      </c>
      <c r="H52" s="976" t="str">
        <f>IF(OR(G52&gt;=0.2,G52&lt;=-0.2),"超过20%","")</f>
        <v/>
      </c>
      <c r="I52" s="975">
        <f>IF(I47&lt;E47,E47/I47-1,I47/E47-1)</f>
        <v>0.11768740141279754</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4" t="s">
        <v>1004</v>
      </c>
      <c r="G55" s="3311" t="s">
        <v>1005</v>
      </c>
      <c r="H55" s="3335"/>
      <c r="I55" s="2116" t="s">
        <v>1006</v>
      </c>
      <c r="J55" s="2117">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15577</v>
      </c>
      <c r="C56" s="989">
        <v>1</v>
      </c>
      <c r="D56" s="990">
        <v>1</v>
      </c>
      <c r="E56" s="989">
        <f>'数据-汇总表'!E8+'数据-汇总表'!E9</f>
        <v>16259.26</v>
      </c>
      <c r="F56" s="2115">
        <f t="shared" ref="F56:F64" si="15">ROUND(B56*E56/10000,0)</f>
        <v>25327</v>
      </c>
      <c r="G56" s="3336"/>
      <c r="H56" s="3326"/>
      <c r="I56" s="2118">
        <v>1</v>
      </c>
      <c r="J56" s="2119">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1947</v>
      </c>
      <c r="C57" s="563">
        <f t="shared" ref="C57:C64" si="16">IF($C$55="北京市系数",I57,J57)</f>
        <v>0.5</v>
      </c>
      <c r="D57" s="993">
        <v>0.25</v>
      </c>
      <c r="E57" s="994"/>
      <c r="F57" s="2115">
        <f t="shared" si="15"/>
        <v>0</v>
      </c>
      <c r="G57" s="995" t="s">
        <v>1010</v>
      </c>
      <c r="H57" s="996" t="str">
        <f>项目基本情况!B37</f>
        <v>九级</v>
      </c>
      <c r="I57" s="2118">
        <f>SUMIF(修正!A57:A68,H57,修正!B57:B68)</f>
        <v>0.5</v>
      </c>
      <c r="J57" s="2120"/>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779</v>
      </c>
      <c r="C58" s="563">
        <f t="shared" si="16"/>
        <v>0.2</v>
      </c>
      <c r="D58" s="993">
        <v>0.25</v>
      </c>
      <c r="E58" s="994"/>
      <c r="F58" s="2115">
        <f t="shared" si="15"/>
        <v>0</v>
      </c>
      <c r="G58" s="997"/>
      <c r="H58" s="996" t="str">
        <f>项目基本情况!B37</f>
        <v>九级</v>
      </c>
      <c r="I58" s="2118">
        <f>SUMIF(修正!A57:A68,H58,修正!C57:C68)</f>
        <v>0.2</v>
      </c>
      <c r="J58" s="2120"/>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779</v>
      </c>
      <c r="C59" s="563">
        <f t="shared" si="16"/>
        <v>0.2</v>
      </c>
      <c r="D59" s="993">
        <v>0.25</v>
      </c>
      <c r="E59" s="994"/>
      <c r="F59" s="2115">
        <f t="shared" si="15"/>
        <v>0</v>
      </c>
      <c r="G59" s="997"/>
      <c r="H59" s="996" t="str">
        <f>项目基本情况!B37</f>
        <v>九级</v>
      </c>
      <c r="I59" s="2118">
        <f>SUMIF(修正!A57:A68,H59,修正!D57:D68)</f>
        <v>0.2</v>
      </c>
      <c r="J59" s="2120"/>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779</v>
      </c>
      <c r="C60" s="563">
        <f t="shared" si="16"/>
        <v>0.2</v>
      </c>
      <c r="D60" s="993">
        <v>0.25</v>
      </c>
      <c r="E60" s="164">
        <f>'数据-汇总表'!E11</f>
        <v>0</v>
      </c>
      <c r="F60" s="2115">
        <f t="shared" si="15"/>
        <v>0</v>
      </c>
      <c r="G60" s="999" t="s">
        <v>1014</v>
      </c>
      <c r="H60" s="996" t="str">
        <f>项目基本情况!C37</f>
        <v>九级</v>
      </c>
      <c r="I60" s="2118">
        <f>SUMIF(修正!A57:A68,H60,修正!E57:E68)</f>
        <v>0.2</v>
      </c>
      <c r="J60" s="2120"/>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779</v>
      </c>
      <c r="C61" s="563">
        <f t="shared" si="16"/>
        <v>0.2</v>
      </c>
      <c r="D61" s="993">
        <v>0.25</v>
      </c>
      <c r="E61" s="164">
        <f>'数据-汇总表'!E12</f>
        <v>369.19</v>
      </c>
      <c r="F61" s="2115">
        <f t="shared" si="15"/>
        <v>29</v>
      </c>
      <c r="G61" s="1000" t="s">
        <v>1016</v>
      </c>
      <c r="H61" s="996" t="str">
        <f>IF(G61="商业",项目基本情况!B37,IF(G61="办公",项目基本情况!C37,IF(G61="住宅",项目基本情况!D37,项目基本情况!E37)))</f>
        <v>九级</v>
      </c>
      <c r="I61" s="2118">
        <f>SUMIF(修正!A57:A68,H61,修正!F57:F68)</f>
        <v>0.2</v>
      </c>
      <c r="J61" s="2120"/>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389</v>
      </c>
      <c r="C62" s="563">
        <f t="shared" si="16"/>
        <v>0.1</v>
      </c>
      <c r="D62" s="993">
        <v>0.25</v>
      </c>
      <c r="E62" s="164">
        <f>'数据-汇总表'!E13</f>
        <v>32774.76</v>
      </c>
      <c r="F62" s="2115">
        <f t="shared" si="15"/>
        <v>1275</v>
      </c>
      <c r="G62" s="1000" t="s">
        <v>1018</v>
      </c>
      <c r="H62" s="996" t="str">
        <f>IF(G62="商业",项目基本情况!B37,IF(G62="办公",项目基本情况!C37,IF(G62="住宅",项目基本情况!D37,项目基本情况!E37)))</f>
        <v>九级</v>
      </c>
      <c r="I62" s="2118">
        <f>SUMIF(修正!A57:A68,H62,修正!G57:G68)</f>
        <v>0.1</v>
      </c>
      <c r="J62" s="2120"/>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389</v>
      </c>
      <c r="C63" s="563">
        <f t="shared" si="16"/>
        <v>0.1</v>
      </c>
      <c r="D63" s="993">
        <v>0.25</v>
      </c>
      <c r="E63" s="164">
        <f>'数据-汇总表'!E14</f>
        <v>0</v>
      </c>
      <c r="F63" s="2115">
        <f t="shared" si="15"/>
        <v>0</v>
      </c>
      <c r="G63" s="999" t="s">
        <v>1010</v>
      </c>
      <c r="H63" s="996" t="str">
        <f>项目基本情况!B37</f>
        <v>九级</v>
      </c>
      <c r="I63" s="2118">
        <f>SUMIF(修正!A57:A68,H63,修正!G57:G68)</f>
        <v>0.1</v>
      </c>
      <c r="J63" s="2120"/>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389</v>
      </c>
      <c r="C64" s="563">
        <f t="shared" si="16"/>
        <v>0.1</v>
      </c>
      <c r="D64" s="993">
        <v>0.25</v>
      </c>
      <c r="E64" s="164">
        <f>'数据-汇总表'!E15</f>
        <v>0</v>
      </c>
      <c r="F64" s="2115">
        <f t="shared" si="15"/>
        <v>0</v>
      </c>
      <c r="G64" s="1001" t="s">
        <v>1014</v>
      </c>
      <c r="H64" s="1002" t="str">
        <f>项目基本情况!C37</f>
        <v>九级</v>
      </c>
      <c r="I64" s="2121">
        <f>SUMIF(修正!A57:A68,H64,修正!G57:G68)</f>
        <v>0.1</v>
      </c>
      <c r="J64" s="2122"/>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26631</v>
      </c>
      <c r="G65" s="2123"/>
      <c r="H65" s="2123"/>
      <c r="I65" s="2123"/>
      <c r="J65" s="2123"/>
      <c r="K65" s="2128"/>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2024-7-1</v>
      </c>
      <c r="D67" s="1010">
        <f>EDATE(C67,-3)</f>
        <v>45383</v>
      </c>
      <c r="E67" s="1010">
        <f>EDATE(D67,-3)</f>
        <v>45292</v>
      </c>
      <c r="F67" s="1010">
        <f t="shared" ref="F67:O67" si="18">EDATE(E67,-3)</f>
        <v>45200</v>
      </c>
      <c r="G67" s="1010">
        <f t="shared" si="18"/>
        <v>45108</v>
      </c>
      <c r="H67" s="1010">
        <f t="shared" si="18"/>
        <v>45017</v>
      </c>
      <c r="I67" s="1010">
        <f t="shared" si="18"/>
        <v>44927</v>
      </c>
      <c r="J67" s="1010">
        <f t="shared" si="18"/>
        <v>44835</v>
      </c>
      <c r="K67" s="1010">
        <f t="shared" si="18"/>
        <v>44743</v>
      </c>
      <c r="L67" s="1010">
        <f t="shared" si="18"/>
        <v>44652</v>
      </c>
      <c r="M67" s="1010">
        <f t="shared" si="18"/>
        <v>44562</v>
      </c>
      <c r="N67" s="1010">
        <f t="shared" si="18"/>
        <v>44470</v>
      </c>
      <c r="O67" s="1010">
        <f t="shared" si="18"/>
        <v>44378</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2024-3</v>
      </c>
      <c r="D69" s="1088" t="str">
        <f>YEAR(D67)&amp;"-"&amp;ROUNDUP(MONTH(D67)/3,0)</f>
        <v>2024-2</v>
      </c>
      <c r="E69" s="1088" t="str">
        <f t="shared" ref="E69:O69" si="19">YEAR(E67)&amp;"-"&amp;ROUNDUP(MONTH(E67)/3,0)</f>
        <v>2024-1</v>
      </c>
      <c r="F69" s="1088" t="str">
        <f t="shared" si="19"/>
        <v>2023-4</v>
      </c>
      <c r="G69" s="1088" t="str">
        <f t="shared" si="19"/>
        <v>2023-3</v>
      </c>
      <c r="H69" s="1088" t="str">
        <f t="shared" si="19"/>
        <v>2023-2</v>
      </c>
      <c r="I69" s="1088" t="str">
        <f t="shared" si="19"/>
        <v>2023-1</v>
      </c>
      <c r="J69" s="1088" t="str">
        <f t="shared" si="19"/>
        <v>2022-4</v>
      </c>
      <c r="K69" s="1088" t="str">
        <f t="shared" si="19"/>
        <v>2022-3</v>
      </c>
      <c r="L69" s="1088" t="str">
        <f t="shared" si="19"/>
        <v>2022-2</v>
      </c>
      <c r="M69" s="1088" t="str">
        <f t="shared" si="19"/>
        <v>2022-1</v>
      </c>
      <c r="N69" s="1088" t="str">
        <f t="shared" si="19"/>
        <v>2021-4</v>
      </c>
      <c r="O69" s="1088" t="str">
        <f t="shared" si="19"/>
        <v>2021-3</v>
      </c>
      <c r="P69" s="1133"/>
      <c r="Q69" s="1133"/>
      <c r="R69" s="1133"/>
      <c r="S69" s="1133"/>
      <c r="T69" s="1133"/>
      <c r="U69" s="1133"/>
      <c r="V69" s="1133"/>
      <c r="W69" s="1133"/>
      <c r="X69" s="1133"/>
      <c r="Y69" s="1133"/>
      <c r="Z69" s="1133"/>
      <c r="AA69" s="1133"/>
      <c r="AB69" s="1133"/>
      <c r="AC69" s="1133"/>
    </row>
    <row r="70" spans="1:29" s="856" customFormat="1" ht="30" customHeight="1">
      <c r="A70" s="2124"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29"/>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5"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6" t="s">
        <v>1046</v>
      </c>
      <c r="D118" s="2126" t="s">
        <v>986</v>
      </c>
      <c r="E118" s="2126" t="s">
        <v>1047</v>
      </c>
      <c r="F118" s="2126"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6" t="s">
        <v>1051</v>
      </c>
      <c r="G120" s="2126"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7" t="s">
        <v>236</v>
      </c>
      <c r="D122" s="2127" t="s">
        <v>246</v>
      </c>
      <c r="E122" s="2127" t="s">
        <v>255</v>
      </c>
      <c r="F122" s="2127" t="s">
        <v>263</v>
      </c>
      <c r="G122" s="2127"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7" customWidth="1"/>
    <col min="2" max="6" width="21.875" style="2107" hidden="1" customWidth="1"/>
    <col min="7" max="11" width="21.875" style="2107" customWidth="1"/>
    <col min="12" max="13" width="21.875" style="2107" hidden="1" customWidth="1"/>
    <col min="14" max="14" width="21.875" style="2107" customWidth="1"/>
    <col min="15" max="17" width="21.875" style="2107" hidden="1" customWidth="1"/>
    <col min="18" max="25" width="21.875" style="2107" customWidth="1"/>
    <col min="26" max="28" width="21.875" style="2108" customWidth="1"/>
    <col min="29" max="52" width="21.875" style="2107" customWidth="1"/>
    <col min="53" max="16384" width="8.75" style="2107"/>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3154</v>
      </c>
      <c r="M1" s="3088" t="s">
        <v>1066</v>
      </c>
      <c r="N1" s="3088" t="s">
        <v>3155</v>
      </c>
      <c r="O1" s="3088" t="s">
        <v>1067</v>
      </c>
      <c r="P1" s="3088" t="s">
        <v>1068</v>
      </c>
      <c r="Q1" s="3088" t="s">
        <v>1069</v>
      </c>
      <c r="R1" s="3088" t="s">
        <v>1070</v>
      </c>
      <c r="S1" s="3088" t="s">
        <v>1071</v>
      </c>
      <c r="T1" s="3088" t="s">
        <v>1072</v>
      </c>
      <c r="U1" s="3088" t="s">
        <v>1073</v>
      </c>
      <c r="V1" s="3088" t="s">
        <v>3156</v>
      </c>
      <c r="W1" s="3088" t="s">
        <v>3157</v>
      </c>
      <c r="X1" s="3088" t="s">
        <v>1075</v>
      </c>
      <c r="Y1" s="3088" t="s">
        <v>1076</v>
      </c>
      <c r="Z1" s="3088" t="s">
        <v>1077</v>
      </c>
      <c r="AA1" s="3088" t="s">
        <v>1078</v>
      </c>
      <c r="AB1" s="3088" t="s">
        <v>1079</v>
      </c>
      <c r="AC1" s="3088" t="s">
        <v>3158</v>
      </c>
      <c r="AD1" s="3088" t="s">
        <v>3159</v>
      </c>
      <c r="AE1" s="3088" t="s">
        <v>3160</v>
      </c>
      <c r="AF1" s="3088" t="s">
        <v>1083</v>
      </c>
      <c r="AG1" s="3088" t="s">
        <v>3161</v>
      </c>
      <c r="AH1" s="3088" t="s">
        <v>1085</v>
      </c>
      <c r="AI1" s="3088" t="s">
        <v>1086</v>
      </c>
      <c r="AJ1" s="3088" t="s">
        <v>1087</v>
      </c>
      <c r="AK1" s="3088" t="s">
        <v>3162</v>
      </c>
      <c r="AL1" s="3088" t="s">
        <v>1088</v>
      </c>
      <c r="AM1" s="3088" t="s">
        <v>1089</v>
      </c>
      <c r="AN1" s="3088" t="s">
        <v>1090</v>
      </c>
      <c r="AO1" s="3088" t="s">
        <v>1091</v>
      </c>
      <c r="AP1" s="3088" t="s">
        <v>3163</v>
      </c>
      <c r="AQ1" s="3088" t="s">
        <v>3164</v>
      </c>
      <c r="AR1" s="3088" t="s">
        <v>1092</v>
      </c>
      <c r="AS1" s="3088" t="s">
        <v>1093</v>
      </c>
      <c r="AT1" s="3088" t="s">
        <v>1094</v>
      </c>
      <c r="AU1" s="3088" t="s">
        <v>1095</v>
      </c>
      <c r="AV1" s="3088" t="s">
        <v>1096</v>
      </c>
      <c r="AW1" s="3088" t="s">
        <v>1097</v>
      </c>
      <c r="AX1" s="3088" t="s">
        <v>1098</v>
      </c>
      <c r="AY1" s="3088" t="s">
        <v>1099</v>
      </c>
      <c r="AZ1" s="3088" t="s">
        <v>1100</v>
      </c>
      <c r="BA1" s="3088" t="s">
        <v>1101</v>
      </c>
      <c r="BB1" s="3088" t="s">
        <v>3165</v>
      </c>
      <c r="BC1" s="3088" t="s">
        <v>1103</v>
      </c>
      <c r="BD1" s="3088" t="s">
        <v>1104</v>
      </c>
      <c r="BE1" s="3088" t="s">
        <v>1105</v>
      </c>
      <c r="BF1" s="3088" t="s">
        <v>3166</v>
      </c>
      <c r="BG1" s="3088" t="s">
        <v>3167</v>
      </c>
      <c r="BH1" s="3088" t="s">
        <v>3168</v>
      </c>
      <c r="BI1" s="3088" t="s">
        <v>3169</v>
      </c>
    </row>
    <row r="2" spans="1:61" s="3088" customFormat="1">
      <c r="A2" s="3088" t="s">
        <v>3053</v>
      </c>
      <c r="B2" s="3088" t="s">
        <v>342</v>
      </c>
      <c r="C2" s="3088" t="s">
        <v>3054</v>
      </c>
      <c r="D2" s="3088" t="s">
        <v>3055</v>
      </c>
      <c r="E2" s="3088" t="s">
        <v>3056</v>
      </c>
      <c r="F2" s="3088" t="s">
        <v>3057</v>
      </c>
      <c r="G2" s="3088" t="s">
        <v>3058</v>
      </c>
      <c r="H2" s="3088" t="s">
        <v>3059</v>
      </c>
      <c r="I2" s="3088">
        <v>30551.17</v>
      </c>
      <c r="J2" s="3088">
        <v>42798.91</v>
      </c>
      <c r="K2" s="3088" t="s">
        <v>3060</v>
      </c>
      <c r="L2" s="3088">
        <v>1.5</v>
      </c>
      <c r="M2" s="3088" t="s">
        <v>3061</v>
      </c>
      <c r="N2" s="3088" t="s">
        <v>3062</v>
      </c>
      <c r="O2" s="3088" t="s">
        <v>3063</v>
      </c>
      <c r="P2" s="3088" t="s">
        <v>1215</v>
      </c>
      <c r="Q2" s="3088" t="s">
        <v>1117</v>
      </c>
      <c r="R2" s="3088">
        <v>30</v>
      </c>
      <c r="S2" s="3088" t="s">
        <v>3064</v>
      </c>
      <c r="T2" s="3088" t="s">
        <v>3065</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3066</v>
      </c>
      <c r="AG2" s="3088" t="s">
        <v>3067</v>
      </c>
      <c r="AH2" s="3088" t="s">
        <v>3068</v>
      </c>
      <c r="AI2" s="3088" t="s">
        <v>3069</v>
      </c>
      <c r="AJ2" s="3088" t="s">
        <v>3070</v>
      </c>
      <c r="AK2" s="3088" t="s">
        <v>3071</v>
      </c>
      <c r="AL2" s="3088">
        <v>62000</v>
      </c>
      <c r="AM2" s="3088">
        <v>12500</v>
      </c>
      <c r="AN2" s="3088" t="s">
        <v>3072</v>
      </c>
      <c r="AO2" s="3088">
        <v>62000</v>
      </c>
      <c r="AP2" s="3088">
        <v>20293.82</v>
      </c>
      <c r="AQ2" s="3088">
        <v>20293.82</v>
      </c>
      <c r="AR2" s="3088">
        <v>1352.92</v>
      </c>
      <c r="AS2" s="3088">
        <v>1352.92</v>
      </c>
      <c r="AT2" s="3088">
        <v>14486</v>
      </c>
      <c r="AU2" s="3088">
        <v>14486</v>
      </c>
      <c r="AV2" s="3088" t="s">
        <v>1117</v>
      </c>
      <c r="AW2" s="3088" t="s">
        <v>1117</v>
      </c>
      <c r="AX2" s="3088">
        <v>0</v>
      </c>
      <c r="AY2" s="3088" t="s">
        <v>3073</v>
      </c>
      <c r="AZ2" s="3088">
        <v>71300</v>
      </c>
      <c r="BA2" s="3088" t="s">
        <v>3074</v>
      </c>
      <c r="BB2" s="3088" t="s">
        <v>1117</v>
      </c>
      <c r="BC2" s="3088">
        <v>16659</v>
      </c>
      <c r="BD2" s="3088">
        <v>15</v>
      </c>
      <c r="BE2" s="3088" t="s">
        <v>1117</v>
      </c>
      <c r="BF2" s="3088" t="s">
        <v>1117</v>
      </c>
      <c r="BG2" s="3088" t="s">
        <v>3075</v>
      </c>
      <c r="BH2" s="3088" t="s">
        <v>3076</v>
      </c>
      <c r="BI2" s="3088" t="s">
        <v>1122</v>
      </c>
    </row>
    <row r="3" spans="1:61" s="3088" customFormat="1">
      <c r="A3" s="3088" t="s">
        <v>3077</v>
      </c>
      <c r="B3" s="3088" t="s">
        <v>342</v>
      </c>
      <c r="C3" s="3088" t="s">
        <v>3078</v>
      </c>
      <c r="D3" s="3088" t="s">
        <v>3055</v>
      </c>
      <c r="E3" s="3088" t="s">
        <v>3056</v>
      </c>
      <c r="F3" s="3088" t="s">
        <v>3079</v>
      </c>
      <c r="G3" s="3088" t="s">
        <v>3080</v>
      </c>
      <c r="H3" s="3088" t="s">
        <v>3081</v>
      </c>
      <c r="I3" s="3088">
        <v>16909.86</v>
      </c>
      <c r="J3" s="3088">
        <v>33819.72</v>
      </c>
      <c r="K3" s="3088">
        <v>2</v>
      </c>
      <c r="L3" s="3088">
        <v>2</v>
      </c>
      <c r="M3" s="3088" t="s">
        <v>3061</v>
      </c>
      <c r="N3" s="3088" t="s">
        <v>3082</v>
      </c>
      <c r="O3" s="3088" t="s">
        <v>3083</v>
      </c>
      <c r="P3" s="3088" t="s">
        <v>1215</v>
      </c>
      <c r="Q3" s="3088" t="s">
        <v>1117</v>
      </c>
      <c r="R3" s="3088">
        <v>35</v>
      </c>
      <c r="S3" s="3088">
        <v>36</v>
      </c>
      <c r="T3" s="3088" t="s">
        <v>3065</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3084</v>
      </c>
      <c r="AG3" s="3088" t="s">
        <v>3067</v>
      </c>
      <c r="AH3" s="3088" t="s">
        <v>1387</v>
      </c>
      <c r="AI3" s="3088" t="s">
        <v>3085</v>
      </c>
      <c r="AJ3" s="3088" t="s">
        <v>3070</v>
      </c>
      <c r="AK3" s="3088" t="s">
        <v>3071</v>
      </c>
      <c r="AL3" s="3088">
        <v>101500</v>
      </c>
      <c r="AM3" s="3088">
        <v>21000</v>
      </c>
      <c r="AN3" s="3088" t="s">
        <v>3072</v>
      </c>
      <c r="AO3" s="3088">
        <v>116725</v>
      </c>
      <c r="AP3" s="3088">
        <v>60024.15</v>
      </c>
      <c r="AQ3" s="3088">
        <v>69027.77</v>
      </c>
      <c r="AR3" s="3088">
        <v>4001.61</v>
      </c>
      <c r="AS3" s="3088">
        <v>4601.8500000000004</v>
      </c>
      <c r="AT3" s="3088">
        <v>30012</v>
      </c>
      <c r="AU3" s="3088">
        <v>34514</v>
      </c>
      <c r="AV3" s="3088" t="s">
        <v>1117</v>
      </c>
      <c r="AW3" s="3088" t="s">
        <v>1117</v>
      </c>
      <c r="AX3" s="3088">
        <v>15</v>
      </c>
      <c r="AY3" s="3088" t="s">
        <v>3086</v>
      </c>
      <c r="AZ3" s="3088">
        <v>116725</v>
      </c>
      <c r="BA3" s="3088" t="s">
        <v>3087</v>
      </c>
      <c r="BB3" s="3088">
        <v>60000</v>
      </c>
      <c r="BC3" s="3088">
        <v>34514</v>
      </c>
      <c r="BD3" s="3088">
        <v>15</v>
      </c>
      <c r="BE3" s="3088">
        <v>25486</v>
      </c>
      <c r="BF3" s="3088">
        <v>60000</v>
      </c>
      <c r="BG3" s="3088" t="s">
        <v>3075</v>
      </c>
      <c r="BH3" s="3088" t="s">
        <v>3076</v>
      </c>
      <c r="BI3" s="3088" t="s">
        <v>1122</v>
      </c>
    </row>
    <row r="4" spans="1:61" s="3088" customFormat="1">
      <c r="A4" s="3088" t="s">
        <v>3088</v>
      </c>
      <c r="B4" s="3088" t="s">
        <v>342</v>
      </c>
      <c r="C4" s="3088" t="s">
        <v>3089</v>
      </c>
      <c r="D4" s="3088" t="s">
        <v>3055</v>
      </c>
      <c r="E4" s="3088" t="s">
        <v>3056</v>
      </c>
      <c r="F4" s="3088" t="s">
        <v>3090</v>
      </c>
      <c r="G4" s="3088" t="s">
        <v>3091</v>
      </c>
      <c r="H4" s="3088" t="s">
        <v>3081</v>
      </c>
      <c r="I4" s="3088">
        <v>28400</v>
      </c>
      <c r="J4" s="3088">
        <v>56800</v>
      </c>
      <c r="K4" s="3088">
        <v>2</v>
      </c>
      <c r="L4" s="3088">
        <v>2</v>
      </c>
      <c r="M4" s="3088" t="s">
        <v>3061</v>
      </c>
      <c r="N4" s="3088" t="s">
        <v>3082</v>
      </c>
      <c r="O4" s="3088" t="s">
        <v>3092</v>
      </c>
      <c r="P4" s="3088" t="s">
        <v>1215</v>
      </c>
      <c r="Q4" s="3088" t="s">
        <v>1117</v>
      </c>
      <c r="R4" s="3088">
        <v>40</v>
      </c>
      <c r="S4" s="3088">
        <v>36</v>
      </c>
      <c r="T4" s="3088" t="s">
        <v>3065</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3093</v>
      </c>
      <c r="AG4" s="3088" t="s">
        <v>3067</v>
      </c>
      <c r="AH4" s="3088" t="s">
        <v>3094</v>
      </c>
      <c r="AI4" s="3088" t="s">
        <v>3069</v>
      </c>
      <c r="AJ4" s="3088" t="s">
        <v>3070</v>
      </c>
      <c r="AK4" s="3088" t="s">
        <v>3071</v>
      </c>
      <c r="AL4" s="3088">
        <v>126000</v>
      </c>
      <c r="AM4" s="3088">
        <v>26000</v>
      </c>
      <c r="AN4" s="3088" t="s">
        <v>3095</v>
      </c>
      <c r="AO4" s="3088">
        <v>126000</v>
      </c>
      <c r="AP4" s="3088">
        <v>44366.19</v>
      </c>
      <c r="AQ4" s="3088">
        <v>44366.19</v>
      </c>
      <c r="AR4" s="3088">
        <v>2957.75</v>
      </c>
      <c r="AS4" s="3088">
        <v>2957.75</v>
      </c>
      <c r="AT4" s="3088">
        <v>22183</v>
      </c>
      <c r="AU4" s="3088">
        <v>22183</v>
      </c>
      <c r="AV4" s="3088" t="s">
        <v>1117</v>
      </c>
      <c r="AW4" s="3088" t="s">
        <v>1117</v>
      </c>
      <c r="AX4" s="3088">
        <v>0</v>
      </c>
      <c r="AY4" s="3088" t="s">
        <v>3096</v>
      </c>
      <c r="AZ4" s="3088">
        <v>144900</v>
      </c>
      <c r="BA4" s="3088" t="s">
        <v>3074</v>
      </c>
      <c r="BB4" s="3088" t="s">
        <v>1117</v>
      </c>
      <c r="BC4" s="3088">
        <v>25511</v>
      </c>
      <c r="BD4" s="3088">
        <v>15</v>
      </c>
      <c r="BE4" s="3088" t="s">
        <v>1117</v>
      </c>
      <c r="BF4" s="3088" t="s">
        <v>1117</v>
      </c>
      <c r="BG4" s="3088" t="s">
        <v>3075</v>
      </c>
      <c r="BH4" s="3088" t="s">
        <v>3076</v>
      </c>
      <c r="BI4" s="3088" t="s">
        <v>1122</v>
      </c>
    </row>
    <row r="5" spans="1:61" s="3090" customFormat="1">
      <c r="A5" s="3090" t="s">
        <v>3097</v>
      </c>
      <c r="B5" s="3090" t="s">
        <v>342</v>
      </c>
      <c r="C5" s="3090" t="s">
        <v>3098</v>
      </c>
      <c r="D5" s="3090" t="s">
        <v>3055</v>
      </c>
      <c r="E5" s="3090" t="s">
        <v>3056</v>
      </c>
      <c r="F5" s="3090" t="s">
        <v>3099</v>
      </c>
      <c r="G5" s="3090" t="s">
        <v>3100</v>
      </c>
      <c r="H5" s="3090" t="s">
        <v>3059</v>
      </c>
      <c r="I5" s="3090">
        <v>69893.14</v>
      </c>
      <c r="J5" s="3090">
        <v>107430.41</v>
      </c>
      <c r="K5" s="3090" t="s">
        <v>3101</v>
      </c>
      <c r="L5" s="3090">
        <v>1.7</v>
      </c>
      <c r="M5" s="3090" t="s">
        <v>3061</v>
      </c>
      <c r="N5" s="3090" t="s">
        <v>3102</v>
      </c>
      <c r="O5" s="3090" t="s">
        <v>3103</v>
      </c>
      <c r="P5" s="3090" t="s">
        <v>1215</v>
      </c>
      <c r="Q5" s="3090" t="s">
        <v>1117</v>
      </c>
      <c r="R5" s="3090" t="s">
        <v>3104</v>
      </c>
      <c r="S5" s="3090">
        <v>36</v>
      </c>
      <c r="T5" s="3090" t="s">
        <v>3065</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3105</v>
      </c>
      <c r="AG5" s="3090" t="s">
        <v>3067</v>
      </c>
      <c r="AH5" s="3090" t="s">
        <v>3106</v>
      </c>
      <c r="AI5" s="3090" t="s">
        <v>3107</v>
      </c>
      <c r="AJ5" s="3090" t="s">
        <v>3108</v>
      </c>
      <c r="AK5" s="3090" t="s">
        <v>1117</v>
      </c>
      <c r="AL5" s="3090">
        <v>199000</v>
      </c>
      <c r="AM5" s="3090">
        <v>40000</v>
      </c>
      <c r="AN5" s="3090" t="s">
        <v>3109</v>
      </c>
      <c r="AO5" s="3090">
        <v>199000</v>
      </c>
      <c r="AP5" s="3090">
        <v>28472.03</v>
      </c>
      <c r="AQ5" s="3090">
        <v>28472.03</v>
      </c>
      <c r="AR5" s="3090">
        <v>1898.14</v>
      </c>
      <c r="AS5" s="3090">
        <v>1898.14</v>
      </c>
      <c r="AT5" s="3090">
        <v>18524</v>
      </c>
      <c r="AU5" s="3090">
        <v>18524</v>
      </c>
      <c r="AV5" s="3090" t="s">
        <v>1117</v>
      </c>
      <c r="AW5" s="3090" t="s">
        <v>1117</v>
      </c>
      <c r="AX5" s="3090">
        <v>0</v>
      </c>
      <c r="AY5" s="3090" t="s">
        <v>3110</v>
      </c>
      <c r="AZ5" s="3090">
        <v>228850</v>
      </c>
      <c r="BA5" s="3090" t="s">
        <v>3074</v>
      </c>
      <c r="BB5" s="3090" t="s">
        <v>1117</v>
      </c>
      <c r="BC5" s="3090">
        <v>21302</v>
      </c>
      <c r="BD5" s="3090">
        <v>15</v>
      </c>
      <c r="BE5" s="3090" t="s">
        <v>1117</v>
      </c>
      <c r="BF5" s="3090" t="s">
        <v>1117</v>
      </c>
      <c r="BG5" s="3090" t="s">
        <v>3075</v>
      </c>
      <c r="BH5" s="3090" t="s">
        <v>3111</v>
      </c>
      <c r="BI5" s="3090" t="s">
        <v>3112</v>
      </c>
    </row>
    <row r="6" spans="1:61" s="3088" customFormat="1">
      <c r="A6" s="3088" t="s">
        <v>3113</v>
      </c>
      <c r="B6" s="3088" t="s">
        <v>342</v>
      </c>
      <c r="C6" s="3088" t="s">
        <v>3114</v>
      </c>
      <c r="D6" s="3088" t="s">
        <v>3055</v>
      </c>
      <c r="E6" s="3088" t="s">
        <v>3056</v>
      </c>
      <c r="F6" s="3088" t="s">
        <v>3090</v>
      </c>
      <c r="G6" s="3088" t="s">
        <v>3115</v>
      </c>
      <c r="H6" s="3088" t="s">
        <v>3059</v>
      </c>
      <c r="I6" s="3088">
        <v>63203.19</v>
      </c>
      <c r="J6" s="3088">
        <v>107665.74</v>
      </c>
      <c r="K6" s="3088" t="s">
        <v>3116</v>
      </c>
      <c r="L6" s="3088">
        <v>1.8</v>
      </c>
      <c r="M6" s="3088" t="s">
        <v>3061</v>
      </c>
      <c r="N6" s="3088" t="s">
        <v>3102</v>
      </c>
      <c r="O6" s="3088" t="s">
        <v>3117</v>
      </c>
      <c r="P6" s="3088" t="s">
        <v>1215</v>
      </c>
      <c r="Q6" s="3088" t="s">
        <v>1117</v>
      </c>
      <c r="R6" s="3088">
        <v>0.3</v>
      </c>
      <c r="S6" s="3088" t="s">
        <v>1117</v>
      </c>
      <c r="T6" s="3088" t="s">
        <v>3065</v>
      </c>
      <c r="U6" s="3088" t="s">
        <v>3118</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3119</v>
      </c>
      <c r="AG6" s="3088" t="s">
        <v>3067</v>
      </c>
      <c r="AH6" s="3088" t="s">
        <v>3120</v>
      </c>
      <c r="AI6" s="3088" t="s">
        <v>3121</v>
      </c>
      <c r="AJ6" s="3088" t="s">
        <v>3070</v>
      </c>
      <c r="AK6" s="3088" t="s">
        <v>1117</v>
      </c>
      <c r="AL6" s="3088">
        <v>227000</v>
      </c>
      <c r="AM6" s="3088">
        <v>46000</v>
      </c>
      <c r="AN6" s="3088" t="s">
        <v>3122</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3123</v>
      </c>
      <c r="AZ6" s="3088">
        <v>261050</v>
      </c>
      <c r="BA6" s="3088" t="s">
        <v>3074</v>
      </c>
      <c r="BB6" s="3088">
        <v>46000</v>
      </c>
      <c r="BC6" s="3088">
        <v>24246</v>
      </c>
      <c r="BD6" s="3088">
        <v>15</v>
      </c>
      <c r="BE6" s="3088">
        <v>22738</v>
      </c>
      <c r="BF6" s="3088">
        <v>46000</v>
      </c>
      <c r="BG6" s="3088" t="s">
        <v>3124</v>
      </c>
      <c r="BH6" s="3088" t="s">
        <v>3111</v>
      </c>
      <c r="BI6" s="3088" t="s">
        <v>1248</v>
      </c>
    </row>
    <row r="7" spans="1:61" s="3088" customFormat="1">
      <c r="A7" s="3088" t="s">
        <v>3125</v>
      </c>
      <c r="B7" s="3088" t="s">
        <v>342</v>
      </c>
      <c r="C7" s="3088" t="s">
        <v>3126</v>
      </c>
      <c r="D7" s="3088" t="s">
        <v>3055</v>
      </c>
      <c r="E7" s="3088" t="s">
        <v>3056</v>
      </c>
      <c r="F7" s="3088" t="s">
        <v>3127</v>
      </c>
      <c r="G7" s="3088" t="s">
        <v>3128</v>
      </c>
      <c r="H7" s="3088" t="s">
        <v>3081</v>
      </c>
      <c r="I7" s="3088">
        <v>20354.939999999999</v>
      </c>
      <c r="J7" s="3088">
        <v>47549.3</v>
      </c>
      <c r="K7" s="3088" t="s">
        <v>3129</v>
      </c>
      <c r="L7" s="3088">
        <v>2.4</v>
      </c>
      <c r="M7" s="3088" t="s">
        <v>3061</v>
      </c>
      <c r="N7" s="3088" t="s">
        <v>3130</v>
      </c>
      <c r="O7" s="3088" t="s">
        <v>3092</v>
      </c>
      <c r="P7" s="3088" t="s">
        <v>1215</v>
      </c>
      <c r="Q7" s="3088" t="s">
        <v>1117</v>
      </c>
      <c r="R7" s="3088">
        <v>0.4</v>
      </c>
      <c r="S7" s="3088">
        <v>45</v>
      </c>
      <c r="T7" s="3088" t="s">
        <v>3065</v>
      </c>
      <c r="U7" s="3088" t="s">
        <v>3131</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3132</v>
      </c>
      <c r="AG7" s="3088" t="s">
        <v>3067</v>
      </c>
      <c r="AH7" s="3088" t="s">
        <v>3133</v>
      </c>
      <c r="AI7" s="3088" t="s">
        <v>3134</v>
      </c>
      <c r="AJ7" s="3088" t="s">
        <v>3135</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3096</v>
      </c>
      <c r="AZ7" s="3088">
        <v>110400</v>
      </c>
      <c r="BA7" s="3088" t="s">
        <v>3087</v>
      </c>
      <c r="BB7" s="3088">
        <v>46000</v>
      </c>
      <c r="BC7" s="3088">
        <v>23218</v>
      </c>
      <c r="BD7" s="3088">
        <v>15</v>
      </c>
      <c r="BE7" s="3088">
        <v>22585</v>
      </c>
      <c r="BF7" s="3088">
        <v>46000</v>
      </c>
      <c r="BG7" s="3088" t="s">
        <v>3075</v>
      </c>
      <c r="BH7" s="3088" t="s">
        <v>3111</v>
      </c>
      <c r="BI7" s="3088" t="s">
        <v>3136</v>
      </c>
    </row>
    <row r="8" spans="1:61" s="3088" customFormat="1">
      <c r="A8" s="3088" t="s">
        <v>3137</v>
      </c>
      <c r="B8" s="3088" t="s">
        <v>342</v>
      </c>
      <c r="C8" s="3088" t="s">
        <v>3138</v>
      </c>
      <c r="D8" s="3088" t="s">
        <v>3055</v>
      </c>
      <c r="E8" s="3088" t="s">
        <v>3056</v>
      </c>
      <c r="F8" s="3088" t="s">
        <v>3139</v>
      </c>
      <c r="G8" s="3088" t="s">
        <v>3140</v>
      </c>
      <c r="H8" s="3088" t="s">
        <v>3081</v>
      </c>
      <c r="I8" s="3088">
        <v>34099.22</v>
      </c>
      <c r="J8" s="3088">
        <v>61378.59</v>
      </c>
      <c r="K8" s="3088">
        <v>1.8</v>
      </c>
      <c r="L8" s="3088">
        <v>1.8</v>
      </c>
      <c r="M8" s="3088" t="s">
        <v>3061</v>
      </c>
      <c r="N8" s="3088" t="s">
        <v>3130</v>
      </c>
      <c r="O8" s="3088" t="s">
        <v>3092</v>
      </c>
      <c r="P8" s="3088" t="s">
        <v>1215</v>
      </c>
      <c r="Q8" s="3088" t="s">
        <v>1117</v>
      </c>
      <c r="R8" s="3088">
        <v>0.3</v>
      </c>
      <c r="S8" s="3088" t="s">
        <v>1117</v>
      </c>
      <c r="T8" s="3088" t="s">
        <v>3065</v>
      </c>
      <c r="U8" s="3088" t="s">
        <v>3141</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3142</v>
      </c>
      <c r="AG8" s="3088" t="s">
        <v>3067</v>
      </c>
      <c r="AH8" s="3088" t="s">
        <v>3143</v>
      </c>
      <c r="AI8" s="3088" t="s">
        <v>3144</v>
      </c>
      <c r="AJ8" s="3088" t="s">
        <v>3108</v>
      </c>
      <c r="AK8" s="3088" t="s">
        <v>1117</v>
      </c>
      <c r="AL8" s="3088">
        <v>150500</v>
      </c>
      <c r="AM8" s="3088">
        <v>31000</v>
      </c>
      <c r="AN8" s="3088" t="s">
        <v>3145</v>
      </c>
      <c r="AO8" s="3088">
        <v>173075</v>
      </c>
      <c r="AP8" s="3088">
        <v>44135.9</v>
      </c>
      <c r="AQ8" s="3088">
        <v>50756.29</v>
      </c>
      <c r="AR8" s="3088">
        <v>2942.39</v>
      </c>
      <c r="AS8" s="3088">
        <v>3383.75</v>
      </c>
      <c r="AT8" s="3088">
        <v>24520</v>
      </c>
      <c r="AU8" s="3088">
        <v>28198</v>
      </c>
      <c r="AV8" s="3088" t="s">
        <v>1117</v>
      </c>
      <c r="AW8" s="3088" t="s">
        <v>1117</v>
      </c>
      <c r="AX8" s="3088">
        <v>15</v>
      </c>
      <c r="AY8" s="3088" t="s">
        <v>3096</v>
      </c>
      <c r="AZ8" s="3088">
        <v>173075</v>
      </c>
      <c r="BA8" s="3088" t="s">
        <v>3087</v>
      </c>
      <c r="BB8" s="3088">
        <v>58000</v>
      </c>
      <c r="BC8" s="3088">
        <v>28198</v>
      </c>
      <c r="BD8" s="3088">
        <v>15</v>
      </c>
      <c r="BE8" s="3088">
        <v>29429</v>
      </c>
      <c r="BF8" s="3088">
        <v>58000</v>
      </c>
      <c r="BG8" s="3088" t="s">
        <v>3075</v>
      </c>
      <c r="BH8" s="3088" t="s">
        <v>3111</v>
      </c>
      <c r="BI8" s="3088" t="s">
        <v>3146</v>
      </c>
    </row>
    <row r="9" spans="1:61" s="3088" customFormat="1">
      <c r="A9" s="3088" t="s">
        <v>3147</v>
      </c>
      <c r="B9" s="3088" t="s">
        <v>342</v>
      </c>
      <c r="C9" s="3088" t="s">
        <v>3148</v>
      </c>
      <c r="D9" s="3088" t="s">
        <v>3055</v>
      </c>
      <c r="E9" s="3088" t="s">
        <v>3056</v>
      </c>
      <c r="F9" s="3088" t="s">
        <v>3139</v>
      </c>
      <c r="G9" s="3088" t="s">
        <v>3149</v>
      </c>
      <c r="H9" s="3088" t="s">
        <v>3081</v>
      </c>
      <c r="I9" s="3088">
        <v>31562.01</v>
      </c>
      <c r="J9" s="3088">
        <v>56811.61</v>
      </c>
      <c r="K9" s="3088">
        <v>1.8</v>
      </c>
      <c r="L9" s="3088">
        <v>1.8</v>
      </c>
      <c r="M9" s="3088" t="s">
        <v>3061</v>
      </c>
      <c r="N9" s="3088" t="s">
        <v>3130</v>
      </c>
      <c r="O9" s="3088" t="s">
        <v>3092</v>
      </c>
      <c r="P9" s="3088" t="s">
        <v>1215</v>
      </c>
      <c r="Q9" s="3088" t="s">
        <v>1117</v>
      </c>
      <c r="R9" s="3088">
        <v>0.3</v>
      </c>
      <c r="S9" s="3088" t="s">
        <v>1117</v>
      </c>
      <c r="T9" s="3088" t="s">
        <v>3065</v>
      </c>
      <c r="U9" s="3088" t="s">
        <v>3141</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3150</v>
      </c>
      <c r="AG9" s="3088" t="s">
        <v>3067</v>
      </c>
      <c r="AH9" s="3088" t="s">
        <v>3151</v>
      </c>
      <c r="AI9" s="3088" t="s">
        <v>3152</v>
      </c>
      <c r="AJ9" s="3088" t="s">
        <v>3135</v>
      </c>
      <c r="AK9" s="3088" t="s">
        <v>1117</v>
      </c>
      <c r="AL9" s="3088">
        <v>144000</v>
      </c>
      <c r="AM9" s="3088">
        <v>29000</v>
      </c>
      <c r="AN9" s="3088" t="s">
        <v>3145</v>
      </c>
      <c r="AO9" s="3088">
        <v>165600</v>
      </c>
      <c r="AP9" s="3088">
        <v>45624.47</v>
      </c>
      <c r="AQ9" s="3088">
        <v>52468.14</v>
      </c>
      <c r="AR9" s="3088">
        <v>3041.63</v>
      </c>
      <c r="AS9" s="3088">
        <v>3497.88</v>
      </c>
      <c r="AT9" s="3088">
        <v>25347</v>
      </c>
      <c r="AU9" s="3088">
        <v>29149</v>
      </c>
      <c r="AV9" s="3088" t="s">
        <v>1117</v>
      </c>
      <c r="AW9" s="3088" t="s">
        <v>1117</v>
      </c>
      <c r="AX9" s="3088">
        <v>15</v>
      </c>
      <c r="AY9" s="3088" t="s">
        <v>3096</v>
      </c>
      <c r="AZ9" s="3088">
        <v>165600</v>
      </c>
      <c r="BA9" s="3088" t="s">
        <v>3087</v>
      </c>
      <c r="BB9" s="3088">
        <v>58000</v>
      </c>
      <c r="BC9" s="3088">
        <v>29149</v>
      </c>
      <c r="BD9" s="3088">
        <v>15</v>
      </c>
      <c r="BE9" s="3088">
        <v>28168</v>
      </c>
      <c r="BF9" s="3088">
        <v>58000</v>
      </c>
      <c r="BG9" s="3088" t="s">
        <v>3075</v>
      </c>
      <c r="BH9" s="3088" t="s">
        <v>3111</v>
      </c>
      <c r="BI9" s="3088" t="s">
        <v>3153</v>
      </c>
    </row>
    <row r="10" spans="1:61" s="3088" customFormat="1">
      <c r="AB10" s="3089"/>
      <c r="AC10" s="3089"/>
      <c r="AD10" s="3089"/>
      <c r="AE10" s="3089"/>
    </row>
    <row r="11" spans="1:61">
      <c r="A11" s="2107" t="s">
        <v>1055</v>
      </c>
      <c r="B11" s="2107" t="s">
        <v>1056</v>
      </c>
      <c r="C11" s="2107" t="s">
        <v>1057</v>
      </c>
      <c r="D11" s="2107" t="s">
        <v>1058</v>
      </c>
      <c r="E11" s="2107" t="s">
        <v>1059</v>
      </c>
      <c r="F11" s="2107" t="s">
        <v>1060</v>
      </c>
      <c r="G11" s="2107" t="s">
        <v>1061</v>
      </c>
      <c r="H11" s="2107" t="s">
        <v>1062</v>
      </c>
      <c r="I11" s="2107" t="s">
        <v>1063</v>
      </c>
      <c r="J11" s="2107" t="s">
        <v>1064</v>
      </c>
      <c r="K11" s="2107" t="s">
        <v>1065</v>
      </c>
      <c r="L11" s="2107" t="s">
        <v>1066</v>
      </c>
      <c r="M11" s="2107" t="s">
        <v>1067</v>
      </c>
      <c r="N11" s="2107" t="s">
        <v>1068</v>
      </c>
      <c r="O11" s="2107" t="s">
        <v>1069</v>
      </c>
      <c r="P11" s="2107" t="s">
        <v>1070</v>
      </c>
      <c r="Q11" s="2107" t="s">
        <v>1071</v>
      </c>
      <c r="R11" s="2107" t="s">
        <v>1072</v>
      </c>
      <c r="S11" s="2107" t="s">
        <v>1073</v>
      </c>
      <c r="T11" s="2107" t="s">
        <v>1074</v>
      </c>
      <c r="U11" s="2107" t="s">
        <v>1075</v>
      </c>
      <c r="V11" s="2107" t="s">
        <v>1076</v>
      </c>
      <c r="W11" s="2107" t="s">
        <v>1077</v>
      </c>
      <c r="X11" s="2107" t="s">
        <v>1078</v>
      </c>
      <c r="Y11" s="2107" t="s">
        <v>1079</v>
      </c>
      <c r="Z11" s="2108" t="s">
        <v>1080</v>
      </c>
      <c r="AA11" s="2108" t="s">
        <v>1081</v>
      </c>
      <c r="AB11" s="2108" t="s">
        <v>1082</v>
      </c>
      <c r="AC11" s="2107" t="s">
        <v>1083</v>
      </c>
      <c r="AD11" s="2107" t="s">
        <v>1084</v>
      </c>
      <c r="AE11" s="2107" t="s">
        <v>1085</v>
      </c>
      <c r="AF11" s="2107" t="s">
        <v>1086</v>
      </c>
      <c r="AG11" s="2107" t="s">
        <v>1087</v>
      </c>
      <c r="AH11" s="2107" t="s">
        <v>1088</v>
      </c>
      <c r="AI11" s="2107" t="s">
        <v>1089</v>
      </c>
      <c r="AJ11" s="2107" t="s">
        <v>1090</v>
      </c>
      <c r="AK11" s="2107" t="s">
        <v>1091</v>
      </c>
      <c r="AL11" s="2107" t="s">
        <v>1092</v>
      </c>
      <c r="AM11" s="2107" t="s">
        <v>1093</v>
      </c>
      <c r="AN11" s="2107" t="s">
        <v>1094</v>
      </c>
      <c r="AO11" s="2107" t="s">
        <v>1095</v>
      </c>
      <c r="AP11" s="2107" t="s">
        <v>1096</v>
      </c>
      <c r="AQ11" s="2107" t="s">
        <v>1097</v>
      </c>
      <c r="AR11" s="2107" t="s">
        <v>1098</v>
      </c>
      <c r="AS11" s="2107" t="s">
        <v>1099</v>
      </c>
      <c r="AT11" s="2107" t="s">
        <v>1100</v>
      </c>
      <c r="AU11" s="2107" t="s">
        <v>1101</v>
      </c>
      <c r="AV11" s="2107" t="s">
        <v>1102</v>
      </c>
      <c r="AW11" s="2107" t="s">
        <v>1103</v>
      </c>
      <c r="AX11" s="2107" t="s">
        <v>1104</v>
      </c>
      <c r="AY11" s="2107" t="s">
        <v>1105</v>
      </c>
    </row>
    <row r="12" spans="1:61">
      <c r="A12" s="2107" t="s">
        <v>1106</v>
      </c>
      <c r="B12" s="2107" t="s">
        <v>342</v>
      </c>
      <c r="C12" s="2107" t="s">
        <v>1107</v>
      </c>
      <c r="D12" s="2107" t="s">
        <v>1108</v>
      </c>
      <c r="E12" s="2107" t="s">
        <v>1109</v>
      </c>
      <c r="F12" s="2107" t="s">
        <v>1110</v>
      </c>
      <c r="G12" s="2107" t="s">
        <v>1111</v>
      </c>
      <c r="H12" s="2107" t="s">
        <v>1112</v>
      </c>
      <c r="I12" s="2107">
        <v>89084.800000000003</v>
      </c>
      <c r="J12" s="2107">
        <v>141877.1</v>
      </c>
      <c r="K12" s="2107" t="s">
        <v>1113</v>
      </c>
      <c r="L12" s="2107" t="s">
        <v>1114</v>
      </c>
      <c r="M12" s="2107" t="s">
        <v>1115</v>
      </c>
      <c r="N12" s="2107" t="s">
        <v>1116</v>
      </c>
      <c r="O12" s="2107" t="s">
        <v>1117</v>
      </c>
      <c r="P12" s="2107">
        <v>0.3</v>
      </c>
      <c r="Q12" s="2107" t="s">
        <v>1118</v>
      </c>
      <c r="R12" s="2107" t="s">
        <v>1119</v>
      </c>
      <c r="S12" s="2107" t="s">
        <v>1120</v>
      </c>
      <c r="T12" s="2107" t="s">
        <v>1121</v>
      </c>
      <c r="U12" s="2107">
        <v>42312.87</v>
      </c>
      <c r="V12" s="2107" t="s">
        <v>1122</v>
      </c>
      <c r="W12" s="2107">
        <v>0</v>
      </c>
      <c r="X12" s="2107">
        <v>0</v>
      </c>
      <c r="Y12" s="2107">
        <v>44791.0004976852</v>
      </c>
      <c r="Z12" s="2108">
        <v>44811.0004976852</v>
      </c>
      <c r="AA12" s="2108">
        <v>44826.0004976852</v>
      </c>
      <c r="AB12" s="2108">
        <v>44826.0004976852</v>
      </c>
      <c r="AC12" s="2107" t="s">
        <v>1123</v>
      </c>
      <c r="AD12" s="2107" t="s">
        <v>1124</v>
      </c>
      <c r="AE12" s="2107" t="s">
        <v>1125</v>
      </c>
      <c r="AF12" s="2107" t="s">
        <v>1126</v>
      </c>
      <c r="AG12" s="2107" t="s">
        <v>1127</v>
      </c>
      <c r="AH12" s="2107">
        <v>160000</v>
      </c>
      <c r="AI12" s="2107">
        <v>32000</v>
      </c>
      <c r="AJ12" s="2107" t="s">
        <v>1128</v>
      </c>
      <c r="AK12" s="2107">
        <v>160000</v>
      </c>
      <c r="AL12" s="2107">
        <v>1197.3599999999999</v>
      </c>
      <c r="AM12" s="2107">
        <v>1197.3599999999999</v>
      </c>
      <c r="AN12" s="2107">
        <v>11277</v>
      </c>
      <c r="AO12" s="2107">
        <v>11277</v>
      </c>
      <c r="AP12" s="2107">
        <v>16070</v>
      </c>
      <c r="AQ12" s="2107" t="s">
        <v>1122</v>
      </c>
      <c r="AR12" s="2107">
        <v>0</v>
      </c>
      <c r="AS12" s="2107" t="s">
        <v>1129</v>
      </c>
      <c r="AT12" s="2107">
        <v>184000</v>
      </c>
      <c r="AU12" s="2107" t="s">
        <v>1130</v>
      </c>
      <c r="AV12" s="2107" t="s">
        <v>1117</v>
      </c>
      <c r="AW12" s="2107">
        <v>12969</v>
      </c>
      <c r="AX12" s="2107">
        <v>15</v>
      </c>
      <c r="AY12" s="2107"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7" t="s">
        <v>1143</v>
      </c>
      <c r="B14" s="2107" t="s">
        <v>342</v>
      </c>
      <c r="C14" s="2107" t="s">
        <v>1144</v>
      </c>
      <c r="D14" s="2107" t="s">
        <v>1108</v>
      </c>
      <c r="E14" s="2107" t="s">
        <v>1109</v>
      </c>
      <c r="F14" s="2107" t="s">
        <v>1145</v>
      </c>
      <c r="G14" s="2107" t="s">
        <v>1146</v>
      </c>
      <c r="H14" s="2107" t="s">
        <v>1112</v>
      </c>
      <c r="I14" s="2107">
        <v>157751.99</v>
      </c>
      <c r="J14" s="2107">
        <v>187262.38</v>
      </c>
      <c r="K14" s="2107" t="s">
        <v>1147</v>
      </c>
      <c r="L14" s="2107" t="s">
        <v>1114</v>
      </c>
      <c r="M14" s="2107" t="s">
        <v>1115</v>
      </c>
      <c r="N14" s="2107" t="s">
        <v>1148</v>
      </c>
      <c r="O14" s="2107" t="s">
        <v>1117</v>
      </c>
      <c r="P14" s="2107" t="s">
        <v>1122</v>
      </c>
      <c r="Q14" s="2107" t="s">
        <v>1149</v>
      </c>
      <c r="R14" s="2107" t="s">
        <v>1150</v>
      </c>
      <c r="S14" s="2107" t="s">
        <v>1151</v>
      </c>
      <c r="T14" s="2107" t="s">
        <v>1122</v>
      </c>
      <c r="U14" s="2107" t="s">
        <v>1122</v>
      </c>
      <c r="V14" s="2107" t="s">
        <v>1122</v>
      </c>
      <c r="W14" s="2107">
        <v>0</v>
      </c>
      <c r="X14" s="2107">
        <v>0</v>
      </c>
      <c r="Y14" s="2107">
        <v>44670.0004976852</v>
      </c>
      <c r="Z14" s="2108">
        <v>44691.0004976852</v>
      </c>
      <c r="AA14" s="2108">
        <v>44712.0004976852</v>
      </c>
      <c r="AB14" s="2108">
        <v>44713.0004976852</v>
      </c>
      <c r="AC14" s="2107" t="s">
        <v>1152</v>
      </c>
      <c r="AD14" s="2107" t="s">
        <v>1124</v>
      </c>
      <c r="AE14" s="2107" t="s">
        <v>1153</v>
      </c>
      <c r="AF14" s="2107" t="s">
        <v>1154</v>
      </c>
      <c r="AG14" s="2107" t="s">
        <v>1155</v>
      </c>
      <c r="AH14" s="2107">
        <v>539000</v>
      </c>
      <c r="AI14" s="2107">
        <v>108000</v>
      </c>
      <c r="AJ14" s="2107" t="s">
        <v>1156</v>
      </c>
      <c r="AK14" s="2107">
        <v>547000</v>
      </c>
      <c r="AL14" s="2107">
        <v>2277.84</v>
      </c>
      <c r="AM14" s="2107">
        <v>2311.65</v>
      </c>
      <c r="AN14" s="2107">
        <v>28783</v>
      </c>
      <c r="AO14" s="2107">
        <v>29210</v>
      </c>
      <c r="AP14" s="2107" t="s">
        <v>1122</v>
      </c>
      <c r="AQ14" s="2107" t="s">
        <v>1122</v>
      </c>
      <c r="AR14" s="2107">
        <v>1.48</v>
      </c>
      <c r="AS14" s="2107" t="s">
        <v>1157</v>
      </c>
      <c r="AT14" s="2107">
        <v>619850</v>
      </c>
      <c r="AU14" s="2107" t="s">
        <v>1130</v>
      </c>
      <c r="AV14" s="2107" t="s">
        <v>1117</v>
      </c>
      <c r="AW14" s="2107">
        <v>33101</v>
      </c>
      <c r="AX14" s="2107">
        <v>15</v>
      </c>
      <c r="AY14" s="2107" t="s">
        <v>1122</v>
      </c>
    </row>
    <row r="15" spans="1:61">
      <c r="A15" s="2107" t="s">
        <v>1158</v>
      </c>
      <c r="B15" s="2107" t="s">
        <v>342</v>
      </c>
      <c r="C15" s="2107" t="s">
        <v>1159</v>
      </c>
      <c r="D15" s="2107" t="s">
        <v>1108</v>
      </c>
      <c r="E15" s="2107" t="s">
        <v>1109</v>
      </c>
      <c r="F15" s="2107" t="s">
        <v>1160</v>
      </c>
      <c r="G15" s="2107" t="s">
        <v>1161</v>
      </c>
      <c r="H15" s="2107" t="s">
        <v>1112</v>
      </c>
      <c r="I15" s="2107">
        <v>39732.370000000003</v>
      </c>
      <c r="J15" s="2107">
        <v>62838.75</v>
      </c>
      <c r="K15" s="2107" t="s">
        <v>1162</v>
      </c>
      <c r="L15" s="2107" t="s">
        <v>1114</v>
      </c>
      <c r="M15" s="2107" t="s">
        <v>1115</v>
      </c>
      <c r="N15" s="2107" t="s">
        <v>1148</v>
      </c>
      <c r="O15" s="2107" t="s">
        <v>1117</v>
      </c>
      <c r="P15" s="2107" t="s">
        <v>1163</v>
      </c>
      <c r="Q15" s="2107" t="s">
        <v>1164</v>
      </c>
      <c r="R15" s="2107" t="s">
        <v>1150</v>
      </c>
      <c r="S15" s="2107" t="s">
        <v>1150</v>
      </c>
      <c r="T15" s="2107" t="s">
        <v>1122</v>
      </c>
      <c r="U15" s="2107" t="s">
        <v>1122</v>
      </c>
      <c r="V15" s="2107" t="s">
        <v>1122</v>
      </c>
      <c r="W15" s="2107">
        <v>0</v>
      </c>
      <c r="X15" s="2107">
        <v>0</v>
      </c>
      <c r="Y15" s="2107">
        <v>44670.0004976852</v>
      </c>
      <c r="Z15" s="2108">
        <v>44691.0004976852</v>
      </c>
      <c r="AA15" s="2108">
        <v>44712.0004976852</v>
      </c>
      <c r="AB15" s="2108">
        <v>44713.0004976852</v>
      </c>
      <c r="AC15" s="2107" t="s">
        <v>1165</v>
      </c>
      <c r="AD15" s="2107" t="s">
        <v>1124</v>
      </c>
      <c r="AE15" s="2107" t="s">
        <v>1166</v>
      </c>
      <c r="AF15" s="2107" t="s">
        <v>1167</v>
      </c>
      <c r="AG15" s="2107" t="s">
        <v>1141</v>
      </c>
      <c r="AH15" s="2107">
        <v>170000</v>
      </c>
      <c r="AI15" s="2107">
        <v>34000</v>
      </c>
      <c r="AJ15" s="2107" t="s">
        <v>1156</v>
      </c>
      <c r="AK15" s="2107">
        <v>195500</v>
      </c>
      <c r="AL15" s="2107">
        <v>2852.42</v>
      </c>
      <c r="AM15" s="2107">
        <v>3280.28</v>
      </c>
      <c r="AN15" s="2107">
        <v>27053</v>
      </c>
      <c r="AO15" s="2107">
        <v>31111</v>
      </c>
      <c r="AP15" s="2107" t="s">
        <v>1122</v>
      </c>
      <c r="AQ15" s="2107" t="s">
        <v>1122</v>
      </c>
      <c r="AR15" s="2107">
        <v>15</v>
      </c>
      <c r="AS15" s="2107" t="s">
        <v>1157</v>
      </c>
      <c r="AT15" s="2107">
        <v>195500</v>
      </c>
      <c r="AU15" s="2107" t="s">
        <v>1168</v>
      </c>
      <c r="AV15" s="2107" t="s">
        <v>1117</v>
      </c>
      <c r="AW15" s="2107">
        <v>31111</v>
      </c>
      <c r="AX15" s="2107">
        <v>15</v>
      </c>
      <c r="AY15" s="2107" t="s">
        <v>1122</v>
      </c>
    </row>
    <row r="16" spans="1:61" s="2105" customFormat="1">
      <c r="A16" s="2105" t="s">
        <v>1169</v>
      </c>
      <c r="B16" s="2105" t="s">
        <v>342</v>
      </c>
      <c r="C16" s="2105" t="s">
        <v>1170</v>
      </c>
      <c r="D16" s="2105" t="s">
        <v>1108</v>
      </c>
      <c r="E16" s="2105" t="s">
        <v>1109</v>
      </c>
      <c r="F16" s="2105" t="s">
        <v>1171</v>
      </c>
      <c r="G16" s="2105" t="s">
        <v>1172</v>
      </c>
      <c r="H16" s="2105" t="s">
        <v>1134</v>
      </c>
      <c r="I16" s="2105">
        <v>51409.62</v>
      </c>
      <c r="J16" s="2105">
        <v>83593.919999999998</v>
      </c>
      <c r="K16" s="2105">
        <v>1.6</v>
      </c>
      <c r="L16" s="2105" t="s">
        <v>1114</v>
      </c>
      <c r="M16" s="2105" t="s">
        <v>1135</v>
      </c>
      <c r="N16" s="2105" t="s">
        <v>1173</v>
      </c>
      <c r="O16" s="2105" t="s">
        <v>1117</v>
      </c>
      <c r="P16" s="2105">
        <v>0.3</v>
      </c>
      <c r="Q16" s="2105">
        <v>30</v>
      </c>
      <c r="R16" s="2105" t="s">
        <v>1174</v>
      </c>
      <c r="S16" s="2105" t="s">
        <v>1175</v>
      </c>
      <c r="T16" s="2105" t="s">
        <v>1122</v>
      </c>
      <c r="U16" s="2105">
        <v>0</v>
      </c>
      <c r="V16" s="2105">
        <v>0</v>
      </c>
      <c r="W16" s="2105">
        <v>0</v>
      </c>
      <c r="X16" s="2105">
        <v>0</v>
      </c>
      <c r="Y16" s="2105">
        <v>44568.0004976852</v>
      </c>
      <c r="Z16" s="2109">
        <v>44589.0004976852</v>
      </c>
      <c r="AA16" s="2109">
        <v>44608.0004976852</v>
      </c>
      <c r="AB16" s="2109">
        <v>44608.0004976852</v>
      </c>
      <c r="AC16" s="2105" t="s">
        <v>1176</v>
      </c>
      <c r="AD16" s="2105" t="s">
        <v>1124</v>
      </c>
      <c r="AE16" s="2105" t="s">
        <v>1177</v>
      </c>
      <c r="AF16" s="2105" t="s">
        <v>1178</v>
      </c>
      <c r="AG16" s="2105" t="s">
        <v>1179</v>
      </c>
      <c r="AH16" s="2105">
        <v>166000</v>
      </c>
      <c r="AI16" s="2105">
        <v>34000</v>
      </c>
      <c r="AJ16" s="2105" t="s">
        <v>1180</v>
      </c>
      <c r="AK16" s="2105">
        <v>166000</v>
      </c>
      <c r="AL16" s="2105">
        <v>2152.65</v>
      </c>
      <c r="AM16" s="2105">
        <v>2152.65</v>
      </c>
      <c r="AN16" s="2105">
        <v>19858</v>
      </c>
      <c r="AO16" s="2105">
        <v>19858</v>
      </c>
      <c r="AP16" s="2105" t="s">
        <v>1122</v>
      </c>
      <c r="AQ16" s="2105" t="s">
        <v>1122</v>
      </c>
      <c r="AR16" s="2105">
        <v>0</v>
      </c>
      <c r="AS16" s="2105" t="s">
        <v>1181</v>
      </c>
      <c r="AT16" s="2105">
        <v>174300</v>
      </c>
      <c r="AU16" s="2105" t="s">
        <v>1130</v>
      </c>
      <c r="AV16" s="2105">
        <v>42000</v>
      </c>
      <c r="AW16" s="2105">
        <v>20851</v>
      </c>
      <c r="AX16" s="2105">
        <v>5</v>
      </c>
      <c r="AY16" s="2105">
        <v>22142</v>
      </c>
    </row>
    <row r="17" spans="1:51" s="2105" customFormat="1">
      <c r="A17" s="2105" t="s">
        <v>1182</v>
      </c>
      <c r="B17" s="2105" t="s">
        <v>342</v>
      </c>
      <c r="C17" s="2105" t="s">
        <v>1183</v>
      </c>
      <c r="D17" s="2105" t="s">
        <v>1108</v>
      </c>
      <c r="E17" s="2105" t="s">
        <v>1109</v>
      </c>
      <c r="F17" s="2105" t="s">
        <v>1110</v>
      </c>
      <c r="G17" s="2105" t="s">
        <v>1111</v>
      </c>
      <c r="H17" s="2105" t="s">
        <v>1112</v>
      </c>
      <c r="I17" s="2105">
        <v>40739.620000000003</v>
      </c>
      <c r="J17" s="2105">
        <v>75359.210000000006</v>
      </c>
      <c r="K17" s="2105" t="s">
        <v>1184</v>
      </c>
      <c r="L17" s="2105" t="s">
        <v>1114</v>
      </c>
      <c r="M17" s="2105" t="s">
        <v>1185</v>
      </c>
      <c r="N17" s="2105" t="s">
        <v>1173</v>
      </c>
      <c r="O17" s="2105">
        <v>0</v>
      </c>
      <c r="P17" s="2105">
        <v>0.3</v>
      </c>
      <c r="Q17" s="2105" t="s">
        <v>1186</v>
      </c>
      <c r="R17" s="2105" t="s">
        <v>1187</v>
      </c>
      <c r="S17" s="2105" t="s">
        <v>1175</v>
      </c>
      <c r="T17" s="2105" t="s">
        <v>1122</v>
      </c>
      <c r="U17" s="2105" t="s">
        <v>1122</v>
      </c>
      <c r="V17" s="2105">
        <v>0</v>
      </c>
      <c r="W17" s="2105">
        <v>0</v>
      </c>
      <c r="X17" s="2105">
        <v>0</v>
      </c>
      <c r="Y17" s="2105">
        <v>44568.0004976852</v>
      </c>
      <c r="Z17" s="2109">
        <v>44589.0004976852</v>
      </c>
      <c r="AA17" s="2109">
        <v>44608.0004976852</v>
      </c>
      <c r="AB17" s="2109">
        <v>44608.0004976852</v>
      </c>
      <c r="AC17" s="2105" t="s">
        <v>1188</v>
      </c>
      <c r="AD17" s="2105" t="s">
        <v>1124</v>
      </c>
      <c r="AE17" s="2105" t="s">
        <v>1189</v>
      </c>
      <c r="AF17" s="2105" t="s">
        <v>1190</v>
      </c>
      <c r="AG17" s="2105" t="s">
        <v>1141</v>
      </c>
      <c r="AH17" s="2105">
        <v>140000</v>
      </c>
      <c r="AI17" s="2105">
        <v>28000</v>
      </c>
      <c r="AJ17" s="2105" t="s">
        <v>1180</v>
      </c>
      <c r="AK17" s="2105">
        <v>140700</v>
      </c>
      <c r="AL17" s="2105">
        <v>2290.9699999999998</v>
      </c>
      <c r="AM17" s="2105">
        <v>2302.4299999999998</v>
      </c>
      <c r="AN17" s="2105">
        <v>18578</v>
      </c>
      <c r="AO17" s="2105">
        <v>18671</v>
      </c>
      <c r="AP17" s="2105" t="s">
        <v>1122</v>
      </c>
      <c r="AQ17" s="2105" t="s">
        <v>1122</v>
      </c>
      <c r="AR17" s="2105">
        <v>0.5</v>
      </c>
      <c r="AS17" s="2105" t="s">
        <v>1191</v>
      </c>
      <c r="AT17" s="2105">
        <v>161000</v>
      </c>
      <c r="AU17" s="2105" t="s">
        <v>1130</v>
      </c>
      <c r="AV17" s="2105">
        <v>44000</v>
      </c>
      <c r="AW17" s="2105">
        <v>21364</v>
      </c>
      <c r="AX17" s="2105">
        <v>15</v>
      </c>
      <c r="AY17" s="2105">
        <v>25422</v>
      </c>
    </row>
    <row r="18" spans="1:51">
      <c r="A18" s="2107" t="s">
        <v>1192</v>
      </c>
      <c r="B18" s="2107" t="s">
        <v>342</v>
      </c>
      <c r="C18" s="2107" t="s">
        <v>1193</v>
      </c>
      <c r="D18" s="2107" t="s">
        <v>1108</v>
      </c>
      <c r="E18" s="2107" t="s">
        <v>1109</v>
      </c>
      <c r="F18" s="2107" t="s">
        <v>1110</v>
      </c>
      <c r="G18" s="2107" t="s">
        <v>1194</v>
      </c>
      <c r="H18" s="2107" t="s">
        <v>1112</v>
      </c>
      <c r="I18" s="2107">
        <v>40739.620000000003</v>
      </c>
      <c r="J18" s="2107">
        <v>75359.210000000006</v>
      </c>
      <c r="K18" s="2107" t="s">
        <v>1195</v>
      </c>
      <c r="L18" s="2107" t="s">
        <v>1114</v>
      </c>
      <c r="M18" s="2107" t="s">
        <v>1185</v>
      </c>
      <c r="N18" s="2107" t="s">
        <v>1196</v>
      </c>
      <c r="O18" s="2107" t="s">
        <v>1117</v>
      </c>
      <c r="P18" s="2107">
        <v>0.3</v>
      </c>
      <c r="Q18" s="2107">
        <v>4516</v>
      </c>
      <c r="R18" s="2107" t="s">
        <v>1197</v>
      </c>
      <c r="S18" s="2107" t="s">
        <v>1122</v>
      </c>
      <c r="T18" s="2107" t="s">
        <v>1198</v>
      </c>
      <c r="U18" s="2107">
        <v>14300</v>
      </c>
      <c r="V18" s="2107" t="s">
        <v>1122</v>
      </c>
      <c r="W18" s="2107">
        <v>0</v>
      </c>
      <c r="X18" s="2107">
        <v>0</v>
      </c>
      <c r="Y18" s="2107">
        <v>44438.0004976852</v>
      </c>
      <c r="Z18" s="2108">
        <v>44462.0004976852</v>
      </c>
      <c r="AA18" s="2108">
        <v>44481.0004976852</v>
      </c>
      <c r="AB18" s="2108" t="s">
        <v>1122</v>
      </c>
      <c r="AC18" s="2107" t="s">
        <v>1199</v>
      </c>
      <c r="AD18" s="2107" t="s">
        <v>1200</v>
      </c>
      <c r="AE18" s="2107" t="s">
        <v>1117</v>
      </c>
      <c r="AF18" s="2107" t="s">
        <v>1122</v>
      </c>
      <c r="AG18" s="2107" t="s">
        <v>1122</v>
      </c>
      <c r="AH18" s="2107">
        <v>140000</v>
      </c>
      <c r="AI18" s="2107">
        <v>28000</v>
      </c>
      <c r="AJ18" s="2107" t="s">
        <v>1201</v>
      </c>
      <c r="AK18" s="2107" t="s">
        <v>1122</v>
      </c>
      <c r="AL18" s="2107">
        <v>2290.9699999999998</v>
      </c>
      <c r="AM18" s="2107" t="s">
        <v>1122</v>
      </c>
      <c r="AN18" s="2107">
        <v>18578</v>
      </c>
      <c r="AO18" s="2107" t="s">
        <v>1122</v>
      </c>
      <c r="AP18" s="2107">
        <v>22929</v>
      </c>
      <c r="AQ18" s="2107" t="s">
        <v>1122</v>
      </c>
      <c r="AR18" s="2107">
        <v>0</v>
      </c>
      <c r="AS18" s="2107" t="s">
        <v>1202</v>
      </c>
      <c r="AT18" s="2107">
        <v>161000</v>
      </c>
      <c r="AU18" s="2107" t="s">
        <v>1122</v>
      </c>
      <c r="AV18" s="2107">
        <v>47000</v>
      </c>
      <c r="AW18" s="2107">
        <v>21364</v>
      </c>
      <c r="AX18" s="2107">
        <v>15</v>
      </c>
      <c r="AY18" s="2107">
        <v>28422</v>
      </c>
    </row>
    <row r="19" spans="1:51">
      <c r="A19" s="2107" t="s">
        <v>1203</v>
      </c>
      <c r="B19" s="2107" t="s">
        <v>342</v>
      </c>
      <c r="C19" s="2107" t="s">
        <v>1204</v>
      </c>
      <c r="D19" s="2107" t="s">
        <v>1108</v>
      </c>
      <c r="E19" s="2107" t="s">
        <v>1109</v>
      </c>
      <c r="F19" s="2107" t="s">
        <v>1171</v>
      </c>
      <c r="G19" s="2107" t="s">
        <v>1205</v>
      </c>
      <c r="H19" s="2107" t="s">
        <v>1112</v>
      </c>
      <c r="I19" s="2107">
        <v>63329.86</v>
      </c>
      <c r="J19" s="2107">
        <v>103544.51</v>
      </c>
      <c r="K19" s="2107" t="s">
        <v>1206</v>
      </c>
      <c r="L19" s="2107" t="s">
        <v>1114</v>
      </c>
      <c r="M19" s="2107" t="s">
        <v>1207</v>
      </c>
      <c r="N19" s="2107" t="s">
        <v>1196</v>
      </c>
      <c r="O19" s="2107">
        <v>19.27</v>
      </c>
      <c r="P19" s="2107" t="s">
        <v>1208</v>
      </c>
      <c r="Q19" s="2107">
        <v>2430</v>
      </c>
      <c r="R19" s="2107" t="s">
        <v>1174</v>
      </c>
      <c r="S19" s="2107" t="s">
        <v>1122</v>
      </c>
      <c r="T19" s="2107" t="s">
        <v>1122</v>
      </c>
      <c r="U19" s="2107" t="s">
        <v>1122</v>
      </c>
      <c r="V19" s="2107" t="s">
        <v>1122</v>
      </c>
      <c r="W19" s="2107">
        <v>0</v>
      </c>
      <c r="X19" s="2107">
        <v>0</v>
      </c>
      <c r="Y19" s="2107">
        <v>44438.0004976852</v>
      </c>
      <c r="Z19" s="2108">
        <v>44462.0004976852</v>
      </c>
      <c r="AA19" s="2108">
        <v>44481.0004976852</v>
      </c>
      <c r="AB19" s="2108" t="s">
        <v>1122</v>
      </c>
      <c r="AC19" s="2107" t="s">
        <v>1209</v>
      </c>
      <c r="AD19" s="2107" t="s">
        <v>1200</v>
      </c>
      <c r="AE19" s="2107" t="s">
        <v>1117</v>
      </c>
      <c r="AF19" s="2107" t="s">
        <v>1122</v>
      </c>
      <c r="AG19" s="2107" t="s">
        <v>1122</v>
      </c>
      <c r="AH19" s="2107">
        <v>191000</v>
      </c>
      <c r="AI19" s="2107">
        <v>38500</v>
      </c>
      <c r="AJ19" s="2107" t="s">
        <v>1201</v>
      </c>
      <c r="AK19" s="2107" t="s">
        <v>1122</v>
      </c>
      <c r="AL19" s="2107">
        <v>2010.64</v>
      </c>
      <c r="AM19" s="2107" t="s">
        <v>1122</v>
      </c>
      <c r="AN19" s="2107">
        <v>18446</v>
      </c>
      <c r="AO19" s="2107" t="s">
        <v>1122</v>
      </c>
      <c r="AP19" s="2107" t="s">
        <v>1122</v>
      </c>
      <c r="AQ19" s="2107" t="s">
        <v>1122</v>
      </c>
      <c r="AR19" s="2107">
        <v>0</v>
      </c>
      <c r="AS19" s="2107" t="s">
        <v>1210</v>
      </c>
      <c r="AT19" s="2107">
        <v>210000</v>
      </c>
      <c r="AU19" s="2107" t="s">
        <v>1122</v>
      </c>
      <c r="AV19" s="2107">
        <v>42000</v>
      </c>
      <c r="AW19" s="2107">
        <v>20281</v>
      </c>
      <c r="AX19" s="2107">
        <v>9.9499999999999993</v>
      </c>
      <c r="AY19" s="2107">
        <v>23554</v>
      </c>
    </row>
    <row r="20" spans="1:51">
      <c r="A20" s="2107" t="s">
        <v>1211</v>
      </c>
      <c r="B20" s="2107" t="s">
        <v>342</v>
      </c>
      <c r="C20" s="2107" t="s">
        <v>1212</v>
      </c>
      <c r="D20" s="2107" t="s">
        <v>1108</v>
      </c>
      <c r="E20" s="2107" t="s">
        <v>1109</v>
      </c>
      <c r="F20" s="2107" t="s">
        <v>1145</v>
      </c>
      <c r="G20" s="2107" t="s">
        <v>1213</v>
      </c>
      <c r="H20" s="2107" t="s">
        <v>1134</v>
      </c>
      <c r="I20" s="2107">
        <v>105143.73</v>
      </c>
      <c r="J20" s="2107">
        <v>262859.32</v>
      </c>
      <c r="K20" s="2107" t="s">
        <v>1214</v>
      </c>
      <c r="L20" s="2107" t="s">
        <v>1114</v>
      </c>
      <c r="M20" s="2107" t="s">
        <v>1135</v>
      </c>
      <c r="N20" s="2107" t="s">
        <v>1215</v>
      </c>
      <c r="O20" s="2107">
        <v>7.61</v>
      </c>
      <c r="P20" s="2107" t="s">
        <v>1216</v>
      </c>
      <c r="Q20" s="2107" t="s">
        <v>1217</v>
      </c>
      <c r="R20" s="2107" t="s">
        <v>1218</v>
      </c>
      <c r="S20" s="2107" t="s">
        <v>1218</v>
      </c>
      <c r="T20" s="2107" t="s">
        <v>1122</v>
      </c>
      <c r="U20" s="2107" t="s">
        <v>1122</v>
      </c>
      <c r="V20" s="2107">
        <v>0</v>
      </c>
      <c r="W20" s="2107">
        <v>0</v>
      </c>
      <c r="X20" s="2107">
        <v>0</v>
      </c>
      <c r="Y20" s="2107">
        <v>44195.0004976852</v>
      </c>
      <c r="Z20" s="2108">
        <v>44215.0004976852</v>
      </c>
      <c r="AA20" s="2108">
        <v>44229.0004976852</v>
      </c>
      <c r="AB20" s="2108">
        <v>44229.0004976852</v>
      </c>
      <c r="AC20" s="2107" t="s">
        <v>1219</v>
      </c>
      <c r="AD20" s="2107" t="s">
        <v>1124</v>
      </c>
      <c r="AE20" s="2107" t="s">
        <v>1220</v>
      </c>
      <c r="AF20" s="2107" t="s">
        <v>1221</v>
      </c>
      <c r="AG20" s="2107" t="s">
        <v>1222</v>
      </c>
      <c r="AH20" s="2107">
        <v>502000</v>
      </c>
      <c r="AI20" s="2107">
        <v>101000</v>
      </c>
      <c r="AJ20" s="2107" t="s">
        <v>1223</v>
      </c>
      <c r="AK20" s="2107">
        <v>677700</v>
      </c>
      <c r="AL20" s="2107">
        <v>3182.94</v>
      </c>
      <c r="AM20" s="2107">
        <v>4296.9799999999996</v>
      </c>
      <c r="AN20" s="2107">
        <v>19098</v>
      </c>
      <c r="AO20" s="2107">
        <v>25782</v>
      </c>
      <c r="AP20" s="2107" t="s">
        <v>1122</v>
      </c>
      <c r="AQ20" s="2107" t="s">
        <v>1122</v>
      </c>
      <c r="AR20" s="2107">
        <v>35</v>
      </c>
      <c r="AS20" s="2107" t="s">
        <v>1210</v>
      </c>
      <c r="AT20" s="2107" t="s">
        <v>1117</v>
      </c>
      <c r="AU20" s="2107" t="s">
        <v>1122</v>
      </c>
      <c r="AV20" s="2107" t="s">
        <v>1117</v>
      </c>
      <c r="AW20" s="2107" t="s">
        <v>1122</v>
      </c>
      <c r="AX20" s="2107" t="s">
        <v>1122</v>
      </c>
      <c r="AY20" s="2107" t="s">
        <v>1122</v>
      </c>
    </row>
    <row r="21" spans="1:51">
      <c r="A21" s="2107" t="s">
        <v>1224</v>
      </c>
      <c r="B21" s="2107" t="s">
        <v>342</v>
      </c>
      <c r="C21" s="2107" t="s">
        <v>1225</v>
      </c>
      <c r="D21" s="2107" t="s">
        <v>1108</v>
      </c>
      <c r="E21" s="2107" t="s">
        <v>1109</v>
      </c>
      <c r="F21" s="2107" t="s">
        <v>1171</v>
      </c>
      <c r="G21" s="2107" t="s">
        <v>1226</v>
      </c>
      <c r="H21" s="2107" t="s">
        <v>1134</v>
      </c>
      <c r="I21" s="2107">
        <v>57208.800000000003</v>
      </c>
      <c r="J21" s="2107">
        <v>91534.080000000002</v>
      </c>
      <c r="K21" s="2107" t="s">
        <v>1227</v>
      </c>
      <c r="L21" s="2107" t="s">
        <v>1114</v>
      </c>
      <c r="M21" s="2107" t="s">
        <v>1228</v>
      </c>
      <c r="N21" s="2107" t="s">
        <v>1215</v>
      </c>
      <c r="O21" s="2107" t="s">
        <v>1117</v>
      </c>
      <c r="P21" s="2107" t="s">
        <v>1229</v>
      </c>
      <c r="Q21" s="2107" t="s">
        <v>1230</v>
      </c>
      <c r="R21" s="2107" t="s">
        <v>1231</v>
      </c>
      <c r="S21" s="2107" t="s">
        <v>1137</v>
      </c>
      <c r="T21" s="2107" t="s">
        <v>1122</v>
      </c>
      <c r="U21" s="2107" t="s">
        <v>1122</v>
      </c>
      <c r="V21" s="2107">
        <v>0</v>
      </c>
      <c r="W21" s="2107">
        <v>0</v>
      </c>
      <c r="X21" s="2107">
        <v>0</v>
      </c>
      <c r="Y21" s="2107">
        <v>44188.0004976852</v>
      </c>
      <c r="Z21" s="2108">
        <v>44208.0004976852</v>
      </c>
      <c r="AA21" s="2108">
        <v>44222.0004976852</v>
      </c>
      <c r="AB21" s="2108">
        <v>44222.0004976852</v>
      </c>
      <c r="AC21" s="2107" t="s">
        <v>1232</v>
      </c>
      <c r="AD21" s="2107" t="s">
        <v>1124</v>
      </c>
      <c r="AE21" s="2107" t="s">
        <v>1233</v>
      </c>
      <c r="AF21" s="2107" t="s">
        <v>1234</v>
      </c>
      <c r="AG21" s="2107" t="s">
        <v>1235</v>
      </c>
      <c r="AH21" s="2107">
        <v>177000</v>
      </c>
      <c r="AI21" s="2107">
        <v>36000</v>
      </c>
      <c r="AJ21" s="2107" t="s">
        <v>1236</v>
      </c>
      <c r="AK21" s="2107">
        <v>205000</v>
      </c>
      <c r="AL21" s="2107">
        <v>2062.62</v>
      </c>
      <c r="AM21" s="2107">
        <v>2388.91</v>
      </c>
      <c r="AN21" s="2107">
        <v>19337</v>
      </c>
      <c r="AO21" s="2107">
        <v>22396</v>
      </c>
      <c r="AP21" s="2107" t="s">
        <v>1122</v>
      </c>
      <c r="AQ21" s="2107" t="s">
        <v>1122</v>
      </c>
      <c r="AR21" s="2107">
        <v>15.82</v>
      </c>
      <c r="AS21" s="2107" t="s">
        <v>1210</v>
      </c>
      <c r="AT21" s="2107" t="s">
        <v>1117</v>
      </c>
      <c r="AU21" s="2107" t="s">
        <v>1122</v>
      </c>
      <c r="AV21" s="2107" t="s">
        <v>1117</v>
      </c>
      <c r="AW21" s="2107" t="s">
        <v>1122</v>
      </c>
      <c r="AX21" s="2107" t="s">
        <v>1122</v>
      </c>
      <c r="AY21" s="2107"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7" t="s">
        <v>1246</v>
      </c>
      <c r="B23" s="2107" t="s">
        <v>342</v>
      </c>
      <c r="C23" s="2107" t="s">
        <v>1247</v>
      </c>
      <c r="D23" s="2107" t="s">
        <v>1108</v>
      </c>
      <c r="E23" s="2107" t="s">
        <v>1109</v>
      </c>
      <c r="F23" s="2107" t="s">
        <v>1110</v>
      </c>
      <c r="G23" s="2107" t="s">
        <v>1248</v>
      </c>
      <c r="H23" s="2107" t="s">
        <v>1112</v>
      </c>
      <c r="I23" s="2107">
        <v>122243.7</v>
      </c>
      <c r="J23" s="2107">
        <v>206085.13</v>
      </c>
      <c r="K23" s="2107" t="s">
        <v>1249</v>
      </c>
      <c r="L23" s="2107" t="s">
        <v>1114</v>
      </c>
      <c r="M23" s="2107" t="s">
        <v>1250</v>
      </c>
      <c r="N23" s="2107" t="s">
        <v>1215</v>
      </c>
      <c r="O23" s="2107">
        <v>25.55</v>
      </c>
      <c r="P23" s="2107" t="s">
        <v>1122</v>
      </c>
      <c r="Q23" s="2107" t="s">
        <v>1251</v>
      </c>
      <c r="R23" s="2107" t="s">
        <v>1231</v>
      </c>
      <c r="S23" s="2107" t="s">
        <v>1137</v>
      </c>
      <c r="T23" s="2107" t="s">
        <v>1122</v>
      </c>
      <c r="U23" s="2107">
        <v>0</v>
      </c>
      <c r="V23" s="2107">
        <v>0</v>
      </c>
      <c r="W23" s="2107">
        <v>0</v>
      </c>
      <c r="X23" s="2107">
        <v>0</v>
      </c>
      <c r="Y23" s="2107">
        <v>44036.0004976852</v>
      </c>
      <c r="Z23" s="2108">
        <v>44056.0004976852</v>
      </c>
      <c r="AA23" s="2108">
        <v>44070.0004976852</v>
      </c>
      <c r="AB23" s="2108">
        <v>44070.0004976852</v>
      </c>
      <c r="AC23" s="2107" t="s">
        <v>1252</v>
      </c>
      <c r="AD23" s="2107" t="s">
        <v>1124</v>
      </c>
      <c r="AE23" s="2107" t="s">
        <v>1253</v>
      </c>
      <c r="AF23" s="2107" t="s">
        <v>1254</v>
      </c>
      <c r="AG23" s="2107" t="s">
        <v>1255</v>
      </c>
      <c r="AH23" s="2107">
        <v>311800</v>
      </c>
      <c r="AI23" s="2107">
        <v>62400</v>
      </c>
      <c r="AJ23" s="2107" t="s">
        <v>1256</v>
      </c>
      <c r="AK23" s="2107">
        <v>311800</v>
      </c>
      <c r="AL23" s="2107">
        <v>1700.43</v>
      </c>
      <c r="AM23" s="2107">
        <v>1700.43</v>
      </c>
      <c r="AN23" s="2107">
        <v>15130</v>
      </c>
      <c r="AO23" s="2107">
        <v>15130</v>
      </c>
      <c r="AP23" s="2107" t="s">
        <v>1122</v>
      </c>
      <c r="AQ23" s="2107" t="s">
        <v>1122</v>
      </c>
      <c r="AR23" s="2107">
        <v>0</v>
      </c>
      <c r="AS23" s="2107" t="s">
        <v>1210</v>
      </c>
      <c r="AT23" s="2107" t="s">
        <v>1117</v>
      </c>
      <c r="AU23" s="2107" t="s">
        <v>1122</v>
      </c>
      <c r="AV23" s="2107" t="s">
        <v>1117</v>
      </c>
      <c r="AW23" s="2107" t="s">
        <v>1122</v>
      </c>
      <c r="AX23" s="2107" t="s">
        <v>1122</v>
      </c>
      <c r="AY23" s="2107" t="s">
        <v>1122</v>
      </c>
    </row>
    <row r="24" spans="1:51" s="2106" customFormat="1">
      <c r="A24" s="2106" t="s">
        <v>1257</v>
      </c>
      <c r="B24" s="2106" t="s">
        <v>342</v>
      </c>
      <c r="C24" s="2106" t="s">
        <v>1258</v>
      </c>
      <c r="D24" s="2106" t="s">
        <v>1108</v>
      </c>
      <c r="E24" s="2106" t="s">
        <v>1109</v>
      </c>
      <c r="F24" s="2106" t="s">
        <v>1110</v>
      </c>
      <c r="G24" s="2106" t="s">
        <v>1248</v>
      </c>
      <c r="H24" s="2106" t="s">
        <v>1112</v>
      </c>
      <c r="I24" s="2106">
        <v>83940.05</v>
      </c>
      <c r="J24" s="2106">
        <v>146004.07999999999</v>
      </c>
      <c r="K24" s="2106" t="s">
        <v>1259</v>
      </c>
      <c r="L24" s="2106" t="s">
        <v>1114</v>
      </c>
      <c r="M24" s="2106" t="s">
        <v>1260</v>
      </c>
      <c r="N24" s="2106" t="s">
        <v>1215</v>
      </c>
      <c r="O24" s="2106">
        <v>22.26</v>
      </c>
      <c r="P24" s="2106" t="s">
        <v>1229</v>
      </c>
      <c r="Q24" s="2106" t="s">
        <v>1261</v>
      </c>
      <c r="R24" s="2106" t="s">
        <v>1231</v>
      </c>
      <c r="S24" s="2106" t="s">
        <v>1137</v>
      </c>
      <c r="T24" s="2106" t="s">
        <v>1122</v>
      </c>
      <c r="U24" s="2106">
        <v>0</v>
      </c>
      <c r="V24" s="2106">
        <v>0</v>
      </c>
      <c r="W24" s="2106">
        <v>0</v>
      </c>
      <c r="X24" s="2106">
        <v>0</v>
      </c>
      <c r="Y24" s="2106">
        <v>44036.0004976852</v>
      </c>
      <c r="Z24" s="2110">
        <v>44056.0004976852</v>
      </c>
      <c r="AA24" s="2110">
        <v>44070.0004976852</v>
      </c>
      <c r="AB24" s="2110">
        <v>44070.0004976852</v>
      </c>
      <c r="AC24" s="2106" t="s">
        <v>1262</v>
      </c>
      <c r="AD24" s="2106" t="s">
        <v>1124</v>
      </c>
      <c r="AE24" s="2106" t="s">
        <v>1263</v>
      </c>
      <c r="AF24" s="2106" t="s">
        <v>1264</v>
      </c>
      <c r="AG24" s="2106" t="s">
        <v>1265</v>
      </c>
      <c r="AH24" s="2106">
        <v>243400</v>
      </c>
      <c r="AI24" s="2106">
        <v>48700</v>
      </c>
      <c r="AJ24" s="2106" t="s">
        <v>1256</v>
      </c>
      <c r="AK24" s="2106">
        <v>243400</v>
      </c>
      <c r="AL24" s="2106">
        <v>1933.13</v>
      </c>
      <c r="AM24" s="2106">
        <v>1933.13</v>
      </c>
      <c r="AN24" s="2106">
        <v>16671</v>
      </c>
      <c r="AO24" s="2106">
        <v>16671</v>
      </c>
      <c r="AP24" s="2106" t="s">
        <v>1122</v>
      </c>
      <c r="AQ24" s="2106" t="s">
        <v>1122</v>
      </c>
      <c r="AR24" s="2106">
        <v>0</v>
      </c>
      <c r="AS24" s="2106" t="s">
        <v>1210</v>
      </c>
      <c r="AT24" s="2106" t="s">
        <v>1117</v>
      </c>
      <c r="AU24" s="2106" t="s">
        <v>1122</v>
      </c>
      <c r="AV24" s="2106" t="s">
        <v>1117</v>
      </c>
      <c r="AW24" s="2106" t="s">
        <v>1122</v>
      </c>
      <c r="AX24" s="2106" t="s">
        <v>1122</v>
      </c>
      <c r="AY24" s="2106" t="s">
        <v>1122</v>
      </c>
    </row>
    <row r="25" spans="1:51">
      <c r="A25" s="2107" t="s">
        <v>1266</v>
      </c>
      <c r="B25" s="2107" t="s">
        <v>342</v>
      </c>
      <c r="C25" s="2107" t="s">
        <v>1267</v>
      </c>
      <c r="D25" s="2107" t="s">
        <v>1108</v>
      </c>
      <c r="E25" s="2107" t="s">
        <v>1109</v>
      </c>
      <c r="F25" s="2107" t="s">
        <v>1110</v>
      </c>
      <c r="G25" s="2107" t="s">
        <v>1248</v>
      </c>
      <c r="H25" s="2107" t="s">
        <v>1112</v>
      </c>
      <c r="I25" s="2107">
        <v>99454.31</v>
      </c>
      <c r="J25" s="2107">
        <v>153846.89000000001</v>
      </c>
      <c r="K25" s="2107" t="s">
        <v>1268</v>
      </c>
      <c r="L25" s="2107" t="s">
        <v>1114</v>
      </c>
      <c r="M25" s="2107" t="s">
        <v>1115</v>
      </c>
      <c r="N25" s="2107" t="s">
        <v>1215</v>
      </c>
      <c r="O25" s="2107" t="s">
        <v>1117</v>
      </c>
      <c r="P25" s="2107" t="s">
        <v>1229</v>
      </c>
      <c r="Q25" s="2107" t="s">
        <v>1269</v>
      </c>
      <c r="R25" s="2107" t="s">
        <v>1231</v>
      </c>
      <c r="S25" s="2107" t="s">
        <v>1137</v>
      </c>
      <c r="T25" s="2107" t="s">
        <v>1122</v>
      </c>
      <c r="U25" s="2107">
        <v>0</v>
      </c>
      <c r="V25" s="2107">
        <v>0</v>
      </c>
      <c r="W25" s="2107">
        <v>0</v>
      </c>
      <c r="X25" s="2107">
        <v>0</v>
      </c>
      <c r="Y25" s="2107">
        <v>44036.0004976852</v>
      </c>
      <c r="Z25" s="2108">
        <v>44056.0004976852</v>
      </c>
      <c r="AA25" s="2108">
        <v>44070.0004976852</v>
      </c>
      <c r="AB25" s="2108">
        <v>44070.0004976852</v>
      </c>
      <c r="AC25" s="2107" t="s">
        <v>1270</v>
      </c>
      <c r="AD25" s="2107" t="s">
        <v>1124</v>
      </c>
      <c r="AE25" s="2107" t="s">
        <v>1271</v>
      </c>
      <c r="AF25" s="2107" t="s">
        <v>1272</v>
      </c>
      <c r="AG25" s="2107" t="s">
        <v>1141</v>
      </c>
      <c r="AH25" s="2107">
        <v>302400</v>
      </c>
      <c r="AI25" s="2107">
        <v>60500</v>
      </c>
      <c r="AJ25" s="2107" t="s">
        <v>1256</v>
      </c>
      <c r="AK25" s="2107">
        <v>326000</v>
      </c>
      <c r="AL25" s="2107">
        <v>2027.06</v>
      </c>
      <c r="AM25" s="2107">
        <v>2185.2600000000002</v>
      </c>
      <c r="AN25" s="2107">
        <v>19656</v>
      </c>
      <c r="AO25" s="2107">
        <v>21190</v>
      </c>
      <c r="AP25" s="2107" t="s">
        <v>1122</v>
      </c>
      <c r="AQ25" s="2107" t="s">
        <v>1122</v>
      </c>
      <c r="AR25" s="2107">
        <v>7.8</v>
      </c>
      <c r="AS25" s="2107" t="s">
        <v>1191</v>
      </c>
      <c r="AT25" s="2107" t="s">
        <v>1117</v>
      </c>
      <c r="AU25" s="2107" t="s">
        <v>1122</v>
      </c>
      <c r="AV25" s="2107" t="s">
        <v>1117</v>
      </c>
      <c r="AW25" s="2107" t="s">
        <v>1122</v>
      </c>
      <c r="AX25" s="2107" t="s">
        <v>1122</v>
      </c>
      <c r="AY25" s="2107" t="s">
        <v>1122</v>
      </c>
    </row>
    <row r="26" spans="1:51" s="2106" customFormat="1">
      <c r="A26" s="2106" t="s">
        <v>1273</v>
      </c>
      <c r="B26" s="2106" t="s">
        <v>342</v>
      </c>
      <c r="C26" s="2106" t="s">
        <v>1274</v>
      </c>
      <c r="D26" s="2106" t="s">
        <v>1108</v>
      </c>
      <c r="E26" s="2106" t="s">
        <v>1109</v>
      </c>
      <c r="F26" s="2106" t="s">
        <v>1171</v>
      </c>
      <c r="G26" s="2106" t="s">
        <v>1205</v>
      </c>
      <c r="H26" s="2106" t="s">
        <v>1112</v>
      </c>
      <c r="I26" s="2106">
        <v>57706.7</v>
      </c>
      <c r="J26" s="2106">
        <v>86410.72</v>
      </c>
      <c r="K26" s="2106" t="s">
        <v>1275</v>
      </c>
      <c r="L26" s="2106" t="s">
        <v>1114</v>
      </c>
      <c r="M26" s="2106" t="s">
        <v>1276</v>
      </c>
      <c r="N26" s="2106" t="s">
        <v>1215</v>
      </c>
      <c r="O26" s="2106" t="s">
        <v>1117</v>
      </c>
      <c r="P26" s="2106" t="s">
        <v>1277</v>
      </c>
      <c r="Q26" s="2106" t="s">
        <v>1278</v>
      </c>
      <c r="R26" s="2106" t="s">
        <v>1231</v>
      </c>
      <c r="S26" s="2106" t="s">
        <v>1137</v>
      </c>
      <c r="T26" s="2106" t="s">
        <v>1122</v>
      </c>
      <c r="U26" s="2106">
        <v>0</v>
      </c>
      <c r="V26" s="2106">
        <v>0</v>
      </c>
      <c r="W26" s="2106">
        <v>0</v>
      </c>
      <c r="X26" s="2106">
        <v>0</v>
      </c>
      <c r="Y26" s="2106">
        <v>43917.0004976852</v>
      </c>
      <c r="Z26" s="2110">
        <v>43944.0004976852</v>
      </c>
      <c r="AA26" s="2110">
        <v>43960.0004976852</v>
      </c>
      <c r="AB26" s="2110">
        <v>43960.0004976852</v>
      </c>
      <c r="AC26" s="2106" t="s">
        <v>1279</v>
      </c>
      <c r="AD26" s="2106" t="s">
        <v>1124</v>
      </c>
      <c r="AE26" s="2106" t="s">
        <v>1280</v>
      </c>
      <c r="AF26" s="2106" t="s">
        <v>1245</v>
      </c>
      <c r="AG26" s="2106" t="s">
        <v>1155</v>
      </c>
      <c r="AH26" s="2106">
        <v>142400</v>
      </c>
      <c r="AI26" s="2106">
        <v>28500</v>
      </c>
      <c r="AJ26" s="2106" t="s">
        <v>1281</v>
      </c>
      <c r="AK26" s="2106">
        <v>167000</v>
      </c>
      <c r="AL26" s="2106">
        <v>1645.1</v>
      </c>
      <c r="AM26" s="2106">
        <v>1929.3</v>
      </c>
      <c r="AN26" s="2106">
        <v>16479</v>
      </c>
      <c r="AO26" s="2106">
        <v>19326</v>
      </c>
      <c r="AP26" s="2106" t="s">
        <v>1122</v>
      </c>
      <c r="AQ26" s="2106" t="s">
        <v>1122</v>
      </c>
      <c r="AR26" s="2106">
        <v>17.28</v>
      </c>
      <c r="AS26" s="2106" t="s">
        <v>1210</v>
      </c>
      <c r="AT26" s="2106" t="s">
        <v>1117</v>
      </c>
      <c r="AU26" s="2106" t="s">
        <v>1122</v>
      </c>
      <c r="AV26" s="2106" t="s">
        <v>1117</v>
      </c>
      <c r="AW26" s="2106" t="s">
        <v>1122</v>
      </c>
      <c r="AX26" s="2106" t="s">
        <v>1122</v>
      </c>
      <c r="AY26" s="2106" t="s">
        <v>1122</v>
      </c>
    </row>
    <row r="27" spans="1:51" s="2106" customFormat="1">
      <c r="A27" s="2106" t="s">
        <v>1282</v>
      </c>
      <c r="B27" s="2106" t="s">
        <v>342</v>
      </c>
      <c r="C27" s="2106" t="s">
        <v>1283</v>
      </c>
      <c r="D27" s="2106" t="s">
        <v>1108</v>
      </c>
      <c r="E27" s="2106" t="s">
        <v>1109</v>
      </c>
      <c r="F27" s="2106" t="s">
        <v>1171</v>
      </c>
      <c r="G27" s="2106" t="s">
        <v>1205</v>
      </c>
      <c r="H27" s="2106" t="s">
        <v>1112</v>
      </c>
      <c r="I27" s="2106">
        <v>87328.39</v>
      </c>
      <c r="J27" s="2106">
        <v>135355.79999999999</v>
      </c>
      <c r="K27" s="2106" t="s">
        <v>1284</v>
      </c>
      <c r="L27" s="2106" t="s">
        <v>1114</v>
      </c>
      <c r="M27" s="2106" t="s">
        <v>1285</v>
      </c>
      <c r="N27" s="2106" t="s">
        <v>1215</v>
      </c>
      <c r="O27" s="2106" t="s">
        <v>1117</v>
      </c>
      <c r="P27" s="2106" t="s">
        <v>1286</v>
      </c>
      <c r="Q27" s="2106" t="s">
        <v>1287</v>
      </c>
      <c r="R27" s="2106" t="s">
        <v>1231</v>
      </c>
      <c r="S27" s="2106" t="s">
        <v>1137</v>
      </c>
      <c r="T27" s="2106" t="s">
        <v>1122</v>
      </c>
      <c r="U27" s="2106">
        <v>0</v>
      </c>
      <c r="V27" s="2106">
        <v>0</v>
      </c>
      <c r="W27" s="2106">
        <v>0</v>
      </c>
      <c r="X27" s="2106">
        <v>0</v>
      </c>
      <c r="Y27" s="2106">
        <v>43917.0004976852</v>
      </c>
      <c r="Z27" s="2110">
        <v>43944.0004976852</v>
      </c>
      <c r="AA27" s="2110">
        <v>43960.0004976852</v>
      </c>
      <c r="AB27" s="2110">
        <v>43960.0004976852</v>
      </c>
      <c r="AC27" s="2106" t="s">
        <v>1288</v>
      </c>
      <c r="AD27" s="2106" t="s">
        <v>1124</v>
      </c>
      <c r="AE27" s="2106" t="s">
        <v>1289</v>
      </c>
      <c r="AF27" s="2106" t="s">
        <v>1290</v>
      </c>
      <c r="AG27" s="2106" t="s">
        <v>1141</v>
      </c>
      <c r="AH27" s="2106">
        <v>241000</v>
      </c>
      <c r="AI27" s="2106">
        <v>48200</v>
      </c>
      <c r="AJ27" s="2106" t="s">
        <v>1281</v>
      </c>
      <c r="AK27" s="2106">
        <v>241000</v>
      </c>
      <c r="AL27" s="2106">
        <v>1839.8</v>
      </c>
      <c r="AM27" s="2106">
        <v>1839.8</v>
      </c>
      <c r="AN27" s="2106">
        <v>17805</v>
      </c>
      <c r="AO27" s="2106">
        <v>17805</v>
      </c>
      <c r="AP27" s="2106" t="s">
        <v>1122</v>
      </c>
      <c r="AQ27" s="2106" t="s">
        <v>1122</v>
      </c>
      <c r="AR27" s="2106">
        <v>0</v>
      </c>
      <c r="AS27" s="2106" t="s">
        <v>1210</v>
      </c>
      <c r="AT27" s="2106" t="s">
        <v>1117</v>
      </c>
      <c r="AU27" s="2106" t="s">
        <v>1122</v>
      </c>
      <c r="AV27" s="2106" t="s">
        <v>1117</v>
      </c>
      <c r="AW27" s="2106" t="s">
        <v>1122</v>
      </c>
      <c r="AX27" s="2106" t="s">
        <v>1122</v>
      </c>
      <c r="AY27" s="2106" t="s">
        <v>1122</v>
      </c>
    </row>
    <row r="28" spans="1:51">
      <c r="A28" s="2107" t="s">
        <v>1246</v>
      </c>
      <c r="B28" s="2107" t="s">
        <v>342</v>
      </c>
      <c r="C28" s="2107" t="s">
        <v>1291</v>
      </c>
      <c r="D28" s="2107" t="s">
        <v>1108</v>
      </c>
      <c r="E28" s="2107" t="s">
        <v>1109</v>
      </c>
      <c r="F28" s="2107" t="s">
        <v>1110</v>
      </c>
      <c r="G28" s="2107" t="s">
        <v>1248</v>
      </c>
      <c r="H28" s="2107" t="s">
        <v>1112</v>
      </c>
      <c r="I28" s="2107">
        <v>122243.7</v>
      </c>
      <c r="J28" s="2107">
        <v>206085.13</v>
      </c>
      <c r="K28" s="2107" t="s">
        <v>1292</v>
      </c>
      <c r="L28" s="2107" t="s">
        <v>1114</v>
      </c>
      <c r="M28" s="2107" t="s">
        <v>1250</v>
      </c>
      <c r="N28" s="2107" t="s">
        <v>1215</v>
      </c>
      <c r="O28" s="2107" t="s">
        <v>1117</v>
      </c>
      <c r="P28" s="2107" t="s">
        <v>1122</v>
      </c>
      <c r="Q28" s="2107" t="s">
        <v>1293</v>
      </c>
      <c r="R28" s="2107" t="s">
        <v>1231</v>
      </c>
      <c r="S28" s="2107" t="s">
        <v>1137</v>
      </c>
      <c r="T28" s="2107" t="s">
        <v>1122</v>
      </c>
      <c r="U28" s="2107">
        <v>0</v>
      </c>
      <c r="V28" s="2107">
        <v>0</v>
      </c>
      <c r="W28" s="2107">
        <v>0</v>
      </c>
      <c r="X28" s="2107">
        <v>0</v>
      </c>
      <c r="Y28" s="2107">
        <v>43784.0004976852</v>
      </c>
      <c r="Z28" s="2108">
        <v>43804.0004976852</v>
      </c>
      <c r="AA28" s="2108">
        <v>43818.0004976852</v>
      </c>
      <c r="AB28" s="2108" t="s">
        <v>1122</v>
      </c>
      <c r="AC28" s="2107" t="s">
        <v>1294</v>
      </c>
      <c r="AD28" s="2107" t="s">
        <v>1200</v>
      </c>
      <c r="AE28" s="2107" t="s">
        <v>1117</v>
      </c>
      <c r="AF28" s="2107" t="s">
        <v>1122</v>
      </c>
      <c r="AG28" s="2107" t="s">
        <v>1122</v>
      </c>
      <c r="AH28" s="2107">
        <v>513500</v>
      </c>
      <c r="AI28" s="2107">
        <v>103000</v>
      </c>
      <c r="AJ28" s="2107" t="s">
        <v>1295</v>
      </c>
      <c r="AK28" s="2107" t="s">
        <v>1122</v>
      </c>
      <c r="AL28" s="2107">
        <v>2800.42</v>
      </c>
      <c r="AM28" s="2107" t="s">
        <v>1122</v>
      </c>
      <c r="AN28" s="2107">
        <v>24917</v>
      </c>
      <c r="AO28" s="2107" t="s">
        <v>1122</v>
      </c>
      <c r="AP28" s="2107" t="s">
        <v>1122</v>
      </c>
      <c r="AQ28" s="2107" t="s">
        <v>1122</v>
      </c>
      <c r="AR28" s="2107">
        <v>0</v>
      </c>
      <c r="AS28" s="2107" t="s">
        <v>1210</v>
      </c>
      <c r="AT28" s="2107" t="s">
        <v>1117</v>
      </c>
      <c r="AU28" s="2107" t="s">
        <v>1122</v>
      </c>
      <c r="AV28" s="2107" t="s">
        <v>1117</v>
      </c>
      <c r="AW28" s="2107" t="s">
        <v>1122</v>
      </c>
      <c r="AX28" s="2107" t="s">
        <v>1122</v>
      </c>
      <c r="AY28" s="2107" t="s">
        <v>1122</v>
      </c>
    </row>
    <row r="29" spans="1:51">
      <c r="A29" s="2107" t="s">
        <v>1296</v>
      </c>
      <c r="B29" s="2107" t="s">
        <v>342</v>
      </c>
      <c r="C29" s="2107" t="s">
        <v>1297</v>
      </c>
      <c r="D29" s="2107" t="s">
        <v>1108</v>
      </c>
      <c r="E29" s="2107" t="s">
        <v>1109</v>
      </c>
      <c r="F29" s="2107" t="s">
        <v>1145</v>
      </c>
      <c r="G29" s="2107" t="s">
        <v>1298</v>
      </c>
      <c r="H29" s="2107" t="s">
        <v>1112</v>
      </c>
      <c r="I29" s="2107">
        <v>271565.40000000002</v>
      </c>
      <c r="J29" s="2107">
        <v>169126</v>
      </c>
      <c r="K29" s="2107" t="s">
        <v>1122</v>
      </c>
      <c r="L29" s="2107" t="s">
        <v>1299</v>
      </c>
      <c r="M29" s="2107" t="s">
        <v>1300</v>
      </c>
      <c r="N29" s="2107" t="s">
        <v>1215</v>
      </c>
      <c r="O29" s="2107" t="s">
        <v>1117</v>
      </c>
      <c r="P29" s="2107" t="s">
        <v>1122</v>
      </c>
      <c r="Q29" s="2107" t="s">
        <v>1122</v>
      </c>
      <c r="R29" s="2107" t="s">
        <v>1122</v>
      </c>
      <c r="S29" s="2107" t="s">
        <v>1122</v>
      </c>
      <c r="T29" s="2107" t="s">
        <v>1122</v>
      </c>
      <c r="U29" s="2107">
        <v>0</v>
      </c>
      <c r="V29" s="2107">
        <v>0</v>
      </c>
      <c r="W29" s="2107">
        <v>0</v>
      </c>
      <c r="X29" s="2107">
        <v>0</v>
      </c>
      <c r="Y29" s="2107">
        <v>43774.0004976852</v>
      </c>
      <c r="Z29" s="2108">
        <v>40137.0004976852</v>
      </c>
      <c r="AA29" s="2108">
        <v>40137.0004976852</v>
      </c>
      <c r="AB29" s="2108" t="s">
        <v>1122</v>
      </c>
      <c r="AC29" s="2107" t="s">
        <v>1301</v>
      </c>
      <c r="AD29" s="2107" t="s">
        <v>1302</v>
      </c>
      <c r="AE29" s="2107" t="s">
        <v>1117</v>
      </c>
      <c r="AF29" s="2107" t="s">
        <v>1122</v>
      </c>
      <c r="AG29" s="2107" t="s">
        <v>1122</v>
      </c>
      <c r="AH29" s="2107">
        <v>141000</v>
      </c>
      <c r="AI29" s="2107">
        <v>20000</v>
      </c>
      <c r="AJ29" s="2107" t="s">
        <v>1295</v>
      </c>
      <c r="AK29" s="2107" t="s">
        <v>1122</v>
      </c>
      <c r="AL29" s="2107">
        <v>346.14</v>
      </c>
      <c r="AM29" s="2107" t="s">
        <v>1122</v>
      </c>
      <c r="AN29" s="2107">
        <v>8337</v>
      </c>
      <c r="AO29" s="2107" t="s">
        <v>1122</v>
      </c>
      <c r="AP29" s="2107" t="s">
        <v>1122</v>
      </c>
      <c r="AQ29" s="2107" t="s">
        <v>1122</v>
      </c>
      <c r="AR29" s="2107">
        <v>0</v>
      </c>
      <c r="AS29" s="2107" t="s">
        <v>1303</v>
      </c>
      <c r="AT29" s="2107" t="s">
        <v>1117</v>
      </c>
      <c r="AU29" s="2107" t="s">
        <v>1122</v>
      </c>
      <c r="AV29" s="2107" t="s">
        <v>1117</v>
      </c>
      <c r="AW29" s="2107" t="s">
        <v>1122</v>
      </c>
      <c r="AX29" s="2107" t="s">
        <v>1122</v>
      </c>
      <c r="AY29" s="2107" t="s">
        <v>1122</v>
      </c>
    </row>
    <row r="30" spans="1:51">
      <c r="A30" s="2107" t="s">
        <v>1304</v>
      </c>
      <c r="B30" s="2107" t="s">
        <v>342</v>
      </c>
      <c r="C30" s="2107" t="s">
        <v>1305</v>
      </c>
      <c r="D30" s="2107" t="s">
        <v>1108</v>
      </c>
      <c r="E30" s="2107" t="s">
        <v>1109</v>
      </c>
      <c r="F30" s="2107" t="s">
        <v>1306</v>
      </c>
      <c r="G30" s="2107" t="s">
        <v>1307</v>
      </c>
      <c r="H30" s="2107" t="s">
        <v>1112</v>
      </c>
      <c r="I30" s="2107">
        <v>146640.21</v>
      </c>
      <c r="J30" s="2107">
        <v>288410</v>
      </c>
      <c r="K30" s="2107" t="s">
        <v>1308</v>
      </c>
      <c r="L30" s="2107" t="s">
        <v>1114</v>
      </c>
      <c r="M30" s="2107" t="s">
        <v>1309</v>
      </c>
      <c r="N30" s="2107" t="s">
        <v>1215</v>
      </c>
      <c r="O30" s="2107" t="s">
        <v>1117</v>
      </c>
      <c r="P30" s="2107" t="s">
        <v>1229</v>
      </c>
      <c r="Q30" s="2107" t="s">
        <v>1310</v>
      </c>
      <c r="R30" s="2107" t="s">
        <v>1311</v>
      </c>
      <c r="S30" s="2107" t="s">
        <v>1312</v>
      </c>
      <c r="T30" s="2107" t="s">
        <v>1122</v>
      </c>
      <c r="U30" s="2107">
        <v>0</v>
      </c>
      <c r="V30" s="2107">
        <v>0</v>
      </c>
      <c r="W30" s="2107">
        <v>0</v>
      </c>
      <c r="X30" s="2107">
        <v>0</v>
      </c>
      <c r="Y30" s="2107">
        <v>43672.0004976852</v>
      </c>
      <c r="Z30" s="2108">
        <v>43692.0004976852</v>
      </c>
      <c r="AA30" s="2108">
        <v>43706.0004976852</v>
      </c>
      <c r="AB30" s="2108">
        <v>43706.0004976852</v>
      </c>
      <c r="AC30" s="2107" t="s">
        <v>1313</v>
      </c>
      <c r="AD30" s="2107" t="s">
        <v>1124</v>
      </c>
      <c r="AE30" s="2107" t="s">
        <v>1314</v>
      </c>
      <c r="AF30" s="2107" t="s">
        <v>1315</v>
      </c>
      <c r="AG30" s="2107" t="s">
        <v>1316</v>
      </c>
      <c r="AH30" s="2107">
        <v>430000</v>
      </c>
      <c r="AI30" s="2107">
        <v>86000</v>
      </c>
      <c r="AJ30" s="2107" t="s">
        <v>1317</v>
      </c>
      <c r="AK30" s="2107">
        <v>430000</v>
      </c>
      <c r="AL30" s="2107">
        <v>1954.9</v>
      </c>
      <c r="AM30" s="2107">
        <v>1954.9</v>
      </c>
      <c r="AN30" s="2107">
        <v>14909</v>
      </c>
      <c r="AO30" s="2107">
        <v>14909</v>
      </c>
      <c r="AP30" s="2107" t="s">
        <v>1122</v>
      </c>
      <c r="AQ30" s="2107" t="s">
        <v>1122</v>
      </c>
      <c r="AR30" s="2107">
        <v>0</v>
      </c>
      <c r="AS30" s="2107" t="s">
        <v>1210</v>
      </c>
      <c r="AT30" s="2107" t="s">
        <v>1117</v>
      </c>
      <c r="AU30" s="2107" t="s">
        <v>1122</v>
      </c>
      <c r="AV30" s="2107">
        <v>36903</v>
      </c>
      <c r="AW30" s="2107" t="s">
        <v>1122</v>
      </c>
      <c r="AX30" s="2107" t="s">
        <v>1122</v>
      </c>
      <c r="AY30" s="2107">
        <v>21994</v>
      </c>
    </row>
    <row r="31" spans="1:51">
      <c r="A31" s="2107" t="s">
        <v>1318</v>
      </c>
      <c r="B31" s="2107" t="s">
        <v>342</v>
      </c>
      <c r="C31" s="2107" t="s">
        <v>1319</v>
      </c>
      <c r="D31" s="2107" t="s">
        <v>1108</v>
      </c>
      <c r="E31" s="2107" t="s">
        <v>1109</v>
      </c>
      <c r="F31" s="2107" t="s">
        <v>1320</v>
      </c>
      <c r="G31" s="2107" t="s">
        <v>1321</v>
      </c>
      <c r="H31" s="2107" t="s">
        <v>1134</v>
      </c>
      <c r="I31" s="2107">
        <v>96884.68</v>
      </c>
      <c r="J31" s="2107">
        <v>145327</v>
      </c>
      <c r="K31" s="2107" t="s">
        <v>1322</v>
      </c>
      <c r="L31" s="2107" t="s">
        <v>1114</v>
      </c>
      <c r="M31" s="2107" t="s">
        <v>1135</v>
      </c>
      <c r="N31" s="2107" t="s">
        <v>1215</v>
      </c>
      <c r="O31" s="2107" t="s">
        <v>1117</v>
      </c>
      <c r="P31" s="2107" t="s">
        <v>1229</v>
      </c>
      <c r="Q31" s="2107" t="s">
        <v>1278</v>
      </c>
      <c r="R31" s="2107" t="s">
        <v>1323</v>
      </c>
      <c r="S31" s="2107" t="s">
        <v>1324</v>
      </c>
      <c r="T31" s="2107" t="s">
        <v>1122</v>
      </c>
      <c r="U31" s="2107">
        <v>0</v>
      </c>
      <c r="V31" s="2107">
        <v>0</v>
      </c>
      <c r="W31" s="2107">
        <v>0</v>
      </c>
      <c r="X31" s="2107">
        <v>0</v>
      </c>
      <c r="Y31" s="2107">
        <v>43609.0004976852</v>
      </c>
      <c r="Z31" s="2108">
        <v>43629.0004976852</v>
      </c>
      <c r="AA31" s="2108">
        <v>43643.0004976852</v>
      </c>
      <c r="AB31" s="2108">
        <v>43643.0004976852</v>
      </c>
      <c r="AC31" s="2107" t="s">
        <v>1325</v>
      </c>
      <c r="AD31" s="2107" t="s">
        <v>1124</v>
      </c>
      <c r="AE31" s="2107" t="s">
        <v>1326</v>
      </c>
      <c r="AF31" s="2107" t="s">
        <v>1327</v>
      </c>
      <c r="AG31" s="2107" t="s">
        <v>1328</v>
      </c>
      <c r="AH31" s="2107">
        <v>340000</v>
      </c>
      <c r="AI31" s="2107">
        <v>68000</v>
      </c>
      <c r="AJ31" s="2107" t="s">
        <v>1295</v>
      </c>
      <c r="AK31" s="2107">
        <v>410000</v>
      </c>
      <c r="AL31" s="2107">
        <v>2339.5500000000002</v>
      </c>
      <c r="AM31" s="2107">
        <v>2821.22</v>
      </c>
      <c r="AN31" s="2107">
        <v>23396</v>
      </c>
      <c r="AO31" s="2107">
        <v>28212</v>
      </c>
      <c r="AP31" s="2107" t="s">
        <v>1122</v>
      </c>
      <c r="AQ31" s="2107" t="s">
        <v>1122</v>
      </c>
      <c r="AR31" s="2107">
        <v>20.59</v>
      </c>
      <c r="AS31" s="2107" t="s">
        <v>1210</v>
      </c>
      <c r="AT31" s="2107" t="s">
        <v>1117</v>
      </c>
      <c r="AU31" s="2107" t="s">
        <v>1122</v>
      </c>
      <c r="AV31" s="2107" t="s">
        <v>1117</v>
      </c>
      <c r="AW31" s="2107" t="s">
        <v>1122</v>
      </c>
      <c r="AX31" s="2107" t="s">
        <v>1122</v>
      </c>
      <c r="AY31" s="2107" t="s">
        <v>1122</v>
      </c>
    </row>
    <row r="32" spans="1:51">
      <c r="A32" s="2107" t="s">
        <v>1329</v>
      </c>
      <c r="B32" s="2107" t="s">
        <v>342</v>
      </c>
      <c r="C32" s="2107" t="s">
        <v>1330</v>
      </c>
      <c r="D32" s="2107" t="s">
        <v>1108</v>
      </c>
      <c r="E32" s="2107" t="s">
        <v>1109</v>
      </c>
      <c r="F32" s="2107" t="s">
        <v>1331</v>
      </c>
      <c r="G32" s="2107" t="s">
        <v>1332</v>
      </c>
      <c r="H32" s="2107" t="s">
        <v>1134</v>
      </c>
      <c r="I32" s="2107">
        <v>21403.13</v>
      </c>
      <c r="J32" s="2107">
        <v>38526</v>
      </c>
      <c r="K32" s="2107">
        <v>1.8</v>
      </c>
      <c r="L32" s="2107" t="s">
        <v>1114</v>
      </c>
      <c r="M32" s="2107" t="s">
        <v>1135</v>
      </c>
      <c r="N32" s="2107" t="s">
        <v>1215</v>
      </c>
      <c r="O32" s="2107" t="s">
        <v>1117</v>
      </c>
      <c r="P32" s="2107" t="s">
        <v>1229</v>
      </c>
      <c r="Q32" s="2107" t="s">
        <v>1333</v>
      </c>
      <c r="R32" s="2107" t="s">
        <v>1311</v>
      </c>
      <c r="S32" s="2107" t="s">
        <v>1312</v>
      </c>
      <c r="T32" s="2107" t="s">
        <v>1122</v>
      </c>
      <c r="U32" s="2107">
        <v>0</v>
      </c>
      <c r="V32" s="2107">
        <v>0</v>
      </c>
      <c r="W32" s="2107">
        <v>0</v>
      </c>
      <c r="X32" s="2107">
        <v>0</v>
      </c>
      <c r="Y32" s="2107">
        <v>43411.0004976852</v>
      </c>
      <c r="Z32" s="2108">
        <v>43431.0004976852</v>
      </c>
      <c r="AA32" s="2108">
        <v>43445.0004976852</v>
      </c>
      <c r="AB32" s="2108">
        <v>43445.0004976852</v>
      </c>
      <c r="AC32" s="2107" t="s">
        <v>1334</v>
      </c>
      <c r="AD32" s="2107" t="s">
        <v>1124</v>
      </c>
      <c r="AE32" s="2107" t="s">
        <v>1335</v>
      </c>
      <c r="AF32" s="2107" t="s">
        <v>1336</v>
      </c>
      <c r="AG32" s="2107" t="s">
        <v>1141</v>
      </c>
      <c r="AH32" s="2107">
        <v>71000</v>
      </c>
      <c r="AI32" s="2107">
        <v>14200</v>
      </c>
      <c r="AJ32" s="2107" t="s">
        <v>1295</v>
      </c>
      <c r="AK32" s="2107">
        <v>92000</v>
      </c>
      <c r="AL32" s="2107">
        <v>2211.5100000000002</v>
      </c>
      <c r="AM32" s="2107">
        <v>2865.62</v>
      </c>
      <c r="AN32" s="2107">
        <v>18429</v>
      </c>
      <c r="AO32" s="2107">
        <v>23880</v>
      </c>
      <c r="AP32" s="2107" t="s">
        <v>1122</v>
      </c>
      <c r="AQ32" s="2107" t="s">
        <v>1122</v>
      </c>
      <c r="AR32" s="2107">
        <v>29.58</v>
      </c>
      <c r="AS32" s="2107" t="s">
        <v>1210</v>
      </c>
      <c r="AT32" s="2107" t="s">
        <v>1117</v>
      </c>
      <c r="AU32" s="2107" t="s">
        <v>1122</v>
      </c>
      <c r="AV32" s="2107">
        <v>40935</v>
      </c>
      <c r="AW32" s="2107" t="s">
        <v>1122</v>
      </c>
      <c r="AX32" s="2107" t="s">
        <v>1122</v>
      </c>
      <c r="AY32" s="2107">
        <v>22506</v>
      </c>
    </row>
    <row r="33" spans="1:51">
      <c r="A33" s="2107" t="s">
        <v>1337</v>
      </c>
      <c r="B33" s="2107" t="s">
        <v>342</v>
      </c>
      <c r="C33" s="2107" t="s">
        <v>1338</v>
      </c>
      <c r="D33" s="2107" t="s">
        <v>1108</v>
      </c>
      <c r="E33" s="2107" t="s">
        <v>1109</v>
      </c>
      <c r="F33" s="2107" t="s">
        <v>1320</v>
      </c>
      <c r="G33" s="2107" t="s">
        <v>1339</v>
      </c>
      <c r="H33" s="2107" t="s">
        <v>1134</v>
      </c>
      <c r="I33" s="2107">
        <v>43325.9</v>
      </c>
      <c r="J33" s="2107">
        <v>64988</v>
      </c>
      <c r="K33" s="2107">
        <v>1.5</v>
      </c>
      <c r="L33" s="2107" t="s">
        <v>1114</v>
      </c>
      <c r="M33" s="2107" t="s">
        <v>1135</v>
      </c>
      <c r="N33" s="2107" t="s">
        <v>1215</v>
      </c>
      <c r="O33" s="2107" t="s">
        <v>1117</v>
      </c>
      <c r="P33" s="2107" t="s">
        <v>1229</v>
      </c>
      <c r="Q33" s="2107" t="s">
        <v>1340</v>
      </c>
      <c r="R33" s="2107" t="s">
        <v>1323</v>
      </c>
      <c r="S33" s="2107" t="s">
        <v>1324</v>
      </c>
      <c r="T33" s="2107" t="s">
        <v>1122</v>
      </c>
      <c r="U33" s="2107">
        <v>0</v>
      </c>
      <c r="V33" s="2107">
        <v>0</v>
      </c>
      <c r="W33" s="2107">
        <v>0</v>
      </c>
      <c r="X33" s="2107">
        <v>0</v>
      </c>
      <c r="Y33" s="2107">
        <v>43411.0004976852</v>
      </c>
      <c r="Z33" s="2108">
        <v>43431.0004976852</v>
      </c>
      <c r="AA33" s="2108">
        <v>43445.0004976852</v>
      </c>
      <c r="AB33" s="2108">
        <v>43445.0004976852</v>
      </c>
      <c r="AC33" s="2107" t="s">
        <v>1341</v>
      </c>
      <c r="AD33" s="2107" t="s">
        <v>1124</v>
      </c>
      <c r="AE33" s="2107" t="s">
        <v>1342</v>
      </c>
      <c r="AF33" s="2107" t="s">
        <v>1343</v>
      </c>
      <c r="AG33" s="2107" t="s">
        <v>1344</v>
      </c>
      <c r="AH33" s="2107">
        <v>190000</v>
      </c>
      <c r="AI33" s="2107">
        <v>38000</v>
      </c>
      <c r="AJ33" s="2107" t="s">
        <v>1295</v>
      </c>
      <c r="AK33" s="2107">
        <v>204000</v>
      </c>
      <c r="AL33" s="2107">
        <v>2923.58</v>
      </c>
      <c r="AM33" s="2107">
        <v>3139</v>
      </c>
      <c r="AN33" s="2107">
        <v>29236</v>
      </c>
      <c r="AO33" s="2107">
        <v>31390</v>
      </c>
      <c r="AP33" s="2107" t="s">
        <v>1122</v>
      </c>
      <c r="AQ33" s="2107" t="s">
        <v>1122</v>
      </c>
      <c r="AR33" s="2107">
        <v>7.37</v>
      </c>
      <c r="AS33" s="2107" t="s">
        <v>1210</v>
      </c>
      <c r="AT33" s="2107" t="s">
        <v>1117</v>
      </c>
      <c r="AU33" s="2107" t="s">
        <v>1122</v>
      </c>
      <c r="AV33" s="2107">
        <v>55711</v>
      </c>
      <c r="AW33" s="2107" t="s">
        <v>1122</v>
      </c>
      <c r="AX33" s="2107" t="s">
        <v>1122</v>
      </c>
      <c r="AY33" s="2107">
        <v>26475</v>
      </c>
    </row>
    <row r="34" spans="1:51">
      <c r="A34" s="2107" t="s">
        <v>1345</v>
      </c>
      <c r="B34" s="2107" t="s">
        <v>342</v>
      </c>
      <c r="C34" s="2107" t="s">
        <v>1346</v>
      </c>
      <c r="D34" s="2107" t="s">
        <v>1108</v>
      </c>
      <c r="E34" s="2107" t="s">
        <v>1109</v>
      </c>
      <c r="F34" s="2107" t="s">
        <v>1171</v>
      </c>
      <c r="G34" s="2107" t="s">
        <v>1347</v>
      </c>
      <c r="H34" s="2107" t="s">
        <v>1112</v>
      </c>
      <c r="I34" s="2107">
        <v>28367.279999999999</v>
      </c>
      <c r="J34" s="2107">
        <v>42028</v>
      </c>
      <c r="K34" s="2107">
        <v>1.48</v>
      </c>
      <c r="L34" s="2107" t="s">
        <v>1114</v>
      </c>
      <c r="M34" s="2107" t="s">
        <v>1309</v>
      </c>
      <c r="N34" s="2107" t="s">
        <v>1215</v>
      </c>
      <c r="O34" s="2107" t="s">
        <v>1117</v>
      </c>
      <c r="P34" s="2107" t="s">
        <v>1229</v>
      </c>
      <c r="Q34" s="2107" t="s">
        <v>1348</v>
      </c>
      <c r="R34" s="2107" t="s">
        <v>1311</v>
      </c>
      <c r="S34" s="2107" t="s">
        <v>1312</v>
      </c>
      <c r="T34" s="2107" t="s">
        <v>1122</v>
      </c>
      <c r="U34" s="2107">
        <v>0</v>
      </c>
      <c r="V34" s="2107">
        <v>0</v>
      </c>
      <c r="W34" s="2107">
        <v>0</v>
      </c>
      <c r="X34" s="2107">
        <v>0</v>
      </c>
      <c r="Y34" s="2107">
        <v>43404.0004976852</v>
      </c>
      <c r="Z34" s="2108">
        <v>43424.0004976852</v>
      </c>
      <c r="AA34" s="2108">
        <v>43438.0004976852</v>
      </c>
      <c r="AB34" s="2108">
        <v>43438.0004976852</v>
      </c>
      <c r="AC34" s="2107" t="s">
        <v>1349</v>
      </c>
      <c r="AD34" s="2107" t="s">
        <v>1124</v>
      </c>
      <c r="AE34" s="2107" t="s">
        <v>1350</v>
      </c>
      <c r="AF34" s="2107" t="s">
        <v>1351</v>
      </c>
      <c r="AG34" s="2107" t="s">
        <v>1155</v>
      </c>
      <c r="AH34" s="2107">
        <v>76000</v>
      </c>
      <c r="AI34" s="2107">
        <v>15200</v>
      </c>
      <c r="AJ34" s="2107" t="s">
        <v>1295</v>
      </c>
      <c r="AK34" s="2107">
        <v>88500</v>
      </c>
      <c r="AL34" s="2107">
        <v>1786.1</v>
      </c>
      <c r="AM34" s="2107">
        <v>2079.86</v>
      </c>
      <c r="AN34" s="2107">
        <v>18083</v>
      </c>
      <c r="AO34" s="2107">
        <v>21057</v>
      </c>
      <c r="AP34" s="2107" t="s">
        <v>1122</v>
      </c>
      <c r="AQ34" s="2107" t="s">
        <v>1122</v>
      </c>
      <c r="AR34" s="2107">
        <v>16.45</v>
      </c>
      <c r="AS34" s="2107" t="s">
        <v>1210</v>
      </c>
      <c r="AT34" s="2107" t="s">
        <v>1117</v>
      </c>
      <c r="AU34" s="2107" t="s">
        <v>1122</v>
      </c>
      <c r="AV34" s="2107">
        <v>43467</v>
      </c>
      <c r="AW34" s="2107" t="s">
        <v>1122</v>
      </c>
      <c r="AX34" s="2107" t="s">
        <v>1122</v>
      </c>
      <c r="AY34" s="2107">
        <v>25384</v>
      </c>
    </row>
    <row r="35" spans="1:51">
      <c r="A35" s="2107" t="s">
        <v>1352</v>
      </c>
      <c r="B35" s="2107" t="s">
        <v>342</v>
      </c>
      <c r="C35" s="2107" t="s">
        <v>1353</v>
      </c>
      <c r="D35" s="2107" t="s">
        <v>1108</v>
      </c>
      <c r="E35" s="2107" t="s">
        <v>1109</v>
      </c>
      <c r="F35" s="2107" t="s">
        <v>1171</v>
      </c>
      <c r="G35" s="2107" t="s">
        <v>1205</v>
      </c>
      <c r="H35" s="2107" t="s">
        <v>1112</v>
      </c>
      <c r="I35" s="2107">
        <v>69856.02</v>
      </c>
      <c r="J35" s="2107">
        <v>104180</v>
      </c>
      <c r="K35" s="2107">
        <v>1.49</v>
      </c>
      <c r="L35" s="2107" t="s">
        <v>1114</v>
      </c>
      <c r="M35" s="2107" t="s">
        <v>1354</v>
      </c>
      <c r="N35" s="2107" t="s">
        <v>1215</v>
      </c>
      <c r="O35" s="2107" t="s">
        <v>1117</v>
      </c>
      <c r="P35" s="2107" t="s">
        <v>1229</v>
      </c>
      <c r="Q35" s="2107" t="s">
        <v>1355</v>
      </c>
      <c r="R35" s="2107" t="s">
        <v>1311</v>
      </c>
      <c r="S35" s="2107" t="s">
        <v>1312</v>
      </c>
      <c r="T35" s="2107" t="s">
        <v>1122</v>
      </c>
      <c r="U35" s="2107">
        <v>0</v>
      </c>
      <c r="V35" s="2107">
        <v>0</v>
      </c>
      <c r="W35" s="2107">
        <v>0</v>
      </c>
      <c r="X35" s="2107">
        <v>0</v>
      </c>
      <c r="Y35" s="2107">
        <v>43404.0004976852</v>
      </c>
      <c r="Z35" s="2108">
        <v>43424.0004976852</v>
      </c>
      <c r="AA35" s="2108">
        <v>43438.0004976852</v>
      </c>
      <c r="AB35" s="2108">
        <v>43438.0004976852</v>
      </c>
      <c r="AC35" s="2107" t="s">
        <v>1356</v>
      </c>
      <c r="AD35" s="2107" t="s">
        <v>1124</v>
      </c>
      <c r="AE35" s="2107" t="s">
        <v>1357</v>
      </c>
      <c r="AF35" s="2107" t="s">
        <v>1358</v>
      </c>
      <c r="AG35" s="2107" t="s">
        <v>1141</v>
      </c>
      <c r="AH35" s="2107">
        <v>190000</v>
      </c>
      <c r="AI35" s="2107">
        <v>38000</v>
      </c>
      <c r="AJ35" s="2107" t="s">
        <v>1295</v>
      </c>
      <c r="AK35" s="2107">
        <v>233000</v>
      </c>
      <c r="AL35" s="2107">
        <v>1813.25</v>
      </c>
      <c r="AM35" s="2107">
        <v>2223.62</v>
      </c>
      <c r="AN35" s="2107">
        <v>18238</v>
      </c>
      <c r="AO35" s="2107">
        <v>22365</v>
      </c>
      <c r="AP35" s="2107" t="s">
        <v>1122</v>
      </c>
      <c r="AQ35" s="2107" t="s">
        <v>1122</v>
      </c>
      <c r="AR35" s="2107">
        <v>22.63</v>
      </c>
      <c r="AS35" s="2107" t="s">
        <v>1210</v>
      </c>
      <c r="AT35" s="2107" t="s">
        <v>1117</v>
      </c>
      <c r="AU35" s="2107" t="s">
        <v>1122</v>
      </c>
      <c r="AV35" s="2107">
        <v>43467</v>
      </c>
      <c r="AW35" s="2107" t="s">
        <v>1122</v>
      </c>
      <c r="AX35" s="2107" t="s">
        <v>1122</v>
      </c>
      <c r="AY35" s="2107">
        <v>25229</v>
      </c>
    </row>
    <row r="36" spans="1:51">
      <c r="A36" s="2107" t="s">
        <v>1359</v>
      </c>
      <c r="B36" s="2107" t="s">
        <v>342</v>
      </c>
      <c r="C36" s="2107" t="s">
        <v>1360</v>
      </c>
      <c r="D36" s="2107" t="s">
        <v>1108</v>
      </c>
      <c r="E36" s="2107" t="s">
        <v>1109</v>
      </c>
      <c r="F36" s="2107" t="s">
        <v>1171</v>
      </c>
      <c r="G36" s="2107" t="s">
        <v>1347</v>
      </c>
      <c r="H36" s="2107" t="s">
        <v>1134</v>
      </c>
      <c r="I36" s="2107">
        <v>41663.440000000002</v>
      </c>
      <c r="J36" s="2107">
        <v>70828</v>
      </c>
      <c r="K36" s="2107">
        <v>1.7</v>
      </c>
      <c r="L36" s="2107" t="s">
        <v>1114</v>
      </c>
      <c r="M36" s="2107" t="s">
        <v>1135</v>
      </c>
      <c r="N36" s="2107" t="s">
        <v>1215</v>
      </c>
      <c r="O36" s="2107" t="s">
        <v>1117</v>
      </c>
      <c r="P36" s="2107" t="s">
        <v>1229</v>
      </c>
      <c r="Q36" s="2107" t="s">
        <v>1361</v>
      </c>
      <c r="R36" s="2107" t="s">
        <v>1362</v>
      </c>
      <c r="S36" s="2107" t="s">
        <v>1362</v>
      </c>
      <c r="T36" s="2107" t="s">
        <v>1122</v>
      </c>
      <c r="U36" s="2107">
        <v>0</v>
      </c>
      <c r="V36" s="2107">
        <v>0</v>
      </c>
      <c r="W36" s="2107">
        <v>70828</v>
      </c>
      <c r="X36" s="2107">
        <v>70828</v>
      </c>
      <c r="Y36" s="2107">
        <v>43396.0004976852</v>
      </c>
      <c r="Z36" s="2108">
        <v>43416.0004976852</v>
      </c>
      <c r="AA36" s="2108">
        <v>43430.0004976852</v>
      </c>
      <c r="AB36" s="2108">
        <v>43430.0004976852</v>
      </c>
      <c r="AC36" s="2107" t="s">
        <v>1363</v>
      </c>
      <c r="AD36" s="2107" t="s">
        <v>1124</v>
      </c>
      <c r="AE36" s="2107" t="s">
        <v>1364</v>
      </c>
      <c r="AF36" s="2107" t="s">
        <v>1365</v>
      </c>
      <c r="AG36" s="2107" t="s">
        <v>1366</v>
      </c>
      <c r="AH36" s="2107">
        <v>76700</v>
      </c>
      <c r="AI36" s="2107">
        <v>15500</v>
      </c>
      <c r="AJ36" s="2107" t="s">
        <v>1295</v>
      </c>
      <c r="AK36" s="2107">
        <v>77900</v>
      </c>
      <c r="AL36" s="2107">
        <v>1227.3</v>
      </c>
      <c r="AM36" s="2107">
        <v>1246.5</v>
      </c>
      <c r="AN36" s="2107">
        <v>10829</v>
      </c>
      <c r="AO36" s="2107">
        <v>10998</v>
      </c>
      <c r="AP36" s="2107" t="s">
        <v>1122</v>
      </c>
      <c r="AQ36" s="2107" t="s">
        <v>1122</v>
      </c>
      <c r="AR36" s="2107">
        <v>1.56</v>
      </c>
      <c r="AS36" s="2107" t="s">
        <v>1210</v>
      </c>
      <c r="AT36" s="2107" t="s">
        <v>1117</v>
      </c>
      <c r="AU36" s="2107" t="s">
        <v>1122</v>
      </c>
      <c r="AV36" s="2107" t="s">
        <v>1117</v>
      </c>
      <c r="AW36" s="2107" t="s">
        <v>1122</v>
      </c>
      <c r="AX36" s="2107" t="s">
        <v>1122</v>
      </c>
      <c r="AY36" s="2107" t="s">
        <v>1122</v>
      </c>
    </row>
    <row r="37" spans="1:51">
      <c r="A37" s="2107" t="s">
        <v>1367</v>
      </c>
      <c r="B37" s="2107" t="s">
        <v>342</v>
      </c>
      <c r="C37" s="2107" t="s">
        <v>1368</v>
      </c>
      <c r="D37" s="2107" t="s">
        <v>1108</v>
      </c>
      <c r="E37" s="2107" t="s">
        <v>1109</v>
      </c>
      <c r="F37" s="2107" t="s">
        <v>1145</v>
      </c>
      <c r="G37" s="2107" t="s">
        <v>1298</v>
      </c>
      <c r="H37" s="2107" t="s">
        <v>1134</v>
      </c>
      <c r="I37" s="2107">
        <v>66475.23</v>
      </c>
      <c r="J37" s="2107">
        <v>132950</v>
      </c>
      <c r="K37" s="2107">
        <v>2</v>
      </c>
      <c r="L37" s="2107" t="s">
        <v>1114</v>
      </c>
      <c r="M37" s="2107" t="s">
        <v>1135</v>
      </c>
      <c r="N37" s="2107" t="s">
        <v>1215</v>
      </c>
      <c r="O37" s="2107" t="s">
        <v>1117</v>
      </c>
      <c r="P37" s="2107" t="s">
        <v>1229</v>
      </c>
      <c r="Q37" s="2107" t="s">
        <v>1369</v>
      </c>
      <c r="R37" s="2107" t="s">
        <v>1311</v>
      </c>
      <c r="S37" s="2107" t="s">
        <v>1312</v>
      </c>
      <c r="T37" s="2107" t="s">
        <v>1122</v>
      </c>
      <c r="U37" s="2107">
        <v>0</v>
      </c>
      <c r="V37" s="2107">
        <v>0</v>
      </c>
      <c r="W37" s="2107">
        <v>0</v>
      </c>
      <c r="X37" s="2107">
        <v>0</v>
      </c>
      <c r="Y37" s="2107">
        <v>43396.0004976852</v>
      </c>
      <c r="Z37" s="2108">
        <v>43416.0004976852</v>
      </c>
      <c r="AA37" s="2108">
        <v>43430.0004976852</v>
      </c>
      <c r="AB37" s="2108">
        <v>43430.0004976852</v>
      </c>
      <c r="AC37" s="2107" t="s">
        <v>1370</v>
      </c>
      <c r="AD37" s="2107" t="s">
        <v>1124</v>
      </c>
      <c r="AE37" s="2107" t="s">
        <v>1371</v>
      </c>
      <c r="AF37" s="2107" t="s">
        <v>1372</v>
      </c>
      <c r="AG37" s="2107" t="s">
        <v>1373</v>
      </c>
      <c r="AH37" s="2107">
        <v>380000</v>
      </c>
      <c r="AI37" s="2107">
        <v>76000</v>
      </c>
      <c r="AJ37" s="2107" t="s">
        <v>1295</v>
      </c>
      <c r="AK37" s="2107">
        <v>450000</v>
      </c>
      <c r="AL37" s="2107">
        <v>3810.94</v>
      </c>
      <c r="AM37" s="2107">
        <v>4512.96</v>
      </c>
      <c r="AN37" s="2107">
        <v>28582</v>
      </c>
      <c r="AO37" s="2107">
        <v>33847</v>
      </c>
      <c r="AP37" s="2107" t="s">
        <v>1122</v>
      </c>
      <c r="AQ37" s="2107" t="s">
        <v>1122</v>
      </c>
      <c r="AR37" s="2107">
        <v>18.420000000000002</v>
      </c>
      <c r="AS37" s="2107" t="s">
        <v>1210</v>
      </c>
      <c r="AT37" s="2107" t="s">
        <v>1117</v>
      </c>
      <c r="AU37" s="2107" t="s">
        <v>1122</v>
      </c>
      <c r="AV37" s="2107">
        <v>55711</v>
      </c>
      <c r="AW37" s="2107" t="s">
        <v>1122</v>
      </c>
      <c r="AX37" s="2107" t="s">
        <v>1122</v>
      </c>
      <c r="AY37" s="2107">
        <v>27129</v>
      </c>
    </row>
    <row r="38" spans="1:51">
      <c r="A38" s="2107" t="s">
        <v>1304</v>
      </c>
      <c r="B38" s="2107" t="s">
        <v>342</v>
      </c>
      <c r="C38" s="2107" t="s">
        <v>1374</v>
      </c>
      <c r="D38" s="2107" t="s">
        <v>1108</v>
      </c>
      <c r="E38" s="2107" t="s">
        <v>1109</v>
      </c>
      <c r="F38" s="2107" t="s">
        <v>1306</v>
      </c>
      <c r="G38" s="2107" t="s">
        <v>1307</v>
      </c>
      <c r="H38" s="2107" t="s">
        <v>1112</v>
      </c>
      <c r="I38" s="2107">
        <v>146640.20000000001</v>
      </c>
      <c r="J38" s="2107">
        <v>288410</v>
      </c>
      <c r="K38" s="2107">
        <v>1.97</v>
      </c>
      <c r="L38" s="2107" t="s">
        <v>1114</v>
      </c>
      <c r="M38" s="2107" t="s">
        <v>1309</v>
      </c>
      <c r="N38" s="2107" t="s">
        <v>1215</v>
      </c>
      <c r="O38" s="2107" t="s">
        <v>1117</v>
      </c>
      <c r="P38" s="2107" t="s">
        <v>1229</v>
      </c>
      <c r="Q38" s="2107" t="s">
        <v>1375</v>
      </c>
      <c r="R38" s="2107" t="s">
        <v>1376</v>
      </c>
      <c r="S38" s="2107" t="s">
        <v>1122</v>
      </c>
      <c r="T38" s="2107" t="s">
        <v>1122</v>
      </c>
      <c r="U38" s="2107">
        <v>0</v>
      </c>
      <c r="V38" s="2107">
        <v>0</v>
      </c>
      <c r="W38" s="2107">
        <v>285163</v>
      </c>
      <c r="X38" s="2107">
        <v>0</v>
      </c>
      <c r="Y38" s="2107">
        <v>43395.0004976852</v>
      </c>
      <c r="Z38" s="2108">
        <v>43416.0004976852</v>
      </c>
      <c r="AA38" s="2108">
        <v>43430.0004976852</v>
      </c>
      <c r="AB38" s="2108" t="s">
        <v>1122</v>
      </c>
      <c r="AC38" s="2107" t="s">
        <v>1377</v>
      </c>
      <c r="AD38" s="2107" t="s">
        <v>1378</v>
      </c>
      <c r="AE38" s="2107" t="s">
        <v>1117</v>
      </c>
      <c r="AF38" s="2107" t="s">
        <v>1122</v>
      </c>
      <c r="AG38" s="2107" t="s">
        <v>1122</v>
      </c>
      <c r="AH38" s="2107">
        <v>239500</v>
      </c>
      <c r="AI38" s="2107">
        <v>47900</v>
      </c>
      <c r="AJ38" s="2107" t="s">
        <v>1295</v>
      </c>
      <c r="AK38" s="2107" t="s">
        <v>1122</v>
      </c>
      <c r="AL38" s="2107">
        <v>1088.83</v>
      </c>
      <c r="AM38" s="2107" t="s">
        <v>1122</v>
      </c>
      <c r="AN38" s="2107">
        <v>8304</v>
      </c>
      <c r="AO38" s="2107" t="s">
        <v>1122</v>
      </c>
      <c r="AP38" s="2107" t="s">
        <v>1122</v>
      </c>
      <c r="AQ38" s="2107" t="s">
        <v>1122</v>
      </c>
      <c r="AR38" s="2107">
        <v>0</v>
      </c>
      <c r="AS38" s="2107" t="s">
        <v>1210</v>
      </c>
      <c r="AT38" s="2107" t="s">
        <v>1117</v>
      </c>
      <c r="AU38" s="2107" t="s">
        <v>1122</v>
      </c>
      <c r="AV38" s="2107" t="s">
        <v>1117</v>
      </c>
      <c r="AW38" s="2107" t="s">
        <v>1122</v>
      </c>
      <c r="AX38" s="2107" t="s">
        <v>1122</v>
      </c>
      <c r="AY38" s="2107" t="s">
        <v>1122</v>
      </c>
    </row>
    <row r="39" spans="1:51">
      <c r="A39" s="2107" t="s">
        <v>1379</v>
      </c>
      <c r="B39" s="2107" t="s">
        <v>342</v>
      </c>
      <c r="C39" s="2107" t="s">
        <v>1380</v>
      </c>
      <c r="D39" s="2107" t="s">
        <v>1108</v>
      </c>
      <c r="E39" s="2107" t="s">
        <v>1109</v>
      </c>
      <c r="F39" s="2107" t="s">
        <v>1145</v>
      </c>
      <c r="G39" s="2107" t="s">
        <v>1298</v>
      </c>
      <c r="H39" s="2107" t="s">
        <v>1112</v>
      </c>
      <c r="I39" s="2107">
        <v>76571.12</v>
      </c>
      <c r="J39" s="2107">
        <v>132728</v>
      </c>
      <c r="K39" s="2107">
        <v>1.73</v>
      </c>
      <c r="L39" s="2107" t="s">
        <v>1114</v>
      </c>
      <c r="M39" s="2107" t="s">
        <v>1309</v>
      </c>
      <c r="N39" s="2107" t="s">
        <v>1215</v>
      </c>
      <c r="O39" s="2107" t="s">
        <v>1117</v>
      </c>
      <c r="P39" s="2107" t="s">
        <v>1229</v>
      </c>
      <c r="Q39" s="2107" t="s">
        <v>1375</v>
      </c>
      <c r="R39" s="2107" t="s">
        <v>1362</v>
      </c>
      <c r="S39" s="2107" t="s">
        <v>1362</v>
      </c>
      <c r="T39" s="2107" t="s">
        <v>1122</v>
      </c>
      <c r="U39" s="2107">
        <v>0</v>
      </c>
      <c r="V39" s="2107">
        <v>0</v>
      </c>
      <c r="W39" s="2107">
        <v>128648</v>
      </c>
      <c r="X39" s="2107">
        <v>128648</v>
      </c>
      <c r="Y39" s="2107">
        <v>43395.0004976852</v>
      </c>
      <c r="Z39" s="2108">
        <v>43416.0004976852</v>
      </c>
      <c r="AA39" s="2108">
        <v>43430.0004976852</v>
      </c>
      <c r="AB39" s="2108">
        <v>43430.0004976852</v>
      </c>
      <c r="AC39" s="2107" t="s">
        <v>1381</v>
      </c>
      <c r="AD39" s="2107" t="s">
        <v>1124</v>
      </c>
      <c r="AE39" s="2107" t="s">
        <v>1382</v>
      </c>
      <c r="AF39" s="2107" t="s">
        <v>1245</v>
      </c>
      <c r="AG39" s="2107" t="s">
        <v>1155</v>
      </c>
      <c r="AH39" s="2107">
        <v>165000</v>
      </c>
      <c r="AI39" s="2107">
        <v>33000</v>
      </c>
      <c r="AJ39" s="2107" t="s">
        <v>1295</v>
      </c>
      <c r="AK39" s="2107">
        <v>194500</v>
      </c>
      <c r="AL39" s="2107">
        <v>1436.57</v>
      </c>
      <c r="AM39" s="2107">
        <v>1693.41</v>
      </c>
      <c r="AN39" s="2107">
        <v>12431</v>
      </c>
      <c r="AO39" s="2107">
        <v>14654</v>
      </c>
      <c r="AP39" s="2107" t="s">
        <v>1122</v>
      </c>
      <c r="AQ39" s="2107" t="s">
        <v>1122</v>
      </c>
      <c r="AR39" s="2107">
        <v>17.88</v>
      </c>
      <c r="AS39" s="2107" t="s">
        <v>1210</v>
      </c>
      <c r="AT39" s="2107" t="s">
        <v>1117</v>
      </c>
      <c r="AU39" s="2107" t="s">
        <v>1122</v>
      </c>
      <c r="AV39" s="2107" t="s">
        <v>1117</v>
      </c>
      <c r="AW39" s="2107" t="s">
        <v>1122</v>
      </c>
      <c r="AX39" s="2107" t="s">
        <v>1122</v>
      </c>
      <c r="AY39" s="2107" t="s">
        <v>1122</v>
      </c>
    </row>
    <row r="40" spans="1:51">
      <c r="A40" s="2107" t="s">
        <v>1383</v>
      </c>
      <c r="B40" s="2107" t="s">
        <v>342</v>
      </c>
      <c r="C40" s="2107" t="s">
        <v>1384</v>
      </c>
      <c r="D40" s="2107" t="s">
        <v>1108</v>
      </c>
      <c r="E40" s="2107" t="s">
        <v>1109</v>
      </c>
      <c r="F40" s="2107" t="s">
        <v>1145</v>
      </c>
      <c r="G40" s="2107" t="s">
        <v>1385</v>
      </c>
      <c r="H40" s="2107" t="s">
        <v>1134</v>
      </c>
      <c r="I40" s="2107">
        <v>36365.370000000003</v>
      </c>
      <c r="J40" s="2107">
        <v>65458</v>
      </c>
      <c r="K40" s="2107">
        <v>1.8</v>
      </c>
      <c r="L40" s="2107" t="s">
        <v>1114</v>
      </c>
      <c r="M40" s="2107" t="s">
        <v>1135</v>
      </c>
      <c r="N40" s="2107" t="s">
        <v>1215</v>
      </c>
      <c r="O40" s="2107" t="s">
        <v>1117</v>
      </c>
      <c r="P40" s="2107" t="s">
        <v>1229</v>
      </c>
      <c r="Q40" s="2107" t="s">
        <v>1369</v>
      </c>
      <c r="R40" s="2107" t="s">
        <v>1311</v>
      </c>
      <c r="S40" s="2107" t="s">
        <v>1312</v>
      </c>
      <c r="T40" s="2107" t="s">
        <v>1122</v>
      </c>
      <c r="U40" s="2107">
        <v>0</v>
      </c>
      <c r="V40" s="2107">
        <v>0</v>
      </c>
      <c r="W40" s="2107">
        <v>0</v>
      </c>
      <c r="X40" s="2107">
        <v>0</v>
      </c>
      <c r="Y40" s="2107">
        <v>43251.0004976852</v>
      </c>
      <c r="Z40" s="2108">
        <v>43271.0004976852</v>
      </c>
      <c r="AA40" s="2108">
        <v>43285.0004976852</v>
      </c>
      <c r="AB40" s="2108">
        <v>43285.0004976852</v>
      </c>
      <c r="AC40" s="2107" t="s">
        <v>1386</v>
      </c>
      <c r="AD40" s="2107" t="s">
        <v>1124</v>
      </c>
      <c r="AE40" s="2107" t="s">
        <v>1387</v>
      </c>
      <c r="AF40" s="2107" t="s">
        <v>1388</v>
      </c>
      <c r="AG40" s="2107" t="s">
        <v>1127</v>
      </c>
      <c r="AH40" s="2107">
        <v>180000</v>
      </c>
      <c r="AI40" s="2107">
        <v>54000</v>
      </c>
      <c r="AJ40" s="2107" t="s">
        <v>1295</v>
      </c>
      <c r="AK40" s="2107">
        <v>260000</v>
      </c>
      <c r="AL40" s="2107">
        <v>3299.84</v>
      </c>
      <c r="AM40" s="2107">
        <v>4766.4399999999996</v>
      </c>
      <c r="AN40" s="2107">
        <v>27499</v>
      </c>
      <c r="AO40" s="2107">
        <v>39720</v>
      </c>
      <c r="AP40" s="2107" t="s">
        <v>1122</v>
      </c>
      <c r="AQ40" s="2107" t="s">
        <v>1122</v>
      </c>
      <c r="AR40" s="2107">
        <v>44.44</v>
      </c>
      <c r="AS40" s="2107" t="s">
        <v>1210</v>
      </c>
      <c r="AT40" s="2107" t="s">
        <v>1117</v>
      </c>
      <c r="AU40" s="2107" t="s">
        <v>1122</v>
      </c>
      <c r="AV40" s="2107">
        <v>55583</v>
      </c>
      <c r="AW40" s="2107" t="s">
        <v>1122</v>
      </c>
      <c r="AX40" s="2107" t="s">
        <v>1122</v>
      </c>
      <c r="AY40" s="2107">
        <v>28084</v>
      </c>
    </row>
    <row r="41" spans="1:51">
      <c r="A41" s="2107" t="s">
        <v>1389</v>
      </c>
      <c r="B41" s="2107" t="s">
        <v>342</v>
      </c>
      <c r="C41" s="2107" t="s">
        <v>1390</v>
      </c>
      <c r="D41" s="2107" t="s">
        <v>1108</v>
      </c>
      <c r="E41" s="2107" t="s">
        <v>1109</v>
      </c>
      <c r="F41" s="2107" t="s">
        <v>1145</v>
      </c>
      <c r="G41" s="2107" t="s">
        <v>1298</v>
      </c>
      <c r="H41" s="2107" t="s">
        <v>1112</v>
      </c>
      <c r="I41" s="2107">
        <v>151738.6</v>
      </c>
      <c r="J41" s="2107">
        <v>152374</v>
      </c>
      <c r="K41" s="2107">
        <v>1</v>
      </c>
      <c r="L41" s="2107" t="s">
        <v>1114</v>
      </c>
      <c r="M41" s="2107" t="s">
        <v>1309</v>
      </c>
      <c r="N41" s="2107" t="s">
        <v>1215</v>
      </c>
      <c r="O41" s="2107" t="s">
        <v>1117</v>
      </c>
      <c r="P41" s="2107" t="s">
        <v>1391</v>
      </c>
      <c r="Q41" s="2107" t="s">
        <v>1391</v>
      </c>
      <c r="R41" s="2107" t="s">
        <v>1323</v>
      </c>
      <c r="S41" s="2107" t="s">
        <v>1392</v>
      </c>
      <c r="T41" s="2107" t="s">
        <v>1122</v>
      </c>
      <c r="U41" s="2107">
        <v>0</v>
      </c>
      <c r="V41" s="2107">
        <v>0</v>
      </c>
      <c r="W41" s="2107">
        <v>0</v>
      </c>
      <c r="X41" s="2107">
        <v>0</v>
      </c>
      <c r="Y41" s="2107">
        <v>43238.0004976852</v>
      </c>
      <c r="Z41" s="2108">
        <v>43258.0004976852</v>
      </c>
      <c r="AA41" s="2108">
        <v>43273.0004976852</v>
      </c>
      <c r="AB41" s="2108">
        <v>43273.0004976852</v>
      </c>
      <c r="AC41" s="2107" t="s">
        <v>1393</v>
      </c>
      <c r="AD41" s="2107" t="s">
        <v>1124</v>
      </c>
      <c r="AE41" s="2107" t="s">
        <v>1394</v>
      </c>
      <c r="AF41" s="2107" t="s">
        <v>1395</v>
      </c>
      <c r="AG41" s="2107" t="s">
        <v>1155</v>
      </c>
      <c r="AH41" s="2107">
        <v>460000</v>
      </c>
      <c r="AI41" s="2107">
        <v>140000</v>
      </c>
      <c r="AJ41" s="2107" t="s">
        <v>1295</v>
      </c>
      <c r="AK41" s="2107">
        <v>685400</v>
      </c>
      <c r="AL41" s="2107">
        <v>2021.02</v>
      </c>
      <c r="AM41" s="2107">
        <v>3011.32</v>
      </c>
      <c r="AN41" s="2107">
        <v>30189</v>
      </c>
      <c r="AO41" s="2107">
        <v>44981</v>
      </c>
      <c r="AP41" s="2107" t="s">
        <v>1122</v>
      </c>
      <c r="AQ41" s="2107" t="s">
        <v>1122</v>
      </c>
      <c r="AR41" s="2107">
        <v>49</v>
      </c>
      <c r="AS41" s="2107" t="s">
        <v>1210</v>
      </c>
      <c r="AT41" s="2107" t="s">
        <v>1117</v>
      </c>
      <c r="AU41" s="2107" t="s">
        <v>1122</v>
      </c>
      <c r="AV41" s="2107">
        <v>62102</v>
      </c>
      <c r="AW41" s="2107" t="s">
        <v>1122</v>
      </c>
      <c r="AX41" s="2107" t="s">
        <v>1122</v>
      </c>
      <c r="AY41" s="2107">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4263</v>
      </c>
      <c r="C1" s="2092" t="s">
        <v>1492</v>
      </c>
      <c r="D1" s="146"/>
      <c r="E1" s="146"/>
      <c r="F1" s="146"/>
      <c r="G1" s="2093">
        <f>MATCH(B1,'数据-取费表'!A6:A16,0)+5</f>
        <v>10</v>
      </c>
      <c r="H1" s="1944" t="str">
        <f>IF(ISERROR(FIND("住宅",B1)),"非住宅","住宅")</f>
        <v>住宅</v>
      </c>
    </row>
    <row r="2" spans="1:8" s="136" customFormat="1" ht="18" customHeight="1">
      <c r="A2" s="148" t="s">
        <v>941</v>
      </c>
      <c r="B2" s="149">
        <f ca="1">ROUND(IF(D2="——",C52/10000,C52/10000-E2),0)</f>
        <v>262</v>
      </c>
      <c r="C2" s="147" t="s">
        <v>1397</v>
      </c>
      <c r="D2" s="2094" t="s">
        <v>124</v>
      </c>
      <c r="E2" s="2095" t="e">
        <f ca="1">SUMIF(INDIRECT("'"&amp;G2&amp;"'"&amp;"!A:A"),"承租人权益价值",INDIRECT("'"&amp;G2&amp;"'"&amp;"!c:c"))</f>
        <v>#REF!</v>
      </c>
      <c r="F2" s="2096" t="s">
        <v>1397</v>
      </c>
      <c r="G2" s="2097"/>
    </row>
    <row r="3" spans="1:8" s="136" customFormat="1" ht="18" customHeight="1" thickBot="1">
      <c r="A3" s="151" t="s">
        <v>942</v>
      </c>
      <c r="B3" s="152">
        <f ca="1">ROUND(B2*10000/(IF(B1="",'数据-汇总表'!E3,INDIRECT("'数据-取费表'!k"&amp;$G$1))),0)</f>
        <v>29264</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1451470</v>
      </c>
      <c r="D5" s="158" t="s">
        <v>1402</v>
      </c>
      <c r="E5" s="159" t="s">
        <v>1403</v>
      </c>
      <c r="F5" s="159" t="s">
        <v>841</v>
      </c>
      <c r="G5" s="160"/>
    </row>
    <row r="6" spans="1:8" s="138" customFormat="1" ht="13.5" customHeight="1">
      <c r="A6" s="161" t="s">
        <v>1404</v>
      </c>
      <c r="B6" s="162" t="s">
        <v>1405</v>
      </c>
      <c r="C6" s="163">
        <f ca="1">ROUND('土地比较法-住宅、综合'!B56*'成本法 (元)'!D9,0)</f>
        <v>1394609</v>
      </c>
      <c r="D6" s="164"/>
      <c r="E6" s="165"/>
      <c r="F6" s="165"/>
      <c r="G6" s="166"/>
    </row>
    <row r="7" spans="1:8" s="138" customFormat="1" ht="13.5" customHeight="1">
      <c r="A7" s="161" t="s">
        <v>1406</v>
      </c>
      <c r="B7" s="162" t="s">
        <v>1407</v>
      </c>
      <c r="C7" s="167">
        <f ca="1">ROUND(C6*F7,0)</f>
        <v>42536</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8"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8" t="s">
        <v>1433</v>
      </c>
    </row>
    <row r="20" spans="1:7" s="138" customFormat="1" ht="13.5" customHeight="1">
      <c r="A20" s="156" t="s">
        <v>1434</v>
      </c>
      <c r="B20" s="157" t="s">
        <v>1435</v>
      </c>
      <c r="C20" s="181">
        <f ca="1">ROUND((C5+C19)*F20,0)</f>
        <v>29029</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156985</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155470</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1515</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222075</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222075</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2013381</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24439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08" t="s">
        <v>1495</v>
      </c>
    </row>
    <row r="43" spans="1:7" ht="13.5" customHeight="1">
      <c r="A43" s="189" t="s">
        <v>1406</v>
      </c>
      <c r="B43" s="162" t="s">
        <v>1445</v>
      </c>
      <c r="C43" s="191">
        <f ca="1">ROUND(IF('数据-取费表'!B22&lt;=1,C39*F22*'数据-取费表'!B20/2,C39*(POWER((1+F22),'数据-取费表'!B20/2)-1)),0)</f>
        <v>479</v>
      </c>
      <c r="D43" s="191"/>
      <c r="E43" s="191"/>
      <c r="F43" s="192"/>
      <c r="G43" s="3309"/>
    </row>
    <row r="44" spans="1:7" ht="13.5" customHeight="1">
      <c r="A44" s="189" t="s">
        <v>1408</v>
      </c>
      <c r="B44" s="162" t="s">
        <v>1447</v>
      </c>
      <c r="C44" s="191">
        <f>ROUND(IF('数据-取费表'!B22&lt;=1,C40*F22*'数据-取费表'!B20/2,C40*(POWER((1+F22),'数据-取费表'!B20/2)-1)),4)</f>
        <v>1E-3</v>
      </c>
      <c r="D44" s="191"/>
      <c r="E44" s="191"/>
      <c r="F44" s="192"/>
      <c r="G44" s="3310"/>
    </row>
    <row r="45" spans="1:7" s="138" customFormat="1" ht="13.5" customHeight="1">
      <c r="A45" s="156" t="s">
        <v>1441</v>
      </c>
      <c r="B45" s="197" t="s">
        <v>1452</v>
      </c>
      <c r="C45" s="198">
        <f ca="1">C46</f>
        <v>70237</v>
      </c>
      <c r="D45" s="184">
        <f ca="1">C47</f>
        <v>3.0000000000000001E-3</v>
      </c>
      <c r="E45" s="185" t="s">
        <v>1473</v>
      </c>
      <c r="F45" s="2101">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2622868</v>
      </c>
      <c r="D52" s="218"/>
      <c r="E52" s="218"/>
      <c r="F52" s="218"/>
      <c r="G52" s="220"/>
    </row>
    <row r="55" spans="1:7" ht="15">
      <c r="B55" s="221" t="s">
        <v>1489</v>
      </c>
      <c r="C55" s="222"/>
    </row>
    <row r="56" spans="1:7">
      <c r="B56" s="223" t="s">
        <v>1490</v>
      </c>
      <c r="C56" s="225">
        <f ca="1">1-C57</f>
        <v>0.76800000000000002</v>
      </c>
    </row>
    <row r="57" spans="1:7">
      <c r="B57" s="223" t="s">
        <v>1491</v>
      </c>
      <c r="C57" s="224">
        <f ca="1">ROUND(C51/C52,3)</f>
        <v>0.23200000000000001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6" customWidth="1"/>
    <col min="3" max="3" width="10.375" style="2007" customWidth="1"/>
    <col min="4" max="4" width="9.875" style="2006" customWidth="1"/>
    <col min="5" max="5" width="9.5" style="324" customWidth="1"/>
    <col min="6" max="6" width="10.125"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5" style="2006"/>
  </cols>
  <sheetData>
    <row r="1" spans="1:33" ht="20.25">
      <c r="A1" s="144" t="s">
        <v>1498</v>
      </c>
      <c r="B1" s="274"/>
      <c r="C1" s="2008"/>
      <c r="D1" s="2009"/>
      <c r="E1" s="2010"/>
      <c r="F1" s="2010"/>
      <c r="G1" s="2011"/>
      <c r="H1" s="2010"/>
      <c r="I1" s="2010"/>
      <c r="J1" s="2010"/>
      <c r="K1" s="2079">
        <f>MATCH(C1,'数据-取费表'!A6:A16,0)+5</f>
        <v>11</v>
      </c>
    </row>
    <row r="2" spans="1:33" ht="18" customHeight="1">
      <c r="A2" s="148" t="s">
        <v>941</v>
      </c>
      <c r="B2" s="152" t="e">
        <f ca="1">C32</f>
        <v>#REF!</v>
      </c>
      <c r="C2" s="2012" t="s">
        <v>1499</v>
      </c>
      <c r="D2" s="2012"/>
      <c r="E2" s="2010"/>
      <c r="F2" s="2010"/>
      <c r="G2" s="2010"/>
      <c r="H2" s="2010"/>
      <c r="I2" s="2010"/>
      <c r="J2" s="2010"/>
      <c r="K2" s="2010"/>
    </row>
    <row r="3" spans="1:33" ht="18" customHeight="1">
      <c r="A3" s="151" t="s">
        <v>942</v>
      </c>
      <c r="B3" s="152" t="e">
        <f ca="1">ROUND(B2*10000/IF(C1="",'数据-汇总表'!E3,INDIRECT("'数据-取费表'!K"&amp;$K$1)),0)</f>
        <v>#REF!</v>
      </c>
      <c r="C3" s="2012" t="s">
        <v>1500</v>
      </c>
      <c r="D3" s="2012"/>
      <c r="E3" s="2010"/>
      <c r="F3" s="2010"/>
      <c r="G3" s="2010"/>
      <c r="H3" s="2010"/>
      <c r="I3" s="2010"/>
      <c r="J3" s="2010"/>
      <c r="K3" s="2010"/>
    </row>
    <row r="4" spans="1:33" s="1998" customFormat="1" ht="16.5" customHeight="1">
      <c r="A4" s="2013" t="s">
        <v>1501</v>
      </c>
      <c r="B4" s="2014"/>
      <c r="C4" s="2015" t="e">
        <f ca="1">SUM(C8:K8)</f>
        <v>#REF!</v>
      </c>
      <c r="D4" s="2014"/>
      <c r="E4" s="2014"/>
      <c r="F4" s="2014"/>
      <c r="G4" s="2014"/>
      <c r="H4" s="2014"/>
      <c r="I4" s="2014"/>
      <c r="J4" s="2014"/>
      <c r="K4" s="2080"/>
    </row>
    <row r="5" spans="1:33" s="1999" customFormat="1" ht="15">
      <c r="A5" s="2016" t="s">
        <v>1502</v>
      </c>
      <c r="B5" s="2017" t="s">
        <v>1503</v>
      </c>
      <c r="C5" s="2018" t="s">
        <v>463</v>
      </c>
      <c r="D5" s="2018" t="s">
        <v>466</v>
      </c>
      <c r="E5" s="2018" t="s">
        <v>464</v>
      </c>
      <c r="F5" s="2018" t="s">
        <v>491</v>
      </c>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pans="1:33" s="231" customFormat="1" ht="13.5" customHeight="1">
      <c r="A6" s="2019" t="s">
        <v>846</v>
      </c>
      <c r="B6" s="1678" t="s">
        <v>1504</v>
      </c>
      <c r="C6" s="2020">
        <f>'比较法-住宅'!C48</f>
        <v>26776</v>
      </c>
      <c r="D6" s="2020">
        <f ca="1">收益法商!B3</f>
        <v>15087</v>
      </c>
      <c r="E6" s="2020" t="e">
        <f>#REF!</f>
        <v>#REF!</v>
      </c>
      <c r="F6" s="2020">
        <f>'比较法-车位'!C38</f>
        <v>2921</v>
      </c>
      <c r="G6" s="2020"/>
      <c r="H6" s="2020"/>
      <c r="I6" s="2020"/>
      <c r="J6" s="2020"/>
      <c r="K6" s="2082"/>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9" t="s">
        <v>850</v>
      </c>
      <c r="B7" s="1678" t="s">
        <v>362</v>
      </c>
      <c r="C7" s="2021">
        <f>SUMIF('数据-汇总表'!$C19:$C33,假设开发法!C5,'数据-汇总表'!$E19:$E33)</f>
        <v>13464.84</v>
      </c>
      <c r="D7" s="2021">
        <f>SUMIF('数据-汇总表'!$C19:$C33,假设开发法!D5,'数据-汇总表'!$E19:$E33)</f>
        <v>2704.89</v>
      </c>
      <c r="E7" s="2021">
        <f>SUMIF('数据-汇总表'!$C19:$C33,假设开发法!E5,'数据-汇总表'!$E19:$E33)</f>
        <v>369.19</v>
      </c>
      <c r="F7" s="2021">
        <f>SUMIF('数据-汇总表'!$C19:$C33,假设开发法!F5,'数据-汇总表'!$E19:$E33)</f>
        <v>32774.76</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3">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2" t="s">
        <v>898</v>
      </c>
      <c r="B8" s="2023" t="s">
        <v>1505</v>
      </c>
      <c r="C8" s="2024">
        <f>ROUND(C6*C7/10000,0)</f>
        <v>36053</v>
      </c>
      <c r="D8" s="2024">
        <f ca="1">收益法商!B2</f>
        <v>4081</v>
      </c>
      <c r="E8" s="2024" t="e">
        <f>#REF!</f>
        <v>#REF!</v>
      </c>
      <c r="F8" s="2024">
        <f t="shared" ref="F8" si="0">ROUND(F6*F7/10000,0)</f>
        <v>9574</v>
      </c>
      <c r="G8" s="2025"/>
      <c r="H8" s="2025"/>
      <c r="I8" s="2025"/>
      <c r="J8" s="2025"/>
      <c r="K8" s="2084"/>
      <c r="L8" s="232"/>
      <c r="M8" s="232"/>
      <c r="N8" s="232"/>
      <c r="O8" s="232"/>
      <c r="P8" s="232"/>
      <c r="Q8" s="232"/>
      <c r="R8" s="232"/>
      <c r="S8" s="232"/>
      <c r="T8" s="232"/>
      <c r="U8" s="232"/>
      <c r="V8" s="232"/>
      <c r="W8" s="232"/>
      <c r="X8" s="232"/>
      <c r="Y8" s="232"/>
      <c r="Z8" s="232"/>
      <c r="AA8" s="232"/>
      <c r="AB8" s="232"/>
      <c r="AC8" s="232"/>
      <c r="AD8" s="232"/>
      <c r="AE8" s="232"/>
      <c r="AF8" s="232"/>
      <c r="AG8" s="232"/>
    </row>
    <row r="9" spans="1:33" s="1998" customFormat="1" ht="16.5" customHeight="1">
      <c r="A9" s="2013" t="s">
        <v>1506</v>
      </c>
      <c r="B9" s="2014"/>
      <c r="C9" s="2014"/>
      <c r="D9" s="2014"/>
      <c r="E9" s="2014"/>
      <c r="F9" s="2014"/>
      <c r="G9" s="2014"/>
      <c r="H9" s="2014"/>
      <c r="I9" s="2014"/>
      <c r="J9" s="2014"/>
      <c r="K9" s="2080"/>
    </row>
    <row r="10" spans="1:33" s="2000" customFormat="1" ht="13.5" customHeight="1">
      <c r="A10" s="2016" t="s">
        <v>1502</v>
      </c>
      <c r="B10" s="2026" t="s">
        <v>1503</v>
      </c>
      <c r="C10" s="2027" t="s">
        <v>1507</v>
      </c>
      <c r="D10" s="2028" t="s">
        <v>1508</v>
      </c>
      <c r="E10" s="2028" t="s">
        <v>1509</v>
      </c>
      <c r="F10" s="2028" t="s">
        <v>1510</v>
      </c>
      <c r="G10" s="2026"/>
      <c r="H10" s="2029"/>
      <c r="I10" s="2029"/>
      <c r="J10" s="2029"/>
      <c r="K10" s="2085"/>
    </row>
    <row r="11" spans="1:33" s="2001" customFormat="1" ht="13.5" customHeight="1">
      <c r="A11" s="2030" t="s">
        <v>1410</v>
      </c>
      <c r="B11" s="2031" t="s">
        <v>1511</v>
      </c>
      <c r="C11" s="2032">
        <f ca="1">IF(C1="",'数据-取费表'!P16,INDIRECT("'数据-取费表'!p"&amp;$K$1)+INDIRECT("'数据-取费表'!ar"&amp;$K$1))</f>
        <v>0</v>
      </c>
      <c r="D11" s="2033"/>
      <c r="E11" s="233"/>
      <c r="F11" s="2034">
        <f ca="1">1-IF('数据-取费表'!B24=0,1,IF(C1="",'数据-取费表'!N16,INDIRECT("'数据-取费表'!n"&amp;$K$1)))</f>
        <v>0</v>
      </c>
      <c r="G11" s="2026"/>
      <c r="H11" s="2029"/>
      <c r="I11" s="2029"/>
      <c r="J11" s="2029"/>
      <c r="K11" s="2085"/>
    </row>
    <row r="12" spans="1:33" s="2001" customFormat="1" ht="13.5" customHeight="1">
      <c r="A12" s="2030" t="s">
        <v>1413</v>
      </c>
      <c r="B12" s="2031" t="s">
        <v>1512</v>
      </c>
      <c r="C12" s="285">
        <f ca="1">ROUND(C11*F12,0)</f>
        <v>0</v>
      </c>
      <c r="D12" s="2033"/>
      <c r="E12" s="233"/>
      <c r="F12" s="2035">
        <f>'数据-取费表'!B33</f>
        <v>0.03</v>
      </c>
      <c r="G12" s="2026" t="s">
        <v>1513</v>
      </c>
      <c r="H12" s="2029"/>
      <c r="I12" s="2029"/>
      <c r="J12" s="2029"/>
      <c r="K12" s="2085"/>
    </row>
    <row r="13" spans="1:33" s="2001" customFormat="1" ht="13.5" customHeight="1">
      <c r="A13" s="2030" t="s">
        <v>1514</v>
      </c>
      <c r="B13" s="2031" t="s">
        <v>1515</v>
      </c>
      <c r="C13" s="285">
        <f ca="1">ROUND(IF(C1="",SUMIF('数据-取费表'!C:C,"住宅",'数据-取费表'!P:P)*F13,IF(INDIRECT("'数据-取费表'!c"&amp;$K$1)="住宅",INDIRECT("'数据-取费表'!P"&amp;$K$1)*F13,0)),0)</f>
        <v>0</v>
      </c>
      <c r="D13" s="2036"/>
      <c r="E13" s="233"/>
      <c r="F13" s="2035">
        <f>'数据-取费表'!B34</f>
        <v>0.05</v>
      </c>
      <c r="G13" s="2026" t="s">
        <v>1516</v>
      </c>
      <c r="H13" s="2029"/>
      <c r="I13" s="2029"/>
      <c r="J13" s="2029"/>
      <c r="K13" s="2085"/>
    </row>
    <row r="14" spans="1:33" s="2002" customFormat="1" ht="13.5" customHeight="1">
      <c r="A14" s="2030" t="s">
        <v>1517</v>
      </c>
      <c r="B14" s="2031" t="s">
        <v>1518</v>
      </c>
      <c r="C14" s="285">
        <f ca="1">ROUND(D14*E14*F11/10000,0)</f>
        <v>0</v>
      </c>
      <c r="D14" s="2036">
        <f ca="1">IF(C1="",'数据-汇总表'!E3,INDIRECT("'数据-取费表'!K"&amp;$K$1)+INDIRECT("'数据-取费表'!S"&amp;$K$1))</f>
        <v>49403.210000000006</v>
      </c>
      <c r="E14" s="285">
        <f>'数据-取费表'!B35</f>
        <v>200</v>
      </c>
      <c r="F14" s="2035"/>
      <c r="G14" s="2026" t="s">
        <v>1519</v>
      </c>
      <c r="H14" s="2029"/>
      <c r="I14" s="2029"/>
      <c r="J14" s="2029"/>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pans="1:33" s="2002" customFormat="1" ht="13.5" customHeight="1">
      <c r="A15" s="2030" t="s">
        <v>1520</v>
      </c>
      <c r="B15" s="2031" t="s">
        <v>1521</v>
      </c>
      <c r="C15" s="2037">
        <f ca="1">ROUND(C11*F15,0)</f>
        <v>0</v>
      </c>
      <c r="D15" s="2038"/>
      <c r="E15" s="2037"/>
      <c r="F15" s="2039">
        <f>'数据-取费表'!B36</f>
        <v>1.4999999999999999E-2</v>
      </c>
      <c r="G15" s="1678" t="s">
        <v>1522</v>
      </c>
      <c r="H15" s="1788"/>
      <c r="I15" s="1788"/>
      <c r="J15" s="1788"/>
      <c r="K15" s="178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pans="1:33" s="2002" customFormat="1" ht="13.5" customHeight="1">
      <c r="A16" s="2030" t="s">
        <v>869</v>
      </c>
      <c r="B16" s="2031" t="s">
        <v>1523</v>
      </c>
      <c r="C16" s="2037">
        <f ca="1">SUM(C11:C15)</f>
        <v>0</v>
      </c>
      <c r="D16" s="2038"/>
      <c r="E16" s="2037"/>
      <c r="F16" s="2039"/>
      <c r="G16" s="1678"/>
      <c r="H16" s="2040"/>
      <c r="I16" s="1788"/>
      <c r="J16" s="1788"/>
      <c r="K16" s="1789"/>
      <c r="L16" s="2001"/>
      <c r="M16" s="2001">
        <f>F8*0.7</f>
        <v>6701.7999999999993</v>
      </c>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pans="1:33" s="2002" customFormat="1" ht="13.5" customHeight="1">
      <c r="A17" s="2030" t="s">
        <v>873</v>
      </c>
      <c r="B17" s="2031" t="s">
        <v>1524</v>
      </c>
      <c r="C17" s="285">
        <f ca="1">ROUND(D17*E17/10000,0)</f>
        <v>0</v>
      </c>
      <c r="D17" s="2036">
        <f ca="1">D14</f>
        <v>49403.210000000006</v>
      </c>
      <c r="E17" s="285">
        <f>'数据-取费表'!B32</f>
        <v>0</v>
      </c>
      <c r="F17" s="2038"/>
      <c r="G17" s="1678" t="s">
        <v>1525</v>
      </c>
      <c r="H17" s="2040"/>
      <c r="I17" s="1788"/>
      <c r="J17" s="1788"/>
      <c r="K17" s="178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pans="1:33" s="2001" customFormat="1" ht="13.5" customHeight="1">
      <c r="A18" s="2030" t="s">
        <v>1526</v>
      </c>
      <c r="B18" s="2031" t="s">
        <v>1527</v>
      </c>
      <c r="C18" s="285">
        <f ca="1">C19+C20-IF(C1="",'数据-取费表'!B29,IF(G18="已全部缴纳",C19+C20,H18))</f>
        <v>0</v>
      </c>
      <c r="D18" s="2036"/>
      <c r="E18" s="285"/>
      <c r="F18" s="2035"/>
      <c r="G18" s="2041"/>
      <c r="H18" s="2042"/>
      <c r="I18" s="2086" t="s">
        <v>1528</v>
      </c>
      <c r="J18" s="1788"/>
      <c r="K18" s="1789"/>
    </row>
    <row r="19" spans="1:33" s="2001" customFormat="1" ht="13.5" customHeight="1">
      <c r="A19" s="2030" t="s">
        <v>1410</v>
      </c>
      <c r="B19" s="2031" t="s">
        <v>350</v>
      </c>
      <c r="C19" s="285">
        <f ca="1">ROUND(D19*E19/10000,0)</f>
        <v>217</v>
      </c>
      <c r="D19" s="2036">
        <f ca="1">IF(C1="",'数据-汇总表'!E5,IF(INDIRECT("'数据-取费表'!c"&amp;$K$1)="住宅",INDIRECT("'数据-取费表'!k"&amp;$K$1),0))</f>
        <v>13554.37</v>
      </c>
      <c r="E19" s="285">
        <f>'数据-取费表'!B27</f>
        <v>160</v>
      </c>
      <c r="F19" s="2035"/>
      <c r="G19" s="1787"/>
      <c r="H19" s="2043"/>
      <c r="I19" s="2044"/>
      <c r="J19" s="2044"/>
      <c r="K19" s="2087"/>
    </row>
    <row r="20" spans="1:33" s="2001" customFormat="1" ht="13.5" customHeight="1">
      <c r="A20" s="2030" t="s">
        <v>1413</v>
      </c>
      <c r="B20" s="2031" t="s">
        <v>1529</v>
      </c>
      <c r="C20" s="285">
        <f ca="1">ROUND(D20*E20/10000,0)</f>
        <v>717</v>
      </c>
      <c r="D20" s="2036">
        <f ca="1">IF(C1="",'数据-汇总表'!E6,IF(INDIRECT("'数据-取费表'!c"&amp;$K$1)="住宅",INDIRECT("'数据-取费表'!s"&amp;$K$1),INDIRECT("'数据-取费表'!k"&amp;$K$1)+INDIRECT("'数据-取费表'!s"&amp;$K$1)))</f>
        <v>35848.840000000004</v>
      </c>
      <c r="E20" s="285">
        <f>'数据-取费表'!B28</f>
        <v>200</v>
      </c>
      <c r="F20" s="2035"/>
      <c r="G20" s="1787"/>
      <c r="H20" s="2044"/>
      <c r="I20" s="2044"/>
      <c r="J20" s="2044"/>
      <c r="K20" s="2087"/>
    </row>
    <row r="21" spans="1:33" s="2001" customFormat="1" ht="13.5" customHeight="1">
      <c r="A21" s="2019" t="s">
        <v>846</v>
      </c>
      <c r="B21" s="2045" t="s">
        <v>1530</v>
      </c>
      <c r="C21" s="2046">
        <f ca="1">C16+C17+C18</f>
        <v>0</v>
      </c>
      <c r="D21" s="2047"/>
      <c r="E21" s="2048"/>
      <c r="F21" s="2048"/>
      <c r="G21" s="1678" t="s">
        <v>1531</v>
      </c>
      <c r="H21" s="1788"/>
      <c r="I21" s="1788"/>
      <c r="J21" s="1788"/>
      <c r="K21" s="1789"/>
      <c r="M21" s="2001">
        <f ca="1">结果表!G19-16000</f>
        <v>-15749</v>
      </c>
    </row>
    <row r="22" spans="1:33" s="2001" customFormat="1" ht="13.5" customHeight="1">
      <c r="A22" s="2019" t="s">
        <v>850</v>
      </c>
      <c r="B22" s="2045" t="s">
        <v>1532</v>
      </c>
      <c r="C22" s="2046">
        <f ca="1">ROUND(C21*F22,0)</f>
        <v>0</v>
      </c>
      <c r="D22" s="2048"/>
      <c r="E22" s="2048"/>
      <c r="F22" s="2049">
        <f>'数据-取费表'!B37</f>
        <v>0.02</v>
      </c>
      <c r="G22" s="2026" t="s">
        <v>1533</v>
      </c>
      <c r="H22" s="2029"/>
      <c r="I22" s="2029"/>
      <c r="J22" s="2029"/>
      <c r="K22" s="2085"/>
      <c r="M22" s="2001">
        <f ca="1">M21/'数据-汇总表'!F31</f>
        <v>-0.96861726794454361</v>
      </c>
    </row>
    <row r="23" spans="1:33" s="2001" customFormat="1" ht="13.5" customHeight="1">
      <c r="A23" s="2019" t="s">
        <v>898</v>
      </c>
      <c r="B23" s="2045" t="s">
        <v>1534</v>
      </c>
      <c r="C23" s="2046" t="e">
        <f ca="1">ROUND(C4*F23*F11,0)</f>
        <v>#REF!</v>
      </c>
      <c r="D23" s="2048"/>
      <c r="E23" s="2048"/>
      <c r="F23" s="2049">
        <f>'数据-取费表'!B38</f>
        <v>0.02</v>
      </c>
      <c r="G23" s="2026" t="s">
        <v>1535</v>
      </c>
      <c r="H23" s="2029"/>
      <c r="I23" s="2029"/>
      <c r="J23" s="2029"/>
      <c r="K23" s="2085"/>
    </row>
    <row r="24" spans="1:33" s="2001" customFormat="1" ht="13.5" customHeight="1">
      <c r="A24" s="2019" t="s">
        <v>901</v>
      </c>
      <c r="B24" s="2045" t="s">
        <v>1536</v>
      </c>
      <c r="C24" s="2050">
        <f>ROUND(F24/(1+'数据-取费表'!C42),4)</f>
        <v>2.9000000000000001E-2</v>
      </c>
      <c r="D24" s="2048" t="s">
        <v>1537</v>
      </c>
      <c r="E24" s="2048"/>
      <c r="F24" s="2049">
        <f>IF(项目基本情况!B8="出让",0,'数据-取费表'!B48+'数据-取费表'!B49)</f>
        <v>3.0499999999999999E-2</v>
      </c>
      <c r="G24" s="2026" t="s">
        <v>1538</v>
      </c>
      <c r="H24" s="2051"/>
      <c r="I24" s="2051"/>
      <c r="J24" s="2051"/>
      <c r="K24" s="2088"/>
    </row>
    <row r="25" spans="1:33" s="2001" customFormat="1" ht="13.5" customHeight="1">
      <c r="A25" s="2019" t="s">
        <v>905</v>
      </c>
      <c r="B25" s="2047" t="s">
        <v>1539</v>
      </c>
      <c r="C25" s="2052" t="e">
        <f ca="1">C27</f>
        <v>#REF!</v>
      </c>
      <c r="D25" s="2050">
        <f>C26</f>
        <v>0</v>
      </c>
      <c r="E25" s="2053" t="s">
        <v>1537</v>
      </c>
      <c r="F25" s="2054">
        <f>'数据-取费表'!B40</f>
        <v>3.4500000000000003E-2</v>
      </c>
      <c r="G25" s="1678" t="str">
        <f>IF('数据-取费表'!B22&lt;=1,"单利计息。","复利计息。")&amp;"后续开发成本、管理费用及销售费用产生的利息。"</f>
        <v>复利计息。后续开发成本、管理费用及销售费用产生的利息。</v>
      </c>
      <c r="H25" s="2051"/>
      <c r="I25" s="2051"/>
      <c r="J25" s="2051"/>
      <c r="K25" s="2088"/>
    </row>
    <row r="26" spans="1:33" s="2003" customFormat="1" ht="13.5" customHeight="1">
      <c r="A26" s="2030" t="s">
        <v>869</v>
      </c>
      <c r="B26" s="2055" t="s">
        <v>1540</v>
      </c>
      <c r="C26" s="2056">
        <f>ROUND(IF('数据-取费表'!B22&lt;=1,(1+C24)*F25*'数据-取费表'!B24,(1+C24)*(POWER((1+F25),'数据-取费表'!B24)-1)),4)</f>
        <v>0</v>
      </c>
      <c r="D26" s="2057"/>
      <c r="E26" s="2058"/>
      <c r="F26" s="2059"/>
      <c r="G26" s="2060" t="str">
        <f>IF('数据-取费表'!B22&lt;=1,"（(1)+取得税费率/(1+5%)）×年利率×建设期","（(1)+取得税费率）/(1+5%)×((1+年利率)^建设期-1)")</f>
        <v>（(1)+取得税费率）/(1+5%)×((1+年利率)^建设期-1)</v>
      </c>
      <c r="H26" s="1788"/>
      <c r="I26" s="1788"/>
      <c r="J26" s="1788"/>
      <c r="K26" s="1789"/>
    </row>
    <row r="27" spans="1:33" s="2003" customFormat="1" ht="13.5" customHeight="1">
      <c r="A27" s="2030" t="s">
        <v>873</v>
      </c>
      <c r="B27" s="2055" t="s">
        <v>1541</v>
      </c>
      <c r="C27" s="2061" t="e">
        <f ca="1">ROUND(IF('数据-取费表'!B22&lt;=1,(C21+C22+C23)*F25*'数据-取费表'!B24/2,(C21+C22+C23)*(POWER((1+F25),'数据-取费表'!B24/2)-1)),0)</f>
        <v>#REF!</v>
      </c>
      <c r="D27" s="2057"/>
      <c r="E27" s="2058"/>
      <c r="F27" s="2059"/>
      <c r="G27" s="2060" t="str">
        <f>IF('数据-取费表'!B22&lt;=1,"（1）-（3）项×年利率×建设期÷2","（1）-（3）项×((1+年利率)^(建设期÷2)-1)")</f>
        <v>（1）-（3）项×((1+年利率)^(建设期÷2)-1)</v>
      </c>
      <c r="H27" s="1788"/>
      <c r="I27" s="1788"/>
      <c r="J27" s="1788"/>
      <c r="K27" s="1789"/>
    </row>
    <row r="28" spans="1:33" s="2004" customFormat="1" ht="13.5" customHeight="1">
      <c r="A28" s="2019" t="s">
        <v>906</v>
      </c>
      <c r="B28" s="2062" t="s">
        <v>1542</v>
      </c>
      <c r="C28" s="2063" t="e">
        <f ca="1">C30</f>
        <v>#REF!</v>
      </c>
      <c r="D28" s="2050">
        <f ca="1">C29</f>
        <v>0</v>
      </c>
      <c r="E28" s="2053" t="s">
        <v>1537</v>
      </c>
      <c r="F28" s="1090">
        <f ca="1">IF(C1="",'数据-取费表'!Q16,INDIRECT("'数据-取费表'!q"&amp;$K$1))</f>
        <v>0.09</v>
      </c>
      <c r="G28" s="2064"/>
      <c r="H28" s="2051"/>
      <c r="I28" s="2051"/>
      <c r="J28" s="2051"/>
      <c r="K28" s="2088"/>
    </row>
    <row r="29" spans="1:33" s="2005" customFormat="1" ht="13.5" customHeight="1">
      <c r="A29" s="2030" t="s">
        <v>869</v>
      </c>
      <c r="B29" s="2065" t="s">
        <v>1543</v>
      </c>
      <c r="C29" s="2057">
        <f ca="1">ROUND((1+C24)*F28*'数据-取费表'!B24/'数据-取费表'!B20,4)</f>
        <v>0</v>
      </c>
      <c r="D29" s="2057"/>
      <c r="E29" s="2058"/>
      <c r="F29" s="2066"/>
      <c r="G29" s="1678" t="s">
        <v>1544</v>
      </c>
      <c r="H29" s="1788"/>
      <c r="I29" s="1788"/>
      <c r="J29" s="1788"/>
      <c r="K29" s="1789"/>
    </row>
    <row r="30" spans="1:33" s="2005" customFormat="1" ht="13.5" customHeight="1">
      <c r="A30" s="2030" t="s">
        <v>873</v>
      </c>
      <c r="B30" s="2065" t="s">
        <v>1545</v>
      </c>
      <c r="C30" s="2067" t="e">
        <f ca="1">ROUND((C21+C22+C23)*F28,0)</f>
        <v>#REF!</v>
      </c>
      <c r="D30" s="2057"/>
      <c r="E30" s="2058"/>
      <c r="F30" s="2066"/>
      <c r="G30" s="1678"/>
      <c r="H30" s="1788"/>
      <c r="I30" s="1788"/>
      <c r="J30" s="1788"/>
      <c r="K30" s="1789"/>
    </row>
    <row r="31" spans="1:33" s="2001" customFormat="1" ht="13.5" customHeight="1">
      <c r="A31" s="2068" t="s">
        <v>1546</v>
      </c>
      <c r="B31" s="2069" t="s">
        <v>1547</v>
      </c>
      <c r="C31" s="2070" t="e">
        <f ca="1">ROUND(C4*F31/(1+'数据-取费表'!C42),0)</f>
        <v>#REF!</v>
      </c>
      <c r="D31" s="2071"/>
      <c r="E31" s="2072"/>
      <c r="F31" s="2073">
        <f>'数据-取费表'!B41</f>
        <v>5.5E-2</v>
      </c>
      <c r="G31" s="2074" t="s">
        <v>1548</v>
      </c>
      <c r="H31" s="2075"/>
      <c r="I31" s="2075"/>
      <c r="J31" s="2075"/>
      <c r="K31" s="2089"/>
    </row>
    <row r="32" spans="1:33" s="2000" customFormat="1" ht="13.5" customHeight="1">
      <c r="A32" s="1092" t="s">
        <v>1549</v>
      </c>
      <c r="B32" s="2076"/>
      <c r="C32" s="2077" t="e">
        <f ca="1">ROUND((C4-C21-C22-C23-C25-C28-C31)/(1+C24+D25+D28),0)</f>
        <v>#REF!</v>
      </c>
      <c r="D32" s="2076"/>
      <c r="E32" s="2076"/>
      <c r="F32" s="2076"/>
      <c r="G32" s="2078" t="s">
        <v>1550</v>
      </c>
      <c r="H32" s="2076"/>
      <c r="I32" s="2076"/>
      <c r="J32" s="2076"/>
      <c r="K32" s="209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5" zoomScaleNormal="60" workbookViewId="0">
      <selection activeCell="M30" sqref="M30"/>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4263</v>
      </c>
      <c r="E1" s="1884"/>
      <c r="F1" s="1192" t="s">
        <v>1554</v>
      </c>
      <c r="G1" s="1193" t="s">
        <v>940</v>
      </c>
      <c r="H1" s="1191"/>
      <c r="I1" s="1191"/>
      <c r="J1" s="1191"/>
      <c r="K1" s="1239"/>
      <c r="L1" s="1240"/>
      <c r="M1" s="1241"/>
      <c r="N1" s="1241"/>
      <c r="O1" s="1241"/>
      <c r="P1" s="1913"/>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240</v>
      </c>
      <c r="C2" s="1196" t="s">
        <v>124</v>
      </c>
      <c r="D2" s="1375" t="e">
        <f ca="1">SUMIF(INDIRECT("'"&amp;F2&amp;"'"&amp;"!A:A"),"承租人权益价值",INDIRECT("'"&amp;F2&amp;"'"&amp;"!c:c"))</f>
        <v>#REF!</v>
      </c>
      <c r="E2" s="1198" t="s">
        <v>1397</v>
      </c>
      <c r="F2" s="1199"/>
      <c r="G2" s="1197"/>
      <c r="H2" s="1197"/>
      <c r="I2" s="1197"/>
      <c r="J2" s="1197"/>
      <c r="K2" s="1914"/>
      <c r="L2" s="1915"/>
      <c r="M2" s="1916"/>
      <c r="N2" s="1916"/>
      <c r="O2" s="1916"/>
      <c r="P2" s="1917"/>
      <c r="Q2" s="1943"/>
      <c r="R2" s="1943"/>
      <c r="S2" s="1943"/>
      <c r="T2" s="1943"/>
      <c r="U2" s="1943"/>
      <c r="V2" s="1943"/>
      <c r="W2" s="1943"/>
      <c r="X2" s="1943"/>
      <c r="Y2" s="1943"/>
      <c r="Z2" s="1943"/>
      <c r="AA2" s="1943"/>
      <c r="AB2" s="1943"/>
      <c r="AC2" s="1944"/>
    </row>
    <row r="3" spans="1:29" s="1883" customFormat="1" ht="28.5" customHeight="1">
      <c r="A3" s="151" t="s">
        <v>942</v>
      </c>
      <c r="B3" s="1201">
        <f>IF(C2="——",C49,ROUND(B2*10000/D3,0))</f>
        <v>26776</v>
      </c>
      <c r="C3" s="1200" t="s">
        <v>943</v>
      </c>
      <c r="D3" s="1201">
        <f>IF(D1="",'数据-汇总表'!E3,SUMIF('数据-汇总表'!$C19:$C33,D1,'数据-汇总表'!$E19:$E33))</f>
        <v>89.53</v>
      </c>
      <c r="E3" s="1197"/>
      <c r="F3" s="1885"/>
      <c r="G3" s="1197"/>
      <c r="H3" s="1197"/>
      <c r="I3" s="1197"/>
      <c r="J3" s="1197"/>
      <c r="K3" s="1914"/>
      <c r="L3" s="1915"/>
      <c r="M3" s="1916"/>
      <c r="N3" s="1916"/>
      <c r="O3" s="1916"/>
      <c r="P3" s="1917"/>
      <c r="Q3" s="1943"/>
      <c r="R3" s="1943"/>
      <c r="S3" s="1943"/>
      <c r="T3" s="1943"/>
      <c r="U3" s="1943"/>
      <c r="V3" s="1943"/>
      <c r="W3" s="1943"/>
      <c r="X3" s="1943"/>
      <c r="Y3" s="1943"/>
      <c r="Z3" s="1943"/>
      <c r="AA3" s="1943"/>
      <c r="AB3" s="1943"/>
      <c r="AC3" s="1944"/>
    </row>
    <row r="4" spans="1:29" ht="15">
      <c r="A4" s="875" t="s">
        <v>944</v>
      </c>
      <c r="B4" s="876"/>
      <c r="C4" s="3311" t="s">
        <v>945</v>
      </c>
      <c r="D4" s="3312"/>
      <c r="E4" s="3313" t="s">
        <v>946</v>
      </c>
      <c r="F4" s="3314"/>
      <c r="G4" s="3311" t="s">
        <v>947</v>
      </c>
      <c r="H4" s="3312"/>
      <c r="I4" s="3311" t="s">
        <v>948</v>
      </c>
      <c r="J4" s="3312"/>
      <c r="K4" s="1918" t="s">
        <v>949</v>
      </c>
      <c r="L4" s="1022"/>
      <c r="M4" s="972"/>
      <c r="N4" s="972"/>
      <c r="O4" s="972"/>
      <c r="P4" s="3337" t="s">
        <v>950</v>
      </c>
      <c r="Q4" s="3338"/>
      <c r="R4" s="3343" t="s">
        <v>946</v>
      </c>
      <c r="S4" s="3344"/>
      <c r="T4" s="3343" t="s">
        <v>947</v>
      </c>
      <c r="U4" s="3344"/>
      <c r="V4" s="3327" t="s">
        <v>948</v>
      </c>
      <c r="W4" s="3327"/>
      <c r="X4" s="1070"/>
      <c r="Y4" s="3343" t="s">
        <v>950</v>
      </c>
      <c r="Z4" s="3344"/>
      <c r="AA4" s="3332" t="s">
        <v>946</v>
      </c>
      <c r="AB4" s="3332" t="s">
        <v>947</v>
      </c>
      <c r="AC4" s="3332" t="s">
        <v>948</v>
      </c>
    </row>
    <row r="5" spans="1:29" ht="15">
      <c r="A5" s="879"/>
      <c r="B5" s="880"/>
      <c r="C5" s="3315" t="s">
        <v>951</v>
      </c>
      <c r="D5" s="3316"/>
      <c r="E5" s="3353" t="s">
        <v>3170</v>
      </c>
      <c r="F5" s="3354"/>
      <c r="G5" s="3355" t="s">
        <v>4271</v>
      </c>
      <c r="H5" s="3356"/>
      <c r="I5" s="3357" t="s">
        <v>3171</v>
      </c>
      <c r="J5" s="3356"/>
      <c r="K5" s="1919"/>
      <c r="L5" s="1022"/>
      <c r="M5" s="972"/>
      <c r="N5" s="972"/>
      <c r="O5" s="972"/>
      <c r="P5" s="3339"/>
      <c r="Q5" s="3340"/>
      <c r="R5" s="3345"/>
      <c r="S5" s="3346"/>
      <c r="T5" s="3345"/>
      <c r="U5" s="3346"/>
      <c r="V5" s="3327"/>
      <c r="W5" s="3327"/>
      <c r="X5" s="1070"/>
      <c r="Y5" s="3345"/>
      <c r="Z5" s="3346"/>
      <c r="AA5" s="3333"/>
      <c r="AB5" s="3333"/>
      <c r="AC5" s="3333"/>
    </row>
    <row r="6" spans="1:29" ht="15">
      <c r="A6" s="881"/>
      <c r="B6" s="882"/>
      <c r="C6" s="3319" t="s">
        <v>952</v>
      </c>
      <c r="D6" s="3320"/>
      <c r="E6" s="3358" t="s">
        <v>1555</v>
      </c>
      <c r="F6" s="3359"/>
      <c r="G6" s="3360" t="s">
        <v>1555</v>
      </c>
      <c r="H6" s="3361"/>
      <c r="I6" s="3360" t="s">
        <v>1555</v>
      </c>
      <c r="J6" s="3361"/>
      <c r="K6" s="1919" t="s">
        <v>953</v>
      </c>
      <c r="L6" s="1022"/>
      <c r="M6" s="972"/>
      <c r="N6" s="972"/>
      <c r="O6" s="972"/>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1202">
        <v>45474</v>
      </c>
      <c r="F7" s="889">
        <f>SUMIF(58:58,YEAR(E7)&amp;"-"&amp;MONTH(E7),59:59)</f>
        <v>100</v>
      </c>
      <c r="G7" s="1202">
        <v>45474</v>
      </c>
      <c r="H7" s="887">
        <f>SUMIF(58:58,YEAR(G7)&amp;"-"&amp;MONTH(G7),59:59)</f>
        <v>100</v>
      </c>
      <c r="I7" s="1202">
        <v>45474</v>
      </c>
      <c r="J7" s="887">
        <f>SUMIF(58:58,YEAR(I7)&amp;"-"&amp;MONTH(I7),59:59)</f>
        <v>100</v>
      </c>
      <c r="K7" s="1920"/>
      <c r="L7" s="1027"/>
      <c r="M7" s="1028"/>
      <c r="N7" s="1028"/>
      <c r="O7" s="1028"/>
      <c r="P7" s="3323" t="s">
        <v>955</v>
      </c>
      <c r="Q7" s="3324"/>
      <c r="R7" s="1071" t="s">
        <v>956</v>
      </c>
      <c r="S7" s="1072">
        <f t="shared" ref="S7:S15" si="0">F7</f>
        <v>100</v>
      </c>
      <c r="T7" s="1071" t="s">
        <v>956</v>
      </c>
      <c r="U7" s="1072">
        <f t="shared" ref="U7:U15" si="1">H7</f>
        <v>100</v>
      </c>
      <c r="V7" s="1071" t="s">
        <v>956</v>
      </c>
      <c r="W7" s="1072">
        <f t="shared" ref="W7:W15" si="2">J7</f>
        <v>100</v>
      </c>
      <c r="X7" s="1073"/>
      <c r="Y7" s="3323" t="s">
        <v>955</v>
      </c>
      <c r="Z7" s="3325"/>
      <c r="AA7" s="1083">
        <f>D7/F7</f>
        <v>1</v>
      </c>
      <c r="AB7" s="1083">
        <f>D7/H7</f>
        <v>1</v>
      </c>
      <c r="AC7" s="1083">
        <f>D7/J7</f>
        <v>1</v>
      </c>
    </row>
    <row r="8" spans="1:29" s="856" customFormat="1" ht="15">
      <c r="A8" s="884" t="s">
        <v>957</v>
      </c>
      <c r="B8" s="885"/>
      <c r="C8" s="891" t="s">
        <v>958</v>
      </c>
      <c r="D8" s="887">
        <v>100</v>
      </c>
      <c r="E8" s="1886" t="s">
        <v>824</v>
      </c>
      <c r="F8" s="889">
        <f>SUMIF(61:61,E8,62:62)-SUMIF(61:61,C8,62:62)+100</f>
        <v>100</v>
      </c>
      <c r="G8" s="1886" t="s">
        <v>824</v>
      </c>
      <c r="H8" s="887">
        <f>SUMIF(61:61,G8,62:62)-SUMIF(61:61,C8,62:62)+100</f>
        <v>100</v>
      </c>
      <c r="I8" s="1921" t="s">
        <v>824</v>
      </c>
      <c r="J8" s="887">
        <f>SUMIF(61:61,I8,62:62)-SUMIF(61:61,C8,62:62)+100</f>
        <v>100</v>
      </c>
      <c r="K8" s="1920"/>
      <c r="L8" s="1027"/>
      <c r="M8" s="1028"/>
      <c r="N8" s="1028"/>
      <c r="O8" s="1028"/>
      <c r="P8" s="3323" t="s">
        <v>959</v>
      </c>
      <c r="Q8" s="3325"/>
      <c r="R8" s="1071" t="s">
        <v>956</v>
      </c>
      <c r="S8" s="1072">
        <f t="shared" si="0"/>
        <v>100</v>
      </c>
      <c r="T8" s="1071" t="s">
        <v>956</v>
      </c>
      <c r="U8" s="1072">
        <f t="shared" si="1"/>
        <v>100</v>
      </c>
      <c r="V8" s="1071" t="s">
        <v>956</v>
      </c>
      <c r="W8" s="1072">
        <f t="shared" si="2"/>
        <v>100</v>
      </c>
      <c r="X8" s="1073"/>
      <c r="Y8" s="3323" t="s">
        <v>959</v>
      </c>
      <c r="Z8" s="3325"/>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7" t="s">
        <v>463</v>
      </c>
      <c r="F9" s="893">
        <f>SUMIF(63:63,E9,64:64)-SUMIF(63:63,C9,64:64)+100</f>
        <v>100</v>
      </c>
      <c r="G9" s="1887" t="s">
        <v>463</v>
      </c>
      <c r="H9" s="895">
        <f>SUMIF(63:63,G9,64:64)-SUMIF(63:63,C9,64:64)+100</f>
        <v>100</v>
      </c>
      <c r="I9" s="1887" t="s">
        <v>463</v>
      </c>
      <c r="J9" s="895">
        <f>SUMIF(63:63,I9,64:64)-SUMIF(63:63,C9,64:64)+100</f>
        <v>100</v>
      </c>
      <c r="K9" s="1920"/>
      <c r="L9" s="1027"/>
      <c r="M9" s="1028"/>
      <c r="N9" s="1028"/>
      <c r="O9" s="1028"/>
      <c r="P9" s="333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8" t="s">
        <v>1556</v>
      </c>
      <c r="H10" s="899">
        <f>SUMIF(65:65,G10,66:66)-SUMIF(65:65,C10,66:66)+100</f>
        <v>100</v>
      </c>
      <c r="I10" s="1888" t="s">
        <v>1556</v>
      </c>
      <c r="J10" s="899">
        <f>SUMIF(65:65,I10,66:66)-SUMIF(65:65,C10,66:66)+100</f>
        <v>100</v>
      </c>
      <c r="K10" s="1922">
        <v>1</v>
      </c>
      <c r="L10" s="1032"/>
      <c r="M10" s="1033"/>
      <c r="N10" s="1033"/>
      <c r="O10" s="1033"/>
      <c r="P10" s="333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083">
        <f t="shared" si="5"/>
        <v>1</v>
      </c>
    </row>
    <row r="11" spans="1:29" ht="15">
      <c r="A11" s="900"/>
      <c r="B11" s="897" t="s">
        <v>965</v>
      </c>
      <c r="C11" s="1889">
        <f>'土地比较法-住宅、综合'!C11</f>
        <v>2</v>
      </c>
      <c r="D11" s="899">
        <v>100</v>
      </c>
      <c r="E11" s="1889">
        <v>1.3</v>
      </c>
      <c r="F11" s="897">
        <f>LOOKUP(E11,68:68,69:69)-LOOKUP(C11,68:68,69:69)+100</f>
        <v>105</v>
      </c>
      <c r="G11" s="1889">
        <v>1.37</v>
      </c>
      <c r="H11" s="899">
        <f>LOOKUP(G11,68:68,69:69)-LOOKUP(C11,68:68,69:69)+100</f>
        <v>105</v>
      </c>
      <c r="I11" s="1889">
        <v>1.5</v>
      </c>
      <c r="J11" s="899">
        <f>LOOKUP(I11,68:68,69:69)-LOOKUP(C11,68:68,69:69)+100</f>
        <v>105</v>
      </c>
      <c r="K11" s="1922">
        <f>'土地比较法-住宅、综合'!K11</f>
        <v>5</v>
      </c>
      <c r="L11" s="1036"/>
      <c r="M11" s="972"/>
      <c r="N11" s="972"/>
      <c r="O11" s="972"/>
      <c r="P11" s="3336"/>
      <c r="Q11" s="796" t="str">
        <f t="shared" si="6"/>
        <v>容积率</v>
      </c>
      <c r="R11" s="1071" t="s">
        <v>956</v>
      </c>
      <c r="S11" s="1072">
        <f t="shared" si="0"/>
        <v>105</v>
      </c>
      <c r="T11" s="1071" t="s">
        <v>956</v>
      </c>
      <c r="U11" s="1072">
        <f t="shared" si="1"/>
        <v>105</v>
      </c>
      <c r="V11" s="1071" t="s">
        <v>956</v>
      </c>
      <c r="W11" s="1072">
        <f t="shared" si="2"/>
        <v>105</v>
      </c>
      <c r="X11" s="1073"/>
      <c r="Y11" s="3302"/>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0"/>
      <c r="H12" s="899">
        <f>SUMIF(70:70,G12,71:71)-SUMIF(70:70,C12,71:71)+100</f>
        <v>100</v>
      </c>
      <c r="I12" s="1890"/>
      <c r="J12" s="899">
        <f>SUMIF(70:70,I12,71:71)-SUMIF(70:70,C12,71:71)+100</f>
        <v>100</v>
      </c>
      <c r="K12" s="1923"/>
      <c r="L12" s="1027"/>
      <c r="M12" s="1028"/>
      <c r="N12" s="1028"/>
      <c r="O12" s="1028"/>
      <c r="P12" s="333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1"/>
      <c r="H13" s="766">
        <f>SUMIF(72:72,G13,73:73)-SUMIF(72:72,C13,73:73)+100</f>
        <v>100</v>
      </c>
      <c r="I13" s="1891"/>
      <c r="J13" s="766">
        <f>SUMIF(72:72,I13,73:73)-SUMIF(72:72,C13,73:73)+100</f>
        <v>100</v>
      </c>
      <c r="K13" s="1923"/>
      <c r="L13" s="1038"/>
      <c r="M13" s="972"/>
      <c r="N13" s="972"/>
      <c r="O13" s="972"/>
      <c r="P13" s="333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2"/>
      <c r="H14" s="912">
        <f>SUMIF(74:74,G14,75:75)-SUMIF(74:74,C14,75:75)+100</f>
        <v>100</v>
      </c>
      <c r="I14" s="1892"/>
      <c r="J14" s="912">
        <f>SUMIF(74:74,I14,75:75)-SUMIF(74:74,C14,75:75)+100</f>
        <v>100</v>
      </c>
      <c r="K14" s="1923"/>
      <c r="L14" s="1038"/>
      <c r="M14" s="972"/>
      <c r="N14" s="972"/>
      <c r="O14" s="972"/>
      <c r="P14" s="333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3"/>
      <c r="F15" s="916">
        <f>SUMIF(76:76,E16,77:77)-SUMIF(76:76,C16,77:77)+100</f>
        <v>105</v>
      </c>
      <c r="G15" s="1893"/>
      <c r="H15" s="916">
        <f>SUMIF(76:76,G16,77:77)-SUMIF(76:76,C16,77:77)+100</f>
        <v>105</v>
      </c>
      <c r="I15" s="1924"/>
      <c r="J15" s="916">
        <f>SUMIF(76:76,I16,77:77)-SUMIF(76:76,C16,77:77)+100</f>
        <v>105</v>
      </c>
      <c r="K15" s="1925">
        <v>5</v>
      </c>
      <c r="L15" s="1038"/>
      <c r="M15" s="972"/>
      <c r="N15" s="972"/>
      <c r="O15" s="972"/>
      <c r="P15" s="3362" t="s">
        <v>969</v>
      </c>
      <c r="Q15" s="642" t="str">
        <f t="shared" si="6"/>
        <v>居住社区成熟度</v>
      </c>
      <c r="R15" s="1075" t="s">
        <v>956</v>
      </c>
      <c r="S15" s="1076">
        <f t="shared" si="0"/>
        <v>105</v>
      </c>
      <c r="T15" s="1075" t="s">
        <v>956</v>
      </c>
      <c r="U15" s="1076">
        <f t="shared" si="1"/>
        <v>105</v>
      </c>
      <c r="V15" s="1075" t="s">
        <v>956</v>
      </c>
      <c r="W15" s="1076">
        <f t="shared" si="2"/>
        <v>105</v>
      </c>
      <c r="X15" s="1070"/>
      <c r="Y15" s="3328"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4" t="s">
        <v>970</v>
      </c>
      <c r="H16" s="922"/>
      <c r="I16" s="1926" t="s">
        <v>970</v>
      </c>
      <c r="J16" s="920"/>
      <c r="K16" s="1927"/>
      <c r="L16" s="1038"/>
      <c r="M16" s="972"/>
      <c r="N16" s="972"/>
      <c r="O16" s="972"/>
      <c r="P16" s="3363"/>
      <c r="Q16" s="642"/>
      <c r="R16" s="1075"/>
      <c r="S16" s="1076"/>
      <c r="T16" s="1075"/>
      <c r="U16" s="1076"/>
      <c r="V16" s="1075"/>
      <c r="W16" s="1076"/>
      <c r="X16" s="1070"/>
      <c r="Y16" s="3329"/>
      <c r="Z16" s="1059"/>
      <c r="AA16" s="1059">
        <v>1</v>
      </c>
      <c r="AB16" s="1059">
        <v>1</v>
      </c>
      <c r="AC16" s="1059">
        <v>1</v>
      </c>
    </row>
    <row r="17" spans="1:29" ht="27" customHeight="1">
      <c r="A17" s="900"/>
      <c r="B17" s="1212" t="s">
        <v>973</v>
      </c>
      <c r="C17" s="924" t="str">
        <f>估价对象房地状况!C6</f>
        <v>一般</v>
      </c>
      <c r="D17" s="922">
        <v>100</v>
      </c>
      <c r="E17" s="1895"/>
      <c r="F17" s="922">
        <f>SUMIF(78:78,E18,79:79)-SUMIF(78:78,C18,79:79)+100</f>
        <v>100</v>
      </c>
      <c r="G17" s="1895"/>
      <c r="H17" s="926">
        <f>SUMIF(78:78,G18,79:79)-SUMIF(78:78,C18,79:79)+100</f>
        <v>100</v>
      </c>
      <c r="I17" s="1928"/>
      <c r="J17" s="926">
        <f>SUMIF(78:78,I18,79:79)-SUMIF(78:78,C18,79:79)+100</f>
        <v>100</v>
      </c>
      <c r="K17" s="1925">
        <f>'土地比较法-住宅、综合'!K21</f>
        <v>3</v>
      </c>
      <c r="L17" s="1038"/>
      <c r="M17" s="972"/>
      <c r="N17" s="972"/>
      <c r="O17" s="972"/>
      <c r="P17" s="3363"/>
      <c r="Q17" s="642" t="str">
        <f>B17</f>
        <v>交通便捷度</v>
      </c>
      <c r="R17" s="1075" t="s">
        <v>956</v>
      </c>
      <c r="S17" s="1076">
        <f>F17</f>
        <v>100</v>
      </c>
      <c r="T17" s="1075" t="s">
        <v>956</v>
      </c>
      <c r="U17" s="1076">
        <f>H17</f>
        <v>100</v>
      </c>
      <c r="V17" s="1075" t="s">
        <v>956</v>
      </c>
      <c r="W17" s="1076">
        <f>J17</f>
        <v>100</v>
      </c>
      <c r="X17" s="1070"/>
      <c r="Y17" s="3329"/>
      <c r="Z17" s="1059" t="str">
        <f>Q17</f>
        <v>交通便捷度</v>
      </c>
      <c r="AA17" s="1059">
        <f t="shared" si="3"/>
        <v>1</v>
      </c>
      <c r="AB17" s="1059">
        <f t="shared" si="4"/>
        <v>1</v>
      </c>
      <c r="AC17" s="1059">
        <f t="shared" si="5"/>
        <v>1</v>
      </c>
    </row>
    <row r="18" spans="1:29" ht="15">
      <c r="A18" s="900"/>
      <c r="B18" s="946"/>
      <c r="C18" s="1215" t="s">
        <v>667</v>
      </c>
      <c r="D18" s="922"/>
      <c r="E18" s="1896" t="s">
        <v>667</v>
      </c>
      <c r="F18" s="922"/>
      <c r="G18" s="1896" t="s">
        <v>667</v>
      </c>
      <c r="H18" s="920"/>
      <c r="I18" s="1896" t="s">
        <v>667</v>
      </c>
      <c r="J18" s="920"/>
      <c r="K18" s="1927"/>
      <c r="L18" s="1038"/>
      <c r="M18" s="972"/>
      <c r="N18" s="972"/>
      <c r="O18" s="972"/>
      <c r="P18" s="3363"/>
      <c r="Q18" s="642"/>
      <c r="R18" s="1075"/>
      <c r="S18" s="1076"/>
      <c r="T18" s="1075"/>
      <c r="U18" s="1076"/>
      <c r="V18" s="1075"/>
      <c r="W18" s="1076"/>
      <c r="X18" s="1070"/>
      <c r="Y18" s="3329"/>
      <c r="Z18" s="1059"/>
      <c r="AA18" s="1059">
        <v>1</v>
      </c>
      <c r="AB18" s="1059">
        <v>1</v>
      </c>
      <c r="AC18" s="1059">
        <v>1</v>
      </c>
    </row>
    <row r="19" spans="1:29" ht="27.75" customHeight="1">
      <c r="A19" s="900"/>
      <c r="B19" s="1212" t="s">
        <v>976</v>
      </c>
      <c r="C19" s="924" t="str">
        <f>估价对象房地状况!C7</f>
        <v>一般</v>
      </c>
      <c r="D19" s="926">
        <v>100</v>
      </c>
      <c r="E19" s="1897" t="s">
        <v>970</v>
      </c>
      <c r="F19" s="926">
        <f>SUMIF(80:80,E20,81:81)-SUMIF(80:80,C20,81:81)+100</f>
        <v>105</v>
      </c>
      <c r="G19" s="1897" t="s">
        <v>970</v>
      </c>
      <c r="H19" s="922">
        <f>SUMIF(80:80,G20,81:81)-SUMIF(80:80,C20,81:81)+100</f>
        <v>105</v>
      </c>
      <c r="I19" s="1929" t="s">
        <v>970</v>
      </c>
      <c r="J19" s="922">
        <f>SUMIF(80:80,I20,81:81)-SUMIF(80:80,C20,81:81)+100</f>
        <v>105</v>
      </c>
      <c r="K19" s="1925">
        <v>5</v>
      </c>
      <c r="L19" s="1038"/>
      <c r="M19" s="972"/>
      <c r="N19" s="972"/>
      <c r="O19" s="972"/>
      <c r="P19" s="3363"/>
      <c r="Q19" s="642" t="str">
        <f>B19</f>
        <v>公共配套设施</v>
      </c>
      <c r="R19" s="1075" t="s">
        <v>956</v>
      </c>
      <c r="S19" s="1076">
        <f>F19</f>
        <v>105</v>
      </c>
      <c r="T19" s="1075" t="s">
        <v>956</v>
      </c>
      <c r="U19" s="1076">
        <f>H19</f>
        <v>105</v>
      </c>
      <c r="V19" s="1075" t="s">
        <v>956</v>
      </c>
      <c r="W19" s="1076">
        <f>J19</f>
        <v>105</v>
      </c>
      <c r="X19" s="1070"/>
      <c r="Y19" s="3329"/>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7"/>
      <c r="L20" s="1038"/>
      <c r="M20" s="972"/>
      <c r="N20" s="972"/>
      <c r="O20" s="972"/>
      <c r="P20" s="3363"/>
      <c r="Q20" s="642"/>
      <c r="R20" s="1075"/>
      <c r="S20" s="1076"/>
      <c r="T20" s="1075"/>
      <c r="U20" s="1076"/>
      <c r="V20" s="1075"/>
      <c r="W20" s="1076"/>
      <c r="X20" s="1070"/>
      <c r="Y20" s="3329"/>
      <c r="Z20" s="1059"/>
      <c r="AA20" s="1059">
        <v>1</v>
      </c>
      <c r="AB20" s="1059">
        <v>1</v>
      </c>
      <c r="AC20" s="1059">
        <v>1</v>
      </c>
    </row>
    <row r="21" spans="1:29" ht="15">
      <c r="A21" s="900"/>
      <c r="B21" s="1216" t="s">
        <v>977</v>
      </c>
      <c r="C21" s="924" t="str">
        <f>估价对象房地状况!C8</f>
        <v>七通</v>
      </c>
      <c r="D21" s="922">
        <v>100</v>
      </c>
      <c r="E21" s="1898" t="s">
        <v>236</v>
      </c>
      <c r="F21" s="926">
        <f>SUMIF(82:82,E22,83:83)-SUMIF(82:82,C22,83:83)+100</f>
        <v>100</v>
      </c>
      <c r="G21" s="1898" t="s">
        <v>236</v>
      </c>
      <c r="H21" s="922">
        <f>SUMIF(82:82,G22,83:83)-SUMIF(82:82,C22,83:83)+100</f>
        <v>100</v>
      </c>
      <c r="I21" s="1898" t="s">
        <v>236</v>
      </c>
      <c r="J21" s="922">
        <f>SUMIF(82:82,I22,83:83)-SUMIF(82:82,C22,83:83)+100</f>
        <v>100</v>
      </c>
      <c r="K21" s="1925">
        <f>'土地比较法-住宅、综合'!K29</f>
        <v>1</v>
      </c>
      <c r="L21" s="1038"/>
      <c r="M21" s="972"/>
      <c r="N21" s="972"/>
      <c r="O21" s="972"/>
      <c r="P21" s="3363"/>
      <c r="Q21" s="642" t="str">
        <f>B21</f>
        <v>基础设施水平</v>
      </c>
      <c r="R21" s="1075" t="s">
        <v>956</v>
      </c>
      <c r="S21" s="1076">
        <f>F21</f>
        <v>100</v>
      </c>
      <c r="T21" s="1075" t="s">
        <v>956</v>
      </c>
      <c r="U21" s="1076">
        <f>H21</f>
        <v>100</v>
      </c>
      <c r="V21" s="1075" t="s">
        <v>956</v>
      </c>
      <c r="W21" s="1076">
        <f>J21</f>
        <v>100</v>
      </c>
      <c r="X21" s="1070"/>
      <c r="Y21" s="3329"/>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6" t="s">
        <v>236</v>
      </c>
      <c r="F22" s="920"/>
      <c r="G22" s="1896" t="s">
        <v>236</v>
      </c>
      <c r="H22" s="920"/>
      <c r="I22" s="1896" t="s">
        <v>236</v>
      </c>
      <c r="J22" s="920"/>
      <c r="K22" s="1930"/>
      <c r="L22" s="1038"/>
      <c r="M22" s="972"/>
      <c r="N22" s="972"/>
      <c r="O22" s="972"/>
      <c r="P22" s="3363"/>
      <c r="Q22" s="642"/>
      <c r="R22" s="1075"/>
      <c r="S22" s="1076"/>
      <c r="T22" s="1075"/>
      <c r="U22" s="1076"/>
      <c r="V22" s="1075"/>
      <c r="W22" s="1076"/>
      <c r="X22" s="1070"/>
      <c r="Y22" s="3329"/>
      <c r="Z22" s="1059"/>
      <c r="AA22" s="1059">
        <v>1</v>
      </c>
      <c r="AB22" s="1059">
        <v>1</v>
      </c>
      <c r="AC22" s="1059">
        <v>1</v>
      </c>
    </row>
    <row r="23" spans="1:29" ht="15">
      <c r="A23" s="900"/>
      <c r="B23" s="1212" t="s">
        <v>1557</v>
      </c>
      <c r="C23" s="924" t="str">
        <f>估价对象房地状况!C9</f>
        <v>一般</v>
      </c>
      <c r="D23" s="922">
        <v>100</v>
      </c>
      <c r="E23" s="1899" t="s">
        <v>3040</v>
      </c>
      <c r="F23" s="922">
        <f>SUMIF(84:84,E24,85:85)-SUMIF(84:84,C24,85:85)+100</f>
        <v>100</v>
      </c>
      <c r="G23" s="1899" t="s">
        <v>3040</v>
      </c>
      <c r="H23" s="922">
        <f>SUMIF(84:84,G24,85:85)-SUMIF(84:84,C24,85:85)+100</f>
        <v>100</v>
      </c>
      <c r="I23" s="1899" t="s">
        <v>3040</v>
      </c>
      <c r="J23" s="922">
        <f>SUMIF(84:84,I24,85:85)-SUMIF(84:84,C24,85:85)+100</f>
        <v>100</v>
      </c>
      <c r="K23" s="1925">
        <f>'土地比较法-住宅、综合'!K25</f>
        <v>3</v>
      </c>
      <c r="L23" s="1038"/>
      <c r="M23" s="972"/>
      <c r="N23" s="972"/>
      <c r="O23" s="972"/>
      <c r="P23" s="3363"/>
      <c r="Q23" s="642" t="str">
        <f>B23</f>
        <v>自然及人文环境</v>
      </c>
      <c r="R23" s="1075" t="s">
        <v>956</v>
      </c>
      <c r="S23" s="1076">
        <f>F23</f>
        <v>100</v>
      </c>
      <c r="T23" s="1075" t="s">
        <v>956</v>
      </c>
      <c r="U23" s="1076">
        <f>H23</f>
        <v>100</v>
      </c>
      <c r="V23" s="1075" t="s">
        <v>956</v>
      </c>
      <c r="W23" s="1076">
        <f>J23</f>
        <v>100</v>
      </c>
      <c r="X23" s="1070"/>
      <c r="Y23" s="3329"/>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7"/>
      <c r="L24" s="1038"/>
      <c r="M24" s="972"/>
      <c r="N24" s="972"/>
      <c r="O24" s="972"/>
      <c r="P24" s="3363"/>
      <c r="Q24" s="642"/>
      <c r="R24" s="1075"/>
      <c r="S24" s="1076"/>
      <c r="T24" s="1075"/>
      <c r="U24" s="1076"/>
      <c r="V24" s="1075"/>
      <c r="W24" s="1076"/>
      <c r="X24" s="1070"/>
      <c r="Y24" s="3329"/>
      <c r="Z24" s="1059"/>
      <c r="AA24" s="1059">
        <v>1</v>
      </c>
      <c r="AB24" s="1059">
        <v>1</v>
      </c>
      <c r="AC24" s="1059">
        <v>1</v>
      </c>
    </row>
    <row r="25" spans="1:29" ht="15" hidden="1">
      <c r="A25" s="900"/>
      <c r="B25" s="897" t="s">
        <v>1558</v>
      </c>
      <c r="C25" s="1223"/>
      <c r="D25" s="766">
        <v>100</v>
      </c>
      <c r="E25" s="1223"/>
      <c r="F25" s="766">
        <f>SUMIF(86:86,E25,87:87)-SUMIF(86:86,C25,87:87)+100</f>
        <v>100</v>
      </c>
      <c r="G25" s="1900"/>
      <c r="H25" s="766">
        <f>SUMIF(86:86,G25,87:87)-SUMIF(86:86,C25,87:87)+100</f>
        <v>100</v>
      </c>
      <c r="I25" s="1906"/>
      <c r="J25" s="766">
        <f>SUMIF(86:86,I25,87:87)-SUMIF(86:86,C25,87:87)+100</f>
        <v>100</v>
      </c>
      <c r="K25" s="1922">
        <v>3</v>
      </c>
      <c r="L25" s="1038"/>
      <c r="M25" s="972"/>
      <c r="N25" s="972"/>
      <c r="O25" s="972"/>
      <c r="P25" s="3363"/>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29"/>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0"/>
      <c r="F26" s="766">
        <f>SUMIF(88:88,E26,89:89)-SUMIF(88:88,C26,89:89)+100</f>
        <v>100</v>
      </c>
      <c r="G26" s="1900"/>
      <c r="H26" s="766">
        <f>SUMIF(88:88,G26,89:89)-SUMIF(88:88,C26,89:89)+100</f>
        <v>100</v>
      </c>
      <c r="I26" s="1906"/>
      <c r="J26" s="766">
        <f>SUMIF(88:88,I26,89:89)-SUMIF(88:88,C26,89:89)+100</f>
        <v>100</v>
      </c>
      <c r="K26" s="1922"/>
      <c r="L26" s="1038"/>
      <c r="M26" s="972"/>
      <c r="N26" s="972"/>
      <c r="O26" s="972"/>
      <c r="P26" s="3363"/>
      <c r="Q26" s="642" t="str">
        <f t="shared" si="11"/>
        <v>朝向</v>
      </c>
      <c r="R26" s="1075" t="s">
        <v>956</v>
      </c>
      <c r="S26" s="1076">
        <f t="shared" si="12"/>
        <v>100</v>
      </c>
      <c r="T26" s="1075" t="s">
        <v>956</v>
      </c>
      <c r="U26" s="1076">
        <f t="shared" si="13"/>
        <v>100</v>
      </c>
      <c r="V26" s="1075" t="s">
        <v>956</v>
      </c>
      <c r="W26" s="1076">
        <f t="shared" si="14"/>
        <v>100</v>
      </c>
      <c r="X26" s="1070"/>
      <c r="Y26" s="3329"/>
      <c r="Z26" s="1059" t="str">
        <f>Q26</f>
        <v>朝向</v>
      </c>
      <c r="AA26" s="1059">
        <f t="shared" si="15"/>
        <v>1</v>
      </c>
      <c r="AB26" s="1059">
        <f t="shared" si="16"/>
        <v>1</v>
      </c>
      <c r="AC26" s="1059">
        <f t="shared" si="17"/>
        <v>1</v>
      </c>
    </row>
    <row r="27" spans="1:29" s="856" customFormat="1" ht="15">
      <c r="A27" s="903"/>
      <c r="B27" s="1134" t="s">
        <v>3039</v>
      </c>
      <c r="C27" s="3078" t="s">
        <v>3036</v>
      </c>
      <c r="D27" s="927">
        <v>100</v>
      </c>
      <c r="E27" s="3078" t="s">
        <v>3038</v>
      </c>
      <c r="F27" s="927">
        <f>SUMIF(90:90,E27,91:91)-SUMIF(90:90,C27,91:91)+100</f>
        <v>97</v>
      </c>
      <c r="G27" s="3078" t="s">
        <v>3038</v>
      </c>
      <c r="H27" s="927">
        <f>SUMIF(90:90,G27,91:91)-SUMIF(90:90,C27,91:91)+100</f>
        <v>97</v>
      </c>
      <c r="I27" s="3078" t="s">
        <v>3038</v>
      </c>
      <c r="J27" s="927">
        <f>SUMIF(90:90,I27,91:91)-SUMIF(90:90,C27,91:91)+100</f>
        <v>97</v>
      </c>
      <c r="K27" s="1923"/>
      <c r="L27" s="1027"/>
      <c r="M27" s="1028"/>
      <c r="N27" s="1028"/>
      <c r="O27" s="1028"/>
      <c r="P27" s="3363"/>
      <c r="Q27" s="796" t="str">
        <f t="shared" si="11"/>
        <v>楼层-1</v>
      </c>
      <c r="R27" s="1071" t="s">
        <v>956</v>
      </c>
      <c r="S27" s="1072">
        <f t="shared" si="12"/>
        <v>97</v>
      </c>
      <c r="T27" s="1071" t="s">
        <v>956</v>
      </c>
      <c r="U27" s="1072">
        <f t="shared" si="13"/>
        <v>97</v>
      </c>
      <c r="V27" s="1071" t="s">
        <v>956</v>
      </c>
      <c r="W27" s="1072">
        <f t="shared" si="14"/>
        <v>97</v>
      </c>
      <c r="X27" s="1073"/>
      <c r="Y27" s="3329"/>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1"/>
      <c r="H28" s="766">
        <f>SUMIF(92:92,G28,93:93)-SUMIF(92:92,C28,93:93)+100</f>
        <v>100</v>
      </c>
      <c r="I28" s="1891"/>
      <c r="J28" s="766">
        <f>SUMIF(92:92,I28,93:93)-SUMIF(92:92,C28,93:93)+100</f>
        <v>100</v>
      </c>
      <c r="K28" s="1923"/>
      <c r="L28" s="1038"/>
      <c r="M28" s="972"/>
      <c r="N28" s="972"/>
      <c r="O28" s="972"/>
      <c r="P28" s="3363"/>
      <c r="Q28" s="642">
        <f t="shared" si="11"/>
        <v>111</v>
      </c>
      <c r="R28" s="1075" t="s">
        <v>956</v>
      </c>
      <c r="S28" s="1076">
        <f t="shared" si="12"/>
        <v>100</v>
      </c>
      <c r="T28" s="1075" t="s">
        <v>956</v>
      </c>
      <c r="U28" s="1076">
        <f t="shared" si="13"/>
        <v>100</v>
      </c>
      <c r="V28" s="1075" t="s">
        <v>956</v>
      </c>
      <c r="W28" s="1076">
        <f t="shared" si="14"/>
        <v>100</v>
      </c>
      <c r="X28" s="1070"/>
      <c r="Y28" s="3329"/>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1"/>
      <c r="H29" s="766">
        <f>SUMIF(94:94,G29,95:95)-SUMIF(94:94,C29,95:95)+100</f>
        <v>100</v>
      </c>
      <c r="I29" s="1891"/>
      <c r="J29" s="766">
        <f>SUMIF(94:94,I29,95:95)-SUMIF(94:94,C29,95:95)+100</f>
        <v>100</v>
      </c>
      <c r="K29" s="1923"/>
      <c r="L29" s="1038"/>
      <c r="M29" s="972"/>
      <c r="N29" s="972"/>
      <c r="O29" s="972"/>
      <c r="P29" s="3363"/>
      <c r="Q29" s="642">
        <f t="shared" si="11"/>
        <v>111</v>
      </c>
      <c r="R29" s="1075" t="s">
        <v>956</v>
      </c>
      <c r="S29" s="1076">
        <f t="shared" si="12"/>
        <v>100</v>
      </c>
      <c r="T29" s="1075" t="s">
        <v>956</v>
      </c>
      <c r="U29" s="1076">
        <f t="shared" si="13"/>
        <v>100</v>
      </c>
      <c r="V29" s="1075" t="s">
        <v>956</v>
      </c>
      <c r="W29" s="1076">
        <f t="shared" si="14"/>
        <v>100</v>
      </c>
      <c r="X29" s="1070"/>
      <c r="Y29" s="3329"/>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1"/>
      <c r="H30" s="766">
        <f>SUMIF(96:96,G30,97:97)-SUMIF(96:96,C30,97:97)+100</f>
        <v>100</v>
      </c>
      <c r="I30" s="1891"/>
      <c r="J30" s="766">
        <f>SUMIF(96:96,I30,97:97)-SUMIF(96:96,C30,97:97)+100</f>
        <v>100</v>
      </c>
      <c r="K30" s="1923"/>
      <c r="L30" s="1038"/>
      <c r="M30" s="972"/>
      <c r="N30" s="972"/>
      <c r="O30" s="972"/>
      <c r="P30" s="3363"/>
      <c r="Q30" s="642">
        <f t="shared" si="11"/>
        <v>111</v>
      </c>
      <c r="R30" s="1075" t="s">
        <v>956</v>
      </c>
      <c r="S30" s="1076">
        <f t="shared" si="12"/>
        <v>100</v>
      </c>
      <c r="T30" s="1075" t="s">
        <v>956</v>
      </c>
      <c r="U30" s="1076">
        <f t="shared" si="13"/>
        <v>100</v>
      </c>
      <c r="V30" s="1075" t="s">
        <v>956</v>
      </c>
      <c r="W30" s="1076">
        <f t="shared" si="14"/>
        <v>100</v>
      </c>
      <c r="X30" s="1070"/>
      <c r="Y30" s="3329"/>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2"/>
      <c r="H31" s="912">
        <f>SUMIF(98:98,G31,99:99)-SUMIF(98:98,C31,99:99)+100</f>
        <v>100</v>
      </c>
      <c r="I31" s="1892"/>
      <c r="J31" s="912">
        <f>SUMIF(98:98,I31,99:99)-SUMIF(98:98,C31,99:99)+100</f>
        <v>100</v>
      </c>
      <c r="K31" s="1923"/>
      <c r="L31" s="1038"/>
      <c r="M31" s="972"/>
      <c r="N31" s="972"/>
      <c r="O31" s="972"/>
      <c r="P31" s="3363"/>
      <c r="Q31" s="642">
        <f t="shared" si="11"/>
        <v>111</v>
      </c>
      <c r="R31" s="1075" t="s">
        <v>956</v>
      </c>
      <c r="S31" s="1076">
        <f t="shared" si="12"/>
        <v>100</v>
      </c>
      <c r="T31" s="1075" t="s">
        <v>956</v>
      </c>
      <c r="U31" s="1076">
        <f t="shared" si="13"/>
        <v>100</v>
      </c>
      <c r="V31" s="1075" t="s">
        <v>956</v>
      </c>
      <c r="W31" s="1076">
        <f t="shared" si="14"/>
        <v>100</v>
      </c>
      <c r="X31" s="1070"/>
      <c r="Y31" s="3329"/>
      <c r="Z31" s="1059">
        <f t="shared" si="18"/>
        <v>111</v>
      </c>
      <c r="AA31" s="1059">
        <f t="shared" si="15"/>
        <v>1</v>
      </c>
      <c r="AB31" s="1059">
        <f t="shared" si="16"/>
        <v>1</v>
      </c>
      <c r="AC31" s="1059">
        <f t="shared" si="17"/>
        <v>1</v>
      </c>
    </row>
    <row r="32" spans="1:29" ht="15">
      <c r="A32" s="913" t="s">
        <v>983</v>
      </c>
      <c r="B32" s="893" t="s">
        <v>1560</v>
      </c>
      <c r="C32" s="1219" t="s">
        <v>1561</v>
      </c>
      <c r="D32" s="877">
        <v>100</v>
      </c>
      <c r="E32" s="1902" t="s">
        <v>1561</v>
      </c>
      <c r="F32" s="1054">
        <f>SUMIF(100:100,E32,101:101)-SUMIF(100:100,C32,101:101)+100</f>
        <v>100</v>
      </c>
      <c r="G32" s="1902" t="s">
        <v>1561</v>
      </c>
      <c r="H32" s="877">
        <f>SUMIF(100:100,G32,101:101)-SUMIF(100:100,C32,101:101)+100</f>
        <v>100</v>
      </c>
      <c r="I32" s="1902" t="s">
        <v>1561</v>
      </c>
      <c r="J32" s="766">
        <f>SUMIF(100:100,I32,101:101)-SUMIF(100:100,C32,101:101)+100</f>
        <v>100</v>
      </c>
      <c r="K32" s="1922">
        <v>3</v>
      </c>
      <c r="L32" s="1038"/>
      <c r="M32" s="972"/>
      <c r="N32" s="972"/>
      <c r="O32" s="972"/>
      <c r="P32" s="3364" t="s">
        <v>982</v>
      </c>
      <c r="Q32" s="642" t="str">
        <f t="shared" si="11"/>
        <v>建筑类型</v>
      </c>
      <c r="R32" s="1075" t="s">
        <v>956</v>
      </c>
      <c r="S32" s="1076">
        <f t="shared" si="12"/>
        <v>100</v>
      </c>
      <c r="T32" s="1075" t="s">
        <v>956</v>
      </c>
      <c r="U32" s="1076">
        <f t="shared" si="13"/>
        <v>100</v>
      </c>
      <c r="V32" s="1075" t="s">
        <v>956</v>
      </c>
      <c r="W32" s="1076">
        <f t="shared" si="14"/>
        <v>100</v>
      </c>
      <c r="X32" s="1070"/>
      <c r="Y32" s="3331"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89">
        <v>95</v>
      </c>
      <c r="H33" s="899">
        <f>LOOKUP(G33,103:103,104:104)-LOOKUP(C33,103:103,104:104)+100</f>
        <v>100</v>
      </c>
      <c r="I33" s="1931">
        <v>90</v>
      </c>
      <c r="J33" s="899">
        <f>LOOKUP(I33,103:103,104:104)-LOOKUP(C33,103:103,104:104)+100</f>
        <v>100</v>
      </c>
      <c r="K33" s="1923"/>
      <c r="L33" s="1036"/>
      <c r="M33" s="1046"/>
      <c r="N33" s="1046"/>
      <c r="O33" s="1046"/>
      <c r="P33" s="3365"/>
      <c r="Q33" s="1245" t="str">
        <f t="shared" si="11"/>
        <v>项目建筑规模</v>
      </c>
      <c r="R33" s="1077" t="s">
        <v>956</v>
      </c>
      <c r="S33" s="1078">
        <f t="shared" si="12"/>
        <v>94</v>
      </c>
      <c r="T33" s="1077" t="s">
        <v>956</v>
      </c>
      <c r="U33" s="1078">
        <f t="shared" si="13"/>
        <v>100</v>
      </c>
      <c r="V33" s="1077" t="s">
        <v>956</v>
      </c>
      <c r="W33" s="1078">
        <f t="shared" si="14"/>
        <v>100</v>
      </c>
      <c r="X33" s="1079"/>
      <c r="Y33" s="3331"/>
      <c r="Z33" s="1084" t="str">
        <f t="shared" si="18"/>
        <v>项目建筑规模</v>
      </c>
      <c r="AA33" s="1059">
        <f t="shared" si="15"/>
        <v>1.0638297872340425</v>
      </c>
      <c r="AB33" s="1059">
        <f t="shared" si="16"/>
        <v>1</v>
      </c>
      <c r="AC33" s="1059">
        <f t="shared" si="17"/>
        <v>1</v>
      </c>
    </row>
    <row r="34" spans="1:29" ht="15">
      <c r="A34" s="948"/>
      <c r="B34" s="897" t="s">
        <v>1564</v>
      </c>
      <c r="C34" s="1903" t="s">
        <v>1565</v>
      </c>
      <c r="D34" s="766">
        <v>100</v>
      </c>
      <c r="E34" s="1903" t="s">
        <v>1565</v>
      </c>
      <c r="F34" s="1054">
        <f>SUMIF(105:105,E34,106:106)-SUMIF(105:105,C34,106:106)+100</f>
        <v>100</v>
      </c>
      <c r="G34" s="1903" t="s">
        <v>1565</v>
      </c>
      <c r="H34" s="766">
        <f>SUMIF(105:105,G34,106:106)-SUMIF(105:105,C34,106:106)+100</f>
        <v>100</v>
      </c>
      <c r="I34" s="1903" t="s">
        <v>1565</v>
      </c>
      <c r="J34" s="766">
        <f>SUMIF(105:105,I34,106:106)-SUMIF(105:105,C34,106:106)+100</f>
        <v>100</v>
      </c>
      <c r="K34" s="1922">
        <v>2</v>
      </c>
      <c r="L34" s="1038"/>
      <c r="M34" s="972"/>
      <c r="N34" s="972"/>
      <c r="O34" s="972"/>
      <c r="P34" s="3365"/>
      <c r="Q34" s="642" t="str">
        <f t="shared" si="11"/>
        <v>建筑结构</v>
      </c>
      <c r="R34" s="1075" t="s">
        <v>956</v>
      </c>
      <c r="S34" s="1076">
        <f t="shared" si="12"/>
        <v>100</v>
      </c>
      <c r="T34" s="1075" t="s">
        <v>956</v>
      </c>
      <c r="U34" s="1076">
        <f t="shared" si="13"/>
        <v>100</v>
      </c>
      <c r="V34" s="1075" t="s">
        <v>956</v>
      </c>
      <c r="W34" s="1076">
        <f t="shared" si="14"/>
        <v>100</v>
      </c>
      <c r="X34" s="1070"/>
      <c r="Y34" s="3331"/>
      <c r="Z34" s="1059" t="str">
        <f t="shared" si="18"/>
        <v>建筑结构</v>
      </c>
      <c r="AA34" s="1059">
        <f t="shared" si="15"/>
        <v>1</v>
      </c>
      <c r="AB34" s="1059">
        <f t="shared" si="16"/>
        <v>1</v>
      </c>
      <c r="AC34" s="1059">
        <f t="shared" si="17"/>
        <v>1</v>
      </c>
    </row>
    <row r="35" spans="1:29" ht="15">
      <c r="A35" s="948"/>
      <c r="B35" s="897" t="s">
        <v>1566</v>
      </c>
      <c r="C35" s="1900"/>
      <c r="D35" s="766">
        <v>100</v>
      </c>
      <c r="E35" s="1900"/>
      <c r="F35" s="1054">
        <f>SUMIF(107:107,E35,108:108)-SUMIF(107:107,C35,108:108)+100</f>
        <v>100</v>
      </c>
      <c r="G35" s="1900"/>
      <c r="H35" s="766">
        <f>SUMIF(107:107,G35,108:108)-SUMIF(107:107,C35,108:108)+100</f>
        <v>100</v>
      </c>
      <c r="I35" s="1906"/>
      <c r="J35" s="766">
        <f>SUMIF(107:107,I35,108:108)-SUMIF(107:107,C35,108:108)+100</f>
        <v>100</v>
      </c>
      <c r="K35" s="1922"/>
      <c r="L35" s="1038"/>
      <c r="M35" s="972"/>
      <c r="N35" s="972"/>
      <c r="O35" s="972"/>
      <c r="P35" s="3365"/>
      <c r="Q35" s="642" t="str">
        <f t="shared" si="11"/>
        <v>建筑品质</v>
      </c>
      <c r="R35" s="1075" t="s">
        <v>956</v>
      </c>
      <c r="S35" s="1076">
        <f t="shared" si="12"/>
        <v>100</v>
      </c>
      <c r="T35" s="1075" t="s">
        <v>956</v>
      </c>
      <c r="U35" s="1076">
        <f t="shared" si="13"/>
        <v>100</v>
      </c>
      <c r="V35" s="1075" t="s">
        <v>956</v>
      </c>
      <c r="W35" s="1076">
        <f t="shared" si="14"/>
        <v>100</v>
      </c>
      <c r="X35" s="1070"/>
      <c r="Y35" s="3331"/>
      <c r="Z35" s="1059" t="str">
        <f t="shared" si="18"/>
        <v>建筑品质</v>
      </c>
      <c r="AA35" s="1059">
        <f t="shared" si="15"/>
        <v>1</v>
      </c>
      <c r="AB35" s="1059">
        <f t="shared" si="16"/>
        <v>1</v>
      </c>
      <c r="AC35" s="1059">
        <f t="shared" si="17"/>
        <v>1</v>
      </c>
    </row>
    <row r="36" spans="1:29" ht="15">
      <c r="A36" s="948"/>
      <c r="B36" s="897" t="s">
        <v>1567</v>
      </c>
      <c r="C36" s="1900" t="s">
        <v>1568</v>
      </c>
      <c r="D36" s="766">
        <v>100</v>
      </c>
      <c r="E36" s="1900" t="s">
        <v>1568</v>
      </c>
      <c r="F36" s="1054">
        <f>SUMIF(109:109,E36,110:110)-SUMIF(109:109,C36,110:110)+100</f>
        <v>100</v>
      </c>
      <c r="G36" s="1900" t="s">
        <v>1568</v>
      </c>
      <c r="H36" s="766">
        <f>SUMIF(109:109,G36,110:110)-SUMIF(109:109,C36,110:110)+100</f>
        <v>100</v>
      </c>
      <c r="I36" s="1900" t="s">
        <v>1568</v>
      </c>
      <c r="J36" s="766">
        <f>SUMIF(109:109,I36,110:110)-SUMIF(109:109,C36,110:110)+100</f>
        <v>100</v>
      </c>
      <c r="K36" s="1922">
        <v>2</v>
      </c>
      <c r="L36" s="1038"/>
      <c r="M36" s="972"/>
      <c r="N36" s="972"/>
      <c r="O36" s="972"/>
      <c r="P36" s="3365"/>
      <c r="Q36" s="642" t="str">
        <f t="shared" si="11"/>
        <v>公共部分装修</v>
      </c>
      <c r="R36" s="1075" t="s">
        <v>956</v>
      </c>
      <c r="S36" s="1076">
        <f t="shared" si="12"/>
        <v>100</v>
      </c>
      <c r="T36" s="1075" t="s">
        <v>956</v>
      </c>
      <c r="U36" s="1076">
        <f t="shared" si="13"/>
        <v>100</v>
      </c>
      <c r="V36" s="1075" t="s">
        <v>956</v>
      </c>
      <c r="W36" s="1076">
        <f t="shared" si="14"/>
        <v>100</v>
      </c>
      <c r="X36" s="1070"/>
      <c r="Y36" s="3331"/>
      <c r="Z36" s="1059" t="str">
        <f t="shared" si="18"/>
        <v>公共部分装修</v>
      </c>
      <c r="AA36" s="1059">
        <f t="shared" si="15"/>
        <v>1</v>
      </c>
      <c r="AB36" s="1059">
        <f t="shared" si="16"/>
        <v>1</v>
      </c>
      <c r="AC36" s="1059">
        <f t="shared" si="17"/>
        <v>1</v>
      </c>
    </row>
    <row r="37" spans="1:29" s="856" customFormat="1" ht="15">
      <c r="A37" s="950"/>
      <c r="B37" s="897" t="s">
        <v>579</v>
      </c>
      <c r="C37" s="1904">
        <v>1</v>
      </c>
      <c r="D37" s="899">
        <v>100</v>
      </c>
      <c r="E37" s="1904">
        <v>1</v>
      </c>
      <c r="F37" s="897">
        <f>LOOKUP(E37,112:112,113:113)-LOOKUP(C37,112:112,113:113)+100</f>
        <v>100</v>
      </c>
      <c r="G37" s="1905">
        <v>1</v>
      </c>
      <c r="H37" s="899">
        <f>LOOKUP(G37,112:112,113:113)-LOOKUP(C37,112:112,113:113)+100</f>
        <v>100</v>
      </c>
      <c r="I37" s="1932">
        <v>1</v>
      </c>
      <c r="J37" s="899">
        <f>LOOKUP(I37,112:112,113:113)-LOOKUP(C37,112:112,113:113)+100</f>
        <v>100</v>
      </c>
      <c r="K37" s="1922">
        <v>1</v>
      </c>
      <c r="L37" s="1027"/>
      <c r="M37" s="1028"/>
      <c r="N37" s="1028"/>
      <c r="O37" s="1028"/>
      <c r="P37" s="3365"/>
      <c r="Q37" s="796" t="str">
        <f t="shared" si="11"/>
        <v>成新度</v>
      </c>
      <c r="R37" s="1071" t="s">
        <v>956</v>
      </c>
      <c r="S37" s="1072">
        <f t="shared" si="12"/>
        <v>100</v>
      </c>
      <c r="T37" s="1071" t="s">
        <v>956</v>
      </c>
      <c r="U37" s="1072">
        <f t="shared" si="13"/>
        <v>100</v>
      </c>
      <c r="V37" s="1071" t="s">
        <v>956</v>
      </c>
      <c r="W37" s="1072">
        <f t="shared" si="14"/>
        <v>100</v>
      </c>
      <c r="X37" s="1073"/>
      <c r="Y37" s="3331"/>
      <c r="Z37" s="1083" t="str">
        <f t="shared" si="18"/>
        <v>成新度</v>
      </c>
      <c r="AA37" s="1083">
        <f t="shared" si="15"/>
        <v>1</v>
      </c>
      <c r="AB37" s="1083">
        <f t="shared" si="16"/>
        <v>1</v>
      </c>
      <c r="AC37" s="1083">
        <f t="shared" si="17"/>
        <v>1</v>
      </c>
    </row>
    <row r="38" spans="1:29" ht="15">
      <c r="A38" s="948"/>
      <c r="B38" s="897" t="s">
        <v>1569</v>
      </c>
      <c r="C38" s="1900" t="s">
        <v>1570</v>
      </c>
      <c r="D38" s="766">
        <v>100</v>
      </c>
      <c r="E38" s="1900" t="s">
        <v>1570</v>
      </c>
      <c r="F38" s="1054">
        <f>SUMIF(114:114,E38,115:115)-SUMIF(114:114,C38,115:115)+100</f>
        <v>100</v>
      </c>
      <c r="G38" s="1900" t="s">
        <v>1570</v>
      </c>
      <c r="H38" s="766">
        <f>SUMIF(114:114,G38,115:115)-SUMIF(114:114,C38,115:115)+100</f>
        <v>100</v>
      </c>
      <c r="I38" s="1900" t="s">
        <v>1570</v>
      </c>
      <c r="J38" s="766">
        <f>SUMIF(114:114,I38,115:115)-SUMIF(114:114,C38,115:115)+100</f>
        <v>100</v>
      </c>
      <c r="K38" s="1922">
        <v>2</v>
      </c>
      <c r="L38" s="1038"/>
      <c r="M38" s="972"/>
      <c r="N38" s="972"/>
      <c r="O38" s="972"/>
      <c r="P38" s="3365" t="s">
        <v>982</v>
      </c>
      <c r="Q38" s="642" t="str">
        <f t="shared" si="11"/>
        <v>物业管理</v>
      </c>
      <c r="R38" s="1075" t="s">
        <v>956</v>
      </c>
      <c r="S38" s="1076">
        <f t="shared" si="12"/>
        <v>100</v>
      </c>
      <c r="T38" s="1075" t="s">
        <v>956</v>
      </c>
      <c r="U38" s="1076">
        <f t="shared" si="13"/>
        <v>100</v>
      </c>
      <c r="V38" s="1075" t="s">
        <v>956</v>
      </c>
      <c r="W38" s="1076">
        <f t="shared" si="14"/>
        <v>100</v>
      </c>
      <c r="X38" s="1070"/>
      <c r="Y38" s="3331" t="s">
        <v>982</v>
      </c>
      <c r="Z38" s="1059" t="str">
        <f t="shared" si="18"/>
        <v>物业管理</v>
      </c>
      <c r="AA38" s="1059">
        <f t="shared" si="15"/>
        <v>1</v>
      </c>
      <c r="AB38" s="1059">
        <f t="shared" si="16"/>
        <v>1</v>
      </c>
      <c r="AC38" s="1059">
        <f t="shared" si="17"/>
        <v>1</v>
      </c>
    </row>
    <row r="39" spans="1:29" ht="15">
      <c r="A39" s="948"/>
      <c r="B39" s="897" t="s">
        <v>1571</v>
      </c>
      <c r="C39" s="1900" t="s">
        <v>246</v>
      </c>
      <c r="D39" s="766">
        <v>100</v>
      </c>
      <c r="E39" s="1900" t="s">
        <v>246</v>
      </c>
      <c r="F39" s="1054">
        <f>SUMIF(116:116,E39,117:117)-SUMIF(116:116,C39,117:117)+100</f>
        <v>100</v>
      </c>
      <c r="G39" s="1906" t="s">
        <v>246</v>
      </c>
      <c r="H39" s="766">
        <f>SUMIF(116:116,G39,117:117)-SUMIF(116:116,C39,117:117)+100</f>
        <v>100</v>
      </c>
      <c r="I39" s="1906" t="s">
        <v>246</v>
      </c>
      <c r="J39" s="766">
        <f>SUMIF(116:116,I39,117:117)-SUMIF(116:116,C39,117:117)+100</f>
        <v>100</v>
      </c>
      <c r="K39" s="1922">
        <v>1</v>
      </c>
      <c r="L39" s="1038"/>
      <c r="M39" s="972"/>
      <c r="N39" s="972"/>
      <c r="O39" s="972"/>
      <c r="P39" s="3365"/>
      <c r="Q39" s="642" t="str">
        <f t="shared" si="11"/>
        <v>市政基础设施</v>
      </c>
      <c r="R39" s="1075" t="s">
        <v>956</v>
      </c>
      <c r="S39" s="1076">
        <f t="shared" si="12"/>
        <v>100</v>
      </c>
      <c r="T39" s="1075" t="s">
        <v>956</v>
      </c>
      <c r="U39" s="1076">
        <f t="shared" si="13"/>
        <v>100</v>
      </c>
      <c r="V39" s="1075" t="s">
        <v>956</v>
      </c>
      <c r="W39" s="1076">
        <f t="shared" si="14"/>
        <v>100</v>
      </c>
      <c r="X39" s="1070"/>
      <c r="Y39" s="3331"/>
      <c r="Z39" s="1059" t="str">
        <f t="shared" si="18"/>
        <v>市政基础设施</v>
      </c>
      <c r="AA39" s="1059">
        <f t="shared" si="15"/>
        <v>1</v>
      </c>
      <c r="AB39" s="1059">
        <f t="shared" si="16"/>
        <v>1</v>
      </c>
      <c r="AC39" s="1059">
        <f t="shared" si="17"/>
        <v>1</v>
      </c>
    </row>
    <row r="40" spans="1:29" ht="15">
      <c r="A40" s="948"/>
      <c r="B40" s="897" t="s">
        <v>1572</v>
      </c>
      <c r="C40" s="1900"/>
      <c r="D40" s="766">
        <v>100</v>
      </c>
      <c r="E40" s="1900"/>
      <c r="F40" s="1054">
        <f>SUMIF(118:118,E40,119:119)-SUMIF(118:118,C40,119:119)+100</f>
        <v>100</v>
      </c>
      <c r="G40" s="1900"/>
      <c r="H40" s="766">
        <f>SUMIF(118:118,G40,119:119)-SUMIF(118:118,C40,119:119)+100</f>
        <v>100</v>
      </c>
      <c r="I40" s="1906"/>
      <c r="J40" s="766">
        <f>SUMIF(118:118,I40,119:119)-SUMIF(118:118,C40,119:119)+100</f>
        <v>100</v>
      </c>
      <c r="K40" s="1922"/>
      <c r="L40" s="1038"/>
      <c r="M40" s="972"/>
      <c r="N40" s="972"/>
      <c r="O40" s="972"/>
      <c r="P40" s="3365"/>
      <c r="Q40" s="642" t="str">
        <f t="shared" si="11"/>
        <v>房型</v>
      </c>
      <c r="R40" s="1075" t="s">
        <v>956</v>
      </c>
      <c r="S40" s="1076">
        <f t="shared" si="12"/>
        <v>100</v>
      </c>
      <c r="T40" s="1075" t="s">
        <v>956</v>
      </c>
      <c r="U40" s="1076">
        <f t="shared" si="13"/>
        <v>100</v>
      </c>
      <c r="V40" s="1075" t="s">
        <v>956</v>
      </c>
      <c r="W40" s="1076">
        <f t="shared" si="14"/>
        <v>100</v>
      </c>
      <c r="X40" s="1070"/>
      <c r="Y40" s="3331"/>
      <c r="Z40" s="1059" t="str">
        <f t="shared" si="18"/>
        <v>房型</v>
      </c>
      <c r="AA40" s="1059">
        <f t="shared" si="15"/>
        <v>1</v>
      </c>
      <c r="AB40" s="1059">
        <f t="shared" si="16"/>
        <v>1</v>
      </c>
      <c r="AC40" s="1059">
        <f t="shared" si="17"/>
        <v>1</v>
      </c>
    </row>
    <row r="41" spans="1:29" s="858" customFormat="1" ht="28.5">
      <c r="A41" s="953"/>
      <c r="B41" s="897" t="s">
        <v>1573</v>
      </c>
      <c r="C41" s="1907"/>
      <c r="D41" s="899">
        <v>100</v>
      </c>
      <c r="E41" s="1907"/>
      <c r="F41" s="897">
        <f>SUMIF(120:120,E41,121:121)-SUMIF(120:120,C41,121:121)+100</f>
        <v>100</v>
      </c>
      <c r="G41" s="1908"/>
      <c r="H41" s="899">
        <f>SUMIF(120:120,G41,121:121)-SUMIF(120:120,C41,121:121)+100</f>
        <v>100</v>
      </c>
      <c r="I41" s="1908"/>
      <c r="J41" s="766">
        <f>SUMIF(120:120,I41,121:121)-SUMIF(120:120,C41,121:121)+100</f>
        <v>100</v>
      </c>
      <c r="K41" s="1923"/>
      <c r="L41" s="1036"/>
      <c r="M41" s="1046"/>
      <c r="N41" s="1046"/>
      <c r="O41" s="1046"/>
      <c r="P41" s="3365"/>
      <c r="Q41" s="1245" t="str">
        <f t="shared" si="11"/>
        <v>单套/主力户型建筑面积</v>
      </c>
      <c r="R41" s="1077" t="s">
        <v>956</v>
      </c>
      <c r="S41" s="1078">
        <f t="shared" si="12"/>
        <v>100</v>
      </c>
      <c r="T41" s="1077" t="s">
        <v>956</v>
      </c>
      <c r="U41" s="1078">
        <f t="shared" si="13"/>
        <v>100</v>
      </c>
      <c r="V41" s="1077" t="s">
        <v>956</v>
      </c>
      <c r="W41" s="1078">
        <f t="shared" si="14"/>
        <v>100</v>
      </c>
      <c r="X41" s="1079"/>
      <c r="Y41" s="3331"/>
      <c r="Z41" s="1084" t="str">
        <f t="shared" si="18"/>
        <v>单套/主力户型建筑面积</v>
      </c>
      <c r="AA41" s="1059">
        <f t="shared" si="15"/>
        <v>1</v>
      </c>
      <c r="AB41" s="1059">
        <f t="shared" si="16"/>
        <v>1</v>
      </c>
      <c r="AC41" s="1059">
        <f t="shared" si="17"/>
        <v>1</v>
      </c>
    </row>
    <row r="42" spans="1:29" ht="15">
      <c r="A42" s="948"/>
      <c r="B42" s="897" t="s">
        <v>1574</v>
      </c>
      <c r="C42" s="1900" t="s">
        <v>1568</v>
      </c>
      <c r="D42" s="766">
        <v>100</v>
      </c>
      <c r="E42" s="1900" t="s">
        <v>1568</v>
      </c>
      <c r="F42" s="1054">
        <f>SUMIF(122:122,E42,123:123)-SUMIF(122:122,C42,123:123)+100</f>
        <v>100</v>
      </c>
      <c r="G42" s="1900" t="s">
        <v>1568</v>
      </c>
      <c r="H42" s="766">
        <f>SUMIF(122:122,G42,123:123)-SUMIF(122:122,C42,123:123)+100</f>
        <v>100</v>
      </c>
      <c r="I42" s="1900" t="s">
        <v>1568</v>
      </c>
      <c r="J42" s="766">
        <f>SUMIF(122:122,I42,123:123)-SUMIF(122:122,C42,123:123)+100</f>
        <v>100</v>
      </c>
      <c r="K42" s="1922">
        <v>2</v>
      </c>
      <c r="L42" s="1038"/>
      <c r="M42" s="972"/>
      <c r="N42" s="972"/>
      <c r="O42" s="972"/>
      <c r="P42" s="3365"/>
      <c r="Q42" s="642" t="str">
        <f t="shared" si="11"/>
        <v>内部装修</v>
      </c>
      <c r="R42" s="1075" t="s">
        <v>956</v>
      </c>
      <c r="S42" s="1076">
        <f t="shared" si="12"/>
        <v>100</v>
      </c>
      <c r="T42" s="1075" t="s">
        <v>956</v>
      </c>
      <c r="U42" s="1076">
        <f t="shared" si="13"/>
        <v>100</v>
      </c>
      <c r="V42" s="1075" t="s">
        <v>956</v>
      </c>
      <c r="W42" s="1076">
        <f t="shared" si="14"/>
        <v>100</v>
      </c>
      <c r="X42" s="1070"/>
      <c r="Y42" s="3331"/>
      <c r="Z42" s="1059" t="str">
        <f t="shared" si="18"/>
        <v>内部装修</v>
      </c>
      <c r="AA42" s="1059">
        <f t="shared" si="15"/>
        <v>1</v>
      </c>
      <c r="AB42" s="1059">
        <f t="shared" si="16"/>
        <v>1</v>
      </c>
      <c r="AC42" s="1059">
        <f t="shared" si="17"/>
        <v>1</v>
      </c>
    </row>
    <row r="43" spans="1:29" ht="15">
      <c r="A43" s="948"/>
      <c r="B43" s="897" t="s">
        <v>1576</v>
      </c>
      <c r="C43" s="1900" t="s">
        <v>970</v>
      </c>
      <c r="D43" s="766">
        <v>100</v>
      </c>
      <c r="E43" s="1900" t="s">
        <v>970</v>
      </c>
      <c r="F43" s="1054">
        <f>SUMIF(124:124,E43,125:125)-SUMIF(124:124,C43,125:125)+100</f>
        <v>100</v>
      </c>
      <c r="G43" s="1900" t="s">
        <v>970</v>
      </c>
      <c r="H43" s="766">
        <f>SUMIF(124:124,G43,125:125)-SUMIF(124:124,C43,125:125)+100</f>
        <v>100</v>
      </c>
      <c r="I43" s="1900" t="s">
        <v>970</v>
      </c>
      <c r="J43" s="766">
        <f>SUMIF(124:124,I43,125:125)-SUMIF(124:124,C43,125:125)+100</f>
        <v>100</v>
      </c>
      <c r="K43" s="1922">
        <v>2</v>
      </c>
      <c r="L43" s="1038"/>
      <c r="M43" s="972"/>
      <c r="N43" s="972"/>
      <c r="O43" s="972"/>
      <c r="P43" s="3365"/>
      <c r="Q43" s="642" t="str">
        <f t="shared" si="11"/>
        <v>内部装修维护情况</v>
      </c>
      <c r="R43" s="1075" t="s">
        <v>956</v>
      </c>
      <c r="S43" s="1076">
        <f t="shared" si="12"/>
        <v>100</v>
      </c>
      <c r="T43" s="1075" t="s">
        <v>956</v>
      </c>
      <c r="U43" s="1076">
        <f t="shared" si="13"/>
        <v>100</v>
      </c>
      <c r="V43" s="1075" t="s">
        <v>956</v>
      </c>
      <c r="W43" s="1076">
        <f t="shared" si="14"/>
        <v>100</v>
      </c>
      <c r="X43" s="1070"/>
      <c r="Y43" s="3331"/>
      <c r="Z43" s="1059" t="str">
        <f t="shared" si="18"/>
        <v>内部装修维护情况</v>
      </c>
      <c r="AA43" s="1059">
        <f t="shared" si="15"/>
        <v>1</v>
      </c>
      <c r="AB43" s="1059">
        <f t="shared" si="16"/>
        <v>1</v>
      </c>
      <c r="AC43" s="1059">
        <f t="shared" si="17"/>
        <v>1</v>
      </c>
    </row>
    <row r="44" spans="1:29" s="856" customFormat="1" ht="15">
      <c r="A44" s="950"/>
      <c r="B44" s="3079"/>
      <c r="C44" s="3080"/>
      <c r="D44" s="899">
        <v>100</v>
      </c>
      <c r="E44" s="3080"/>
      <c r="F44" s="897">
        <f>SUMIF(126:126,E44,127:127)-SUMIF(126:126,C44,127:127)+100</f>
        <v>100</v>
      </c>
      <c r="G44" s="3080"/>
      <c r="H44" s="899">
        <f>SUMIF(126:126,G44,127:127)-SUMIF(126:126,C44,127:127)+100</f>
        <v>100</v>
      </c>
      <c r="I44" s="3080"/>
      <c r="J44" s="899">
        <f>SUMIF(126:126,I44,127:127)-SUMIF(126:126,C44,127:127)+100</f>
        <v>100</v>
      </c>
      <c r="K44" s="1923"/>
      <c r="L44" s="1027"/>
      <c r="M44" s="1028"/>
      <c r="N44" s="1028"/>
      <c r="O44" s="1028"/>
      <c r="P44" s="3365"/>
      <c r="Q44" s="796">
        <f t="shared" si="11"/>
        <v>0</v>
      </c>
      <c r="R44" s="1071" t="s">
        <v>956</v>
      </c>
      <c r="S44" s="1072">
        <f t="shared" si="12"/>
        <v>100</v>
      </c>
      <c r="T44" s="1071" t="s">
        <v>956</v>
      </c>
      <c r="U44" s="1072">
        <f t="shared" si="13"/>
        <v>100</v>
      </c>
      <c r="V44" s="1071" t="s">
        <v>956</v>
      </c>
      <c r="W44" s="1072">
        <f t="shared" si="14"/>
        <v>100</v>
      </c>
      <c r="X44" s="1073"/>
      <c r="Y44" s="3331"/>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1"/>
      <c r="H45" s="766">
        <f>SUMIF(128:128,G45,129:129)-SUMIF(128:128,C45,129:129)+100</f>
        <v>100</v>
      </c>
      <c r="I45" s="1891"/>
      <c r="J45" s="766">
        <f>SUMIF(128:128,I45,129:129)-SUMIF(128:128,C45,129:129)+100</f>
        <v>100</v>
      </c>
      <c r="K45" s="1923"/>
      <c r="L45" s="1038"/>
      <c r="M45" s="972"/>
      <c r="N45" s="972"/>
      <c r="O45" s="972"/>
      <c r="P45" s="3365"/>
      <c r="Q45" s="642">
        <f t="shared" si="11"/>
        <v>0</v>
      </c>
      <c r="R45" s="1075" t="s">
        <v>956</v>
      </c>
      <c r="S45" s="1076">
        <f t="shared" si="12"/>
        <v>100</v>
      </c>
      <c r="T45" s="1075" t="s">
        <v>956</v>
      </c>
      <c r="U45" s="1076">
        <f t="shared" si="13"/>
        <v>100</v>
      </c>
      <c r="V45" s="1075" t="s">
        <v>956</v>
      </c>
      <c r="W45" s="1076">
        <f t="shared" si="14"/>
        <v>100</v>
      </c>
      <c r="X45" s="1070"/>
      <c r="Y45" s="3331"/>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2"/>
      <c r="H46" s="912">
        <f>SUMIF(130:130,G46,131:131)-SUMIF(130:130,C46,131:131)+100</f>
        <v>100</v>
      </c>
      <c r="I46" s="1892"/>
      <c r="J46" s="912">
        <f>SUMIF(130:130,I46,131:131)-SUMIF(130:130,C46,131:131)+100</f>
        <v>100</v>
      </c>
      <c r="K46" s="1923"/>
      <c r="L46" s="1038"/>
      <c r="M46" s="972"/>
      <c r="N46" s="972"/>
      <c r="O46" s="972"/>
      <c r="P46" s="3366"/>
      <c r="Q46" s="642">
        <f t="shared" si="11"/>
        <v>0</v>
      </c>
      <c r="R46" s="1075" t="s">
        <v>956</v>
      </c>
      <c r="S46" s="1076">
        <f t="shared" si="12"/>
        <v>100</v>
      </c>
      <c r="T46" s="1075" t="s">
        <v>956</v>
      </c>
      <c r="U46" s="1076">
        <f t="shared" si="13"/>
        <v>100</v>
      </c>
      <c r="V46" s="1075" t="s">
        <v>956</v>
      </c>
      <c r="W46" s="1076">
        <f t="shared" si="14"/>
        <v>100</v>
      </c>
      <c r="X46" s="1070"/>
      <c r="Y46" s="3367"/>
      <c r="Z46" s="1059">
        <f t="shared" si="18"/>
        <v>0</v>
      </c>
      <c r="AA46" s="1059">
        <f t="shared" si="15"/>
        <v>1</v>
      </c>
      <c r="AB46" s="1059">
        <f t="shared" si="16"/>
        <v>1</v>
      </c>
      <c r="AC46" s="1059">
        <f t="shared" si="17"/>
        <v>1</v>
      </c>
    </row>
    <row r="47" spans="1:29" ht="15">
      <c r="A47" s="955" t="s">
        <v>1577</v>
      </c>
      <c r="B47" s="1227"/>
      <c r="C47" s="1228" t="s">
        <v>124</v>
      </c>
      <c r="D47" s="958"/>
      <c r="E47" s="959">
        <v>28346</v>
      </c>
      <c r="F47" s="960"/>
      <c r="G47" s="1933">
        <v>30330</v>
      </c>
      <c r="H47" s="962"/>
      <c r="I47" s="1933">
        <v>29714</v>
      </c>
      <c r="J47" s="962"/>
      <c r="K47" s="1934"/>
      <c r="L47" s="1051"/>
      <c r="M47" s="972"/>
      <c r="N47" s="972"/>
      <c r="O47" s="972"/>
      <c r="P47" s="3326" t="str">
        <f>A47</f>
        <v>成交单价（元/平方米）</v>
      </c>
      <c r="Q47" s="3326"/>
      <c r="R47" s="3327">
        <f>E47</f>
        <v>28346</v>
      </c>
      <c r="S47" s="3327"/>
      <c r="T47" s="3327">
        <f>G47</f>
        <v>30330</v>
      </c>
      <c r="U47" s="3327"/>
      <c r="V47" s="3327">
        <f>I47</f>
        <v>29714</v>
      </c>
      <c r="W47" s="3327"/>
      <c r="X47" s="1012"/>
      <c r="Y47" s="1085"/>
      <c r="Z47" s="1012"/>
      <c r="AA47" s="1012"/>
      <c r="AB47" s="1012"/>
      <c r="AC47" s="1012"/>
    </row>
    <row r="48" spans="1:29" ht="15">
      <c r="A48" s="963" t="s">
        <v>993</v>
      </c>
      <c r="B48" s="1229"/>
      <c r="C48" s="1230">
        <f>R49</f>
        <v>26776</v>
      </c>
      <c r="D48" s="966" t="s">
        <v>994</v>
      </c>
      <c r="E48" s="1231">
        <f>R48</f>
        <v>26855</v>
      </c>
      <c r="F48" s="967"/>
      <c r="G48" s="1230">
        <f>T48</f>
        <v>27011</v>
      </c>
      <c r="H48" s="967"/>
      <c r="I48" s="1231">
        <f>V48</f>
        <v>26462</v>
      </c>
      <c r="J48" s="967"/>
      <c r="K48" s="1935">
        <f>F48+H48+J48</f>
        <v>0</v>
      </c>
      <c r="L48" s="1051"/>
      <c r="M48" s="972"/>
      <c r="N48" s="972"/>
      <c r="O48" s="972"/>
      <c r="P48" s="3326" t="str">
        <f>A48</f>
        <v>比较价值（元/平方米）</v>
      </c>
      <c r="Q48" s="3326"/>
      <c r="R48" s="3327">
        <f>IF(F1="售价",ROUND(PRODUCT(R47,AA7:AA46),0),ROUND(PRODUCT(R47,AA7:AA46),1))</f>
        <v>26855</v>
      </c>
      <c r="S48" s="3327"/>
      <c r="T48" s="3327">
        <f>IF(F1="售价",ROUND(PRODUCT(T47,AB7:AB46),0),ROUND(PRODUCT(T47,AB7:AB46),1))</f>
        <v>27011</v>
      </c>
      <c r="U48" s="3327"/>
      <c r="V48" s="3327">
        <f>IF(F1="售价",ROUND(PRODUCT(V47,AC7:AC46),0),ROUND(PRODUCT(V47,AC7:AC46),1))</f>
        <v>26462</v>
      </c>
      <c r="W48" s="3327"/>
      <c r="X48" s="1012"/>
      <c r="Y48" s="1012"/>
      <c r="Z48" s="1012"/>
      <c r="AA48" s="1012"/>
      <c r="AB48" s="1012"/>
      <c r="AC48" s="1012"/>
    </row>
    <row r="49" spans="1:29" ht="15">
      <c r="A49" s="969" t="s">
        <v>1578</v>
      </c>
      <c r="B49" s="970"/>
      <c r="C49" s="1909">
        <f>R49</f>
        <v>26776</v>
      </c>
      <c r="D49" s="882"/>
      <c r="E49" s="882"/>
      <c r="F49" s="882"/>
      <c r="G49" s="882"/>
      <c r="H49" s="882"/>
      <c r="I49" s="882"/>
      <c r="J49" s="882"/>
      <c r="K49" s="1936"/>
      <c r="L49" s="1051"/>
      <c r="M49" s="972"/>
      <c r="N49" s="972"/>
      <c r="O49" s="972"/>
      <c r="P49" s="3350" t="str">
        <f>A49</f>
        <v>估价对象XX用房的比较价值（楼面单价，元/平方米）</v>
      </c>
      <c r="Q49" s="3351"/>
      <c r="R49" s="3368">
        <f>IF(F1="售价",ROUND(IF(D48="简单平均",AVERAGE(R48:V48),R48*F48+T48*H48+V48*J48),0),ROUND(IF(D48="简单平均",AVERAGE(R48:V48),R48*F48+T48*H48+V48*J48),1))</f>
        <v>26776</v>
      </c>
      <c r="S49" s="3368"/>
      <c r="T49" s="3368"/>
      <c r="U49" s="3368"/>
      <c r="V49" s="3368"/>
      <c r="W49" s="3368"/>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5.5520387264941462E-2</v>
      </c>
      <c r="F52" s="976" t="str">
        <f>IF(OR(E52&gt;=0.3,E52&lt;=-0.3),"超过30%","")</f>
        <v/>
      </c>
      <c r="G52" s="975">
        <f>IF(G47&lt;G48,G48/G47-1,G47/G48-1)</f>
        <v>0.12287586538817519</v>
      </c>
      <c r="H52" s="976" t="str">
        <f>IF(OR(G52&gt;=0.3,G52&lt;=-0.3),"超过30%","")</f>
        <v/>
      </c>
      <c r="I52" s="975">
        <f>IF(I47&lt;I48,I48/I47-1,I47/I48-1)</f>
        <v>0.1228932053510694</v>
      </c>
      <c r="J52" s="976" t="str">
        <f>IF(OR(I52&gt;=0.3,I52&lt;=-0.3),"超过30%","")</f>
        <v/>
      </c>
      <c r="K52" s="1055"/>
      <c r="L52" s="1056"/>
      <c r="M52" s="972"/>
      <c r="N52" s="972"/>
      <c r="O52" s="972"/>
    </row>
    <row r="53" spans="1:29" ht="13.5" customHeight="1">
      <c r="A53" s="972"/>
      <c r="B53" s="972"/>
      <c r="C53" s="974" t="s">
        <v>997</v>
      </c>
      <c r="D53" s="683"/>
      <c r="E53" s="975">
        <f>IF(E48&lt;G48,G48/E48-1,E48/G48-1)</f>
        <v>5.8089741202755896E-3</v>
      </c>
      <c r="F53" s="976" t="str">
        <f>IF(OR(E53&gt;=0.2,E53&lt;=-0.2),"超过20%","")</f>
        <v/>
      </c>
      <c r="G53" s="975">
        <f>IF(G48&lt;I48,I48/G48-1,G48/I48-1)</f>
        <v>2.074673116166581E-2</v>
      </c>
      <c r="H53" s="976" t="str">
        <f>IF(OR(G53&gt;=0.2,G53&lt;=-0.2),"超过20%","")</f>
        <v/>
      </c>
      <c r="I53" s="975">
        <f>IF(I48&lt;E48,E48/I48-1,I48/E48-1)</f>
        <v>1.4851485148514865E-2</v>
      </c>
      <c r="J53" s="976" t="str">
        <f>IF(OR(I53&gt;=0.2,I53&lt;=-0.2),"超过20%","")</f>
        <v/>
      </c>
      <c r="K53" s="1055"/>
      <c r="L53" s="1056"/>
      <c r="M53" s="972"/>
      <c r="N53" s="972"/>
      <c r="O53" s="972"/>
    </row>
    <row r="54" spans="1:29" s="859" customFormat="1" ht="13.5" customHeight="1">
      <c r="A54" s="977"/>
      <c r="B54" s="977"/>
      <c r="C54" s="974" t="s">
        <v>998</v>
      </c>
      <c r="D54" s="683"/>
      <c r="E54" s="975">
        <f>IF(E47&lt;G47,G47/E47-1,E47/G47-1)</f>
        <v>6.9992238763846748E-2</v>
      </c>
      <c r="F54" s="976" t="str">
        <f>IF(OR(E54&gt;=0.3,E54&lt;=-0.3),"超过30%","")</f>
        <v/>
      </c>
      <c r="G54" s="975">
        <f>IF(G47&lt;I47,I47/G47-1,G47/I47-1)</f>
        <v>2.0730968567005403E-2</v>
      </c>
      <c r="H54" s="976" t="str">
        <f>IF(OR(G54&gt;=0.3,G54&lt;=-0.3),"超过30%","")</f>
        <v/>
      </c>
      <c r="I54" s="975">
        <f>IF(I47&lt;E47,E47/I47-1,I47/E47-1)</f>
        <v>4.8260777534749222E-2</v>
      </c>
      <c r="J54" s="976" t="str">
        <f>IF(OR(I54&gt;=0.3,I54&lt;=-0.3),"超过30%","")</f>
        <v/>
      </c>
      <c r="K54" s="1057"/>
      <c r="L54" s="1058"/>
      <c r="M54" s="977"/>
      <c r="N54" s="977"/>
      <c r="O54" s="977"/>
      <c r="P54" s="1937"/>
    </row>
    <row r="55" spans="1:29" s="859" customFormat="1">
      <c r="A55" s="977"/>
      <c r="B55" s="978"/>
      <c r="C55" s="1232"/>
      <c r="D55" s="977"/>
      <c r="E55" s="977"/>
      <c r="F55" s="977"/>
      <c r="G55" s="977"/>
      <c r="H55" s="977"/>
      <c r="I55" s="977"/>
      <c r="J55" s="977"/>
      <c r="K55" s="1057"/>
      <c r="L55" s="1058"/>
      <c r="M55" s="977"/>
      <c r="N55" s="977"/>
      <c r="O55" s="977"/>
      <c r="P55" s="1937"/>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8"/>
      <c r="Q57" s="1360"/>
    </row>
    <row r="58" spans="1:29" s="861" customFormat="1" ht="15">
      <c r="A58" s="1233" t="s">
        <v>954</v>
      </c>
      <c r="B58" s="1234"/>
      <c r="C58" s="1910" t="str">
        <f>YEAR(C7)&amp;"-"&amp;MONTH(C7)</f>
        <v>2024-7</v>
      </c>
      <c r="D58" s="1236">
        <f>EDATE(C58,-1)</f>
        <v>45444</v>
      </c>
      <c r="E58" s="1236">
        <f>EDATE(D58,-1)</f>
        <v>45413</v>
      </c>
      <c r="F58" s="1236">
        <f t="shared" ref="F58:O58" si="19">EDATE(E58,-1)</f>
        <v>45383</v>
      </c>
      <c r="G58" s="1236">
        <f t="shared" si="19"/>
        <v>45352</v>
      </c>
      <c r="H58" s="1236">
        <f t="shared" si="19"/>
        <v>45323</v>
      </c>
      <c r="I58" s="1236">
        <f t="shared" si="19"/>
        <v>45292</v>
      </c>
      <c r="J58" s="1236">
        <f t="shared" si="19"/>
        <v>45261</v>
      </c>
      <c r="K58" s="1236">
        <f t="shared" si="19"/>
        <v>45231</v>
      </c>
      <c r="L58" s="1236">
        <f t="shared" si="19"/>
        <v>45200</v>
      </c>
      <c r="M58" s="1236">
        <f t="shared" si="19"/>
        <v>45170</v>
      </c>
      <c r="N58" s="1236">
        <f t="shared" si="19"/>
        <v>45139</v>
      </c>
      <c r="O58" s="1236">
        <f t="shared" si="19"/>
        <v>45108</v>
      </c>
      <c r="P58" s="1939"/>
    </row>
    <row r="59" spans="1:29" s="856" customFormat="1" ht="15">
      <c r="A59" s="929"/>
      <c r="B59" s="1911"/>
      <c r="C59" s="1237">
        <v>100</v>
      </c>
      <c r="D59" s="1912">
        <v>100</v>
      </c>
      <c r="E59" s="1912">
        <v>100</v>
      </c>
      <c r="F59" s="1912">
        <v>100</v>
      </c>
      <c r="G59" s="1912">
        <v>100</v>
      </c>
      <c r="H59" s="1912">
        <v>100</v>
      </c>
      <c r="I59" s="1912">
        <v>100</v>
      </c>
      <c r="J59" s="1101"/>
      <c r="K59" s="1101"/>
      <c r="L59" s="1101"/>
      <c r="M59" s="904"/>
      <c r="N59" s="1101"/>
      <c r="O59" s="904"/>
      <c r="P59" s="1940"/>
    </row>
    <row r="60" spans="1:29" s="856" customFormat="1" ht="15">
      <c r="A60" s="1092" t="s">
        <v>1026</v>
      </c>
      <c r="B60" s="1093"/>
      <c r="C60" s="1094"/>
      <c r="D60" s="1095"/>
      <c r="E60" s="1095"/>
      <c r="F60" s="1095"/>
      <c r="G60" s="1095"/>
      <c r="H60" s="1095"/>
      <c r="I60" s="1095"/>
      <c r="J60" s="1095"/>
      <c r="K60" s="1095"/>
      <c r="L60" s="1095"/>
      <c r="M60" s="1135"/>
      <c r="N60" s="1095"/>
      <c r="O60" s="1135"/>
      <c r="P60" s="1940"/>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1"/>
      <c r="Q61" s="1360"/>
    </row>
    <row r="62" spans="1:29" s="856" customFormat="1" ht="15">
      <c r="A62" s="1096"/>
      <c r="B62" s="1097"/>
      <c r="C62" s="1385">
        <v>100</v>
      </c>
      <c r="D62" s="1101"/>
      <c r="E62" s="1101"/>
      <c r="F62" s="1101"/>
      <c r="G62" s="1101"/>
      <c r="H62" s="1101"/>
      <c r="I62" s="1101"/>
      <c r="J62" s="1101"/>
      <c r="K62" s="1101"/>
      <c r="L62" s="1101"/>
      <c r="M62" s="1140"/>
      <c r="N62" s="1363"/>
      <c r="O62" s="1363"/>
      <c r="P62" s="1940"/>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2"/>
      <c r="Q63" s="1360"/>
    </row>
    <row r="64" spans="1:29" ht="15">
      <c r="A64" s="900"/>
      <c r="B64" s="1103"/>
      <c r="C64" s="1104">
        <v>100</v>
      </c>
      <c r="D64" s="1104"/>
      <c r="E64" s="1104"/>
      <c r="F64" s="1104"/>
      <c r="G64" s="1104"/>
      <c r="H64" s="1104"/>
      <c r="I64" s="1104"/>
      <c r="J64" s="1104"/>
      <c r="K64" s="1104"/>
      <c r="L64" s="1104"/>
      <c r="M64" s="1145"/>
      <c r="N64" s="1367"/>
      <c r="O64" s="1367"/>
      <c r="P64" s="1942"/>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2"/>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2"/>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2"/>
      <c r="Q67" s="1360"/>
    </row>
    <row r="68" spans="1:17" ht="15">
      <c r="A68" s="900"/>
      <c r="B68" s="1111"/>
      <c r="C68" s="1945">
        <v>0</v>
      </c>
      <c r="D68" s="1945">
        <v>1</v>
      </c>
      <c r="E68" s="1945">
        <v>2</v>
      </c>
      <c r="F68" s="1945">
        <v>3</v>
      </c>
      <c r="G68" s="1945">
        <v>4</v>
      </c>
      <c r="H68" s="1945">
        <v>5</v>
      </c>
      <c r="I68" s="906"/>
      <c r="J68" s="906"/>
      <c r="K68" s="1151"/>
      <c r="L68" s="1152"/>
      <c r="M68" s="1153"/>
      <c r="N68" s="1365"/>
      <c r="O68" s="1365"/>
      <c r="P68" s="1942"/>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2"/>
      <c r="Q69" s="1360"/>
    </row>
    <row r="70" spans="1:17" s="858" customFormat="1" ht="15">
      <c r="A70" s="1112"/>
      <c r="B70" s="1105">
        <f>B12</f>
        <v>111</v>
      </c>
      <c r="C70" s="1113"/>
      <c r="D70" s="1113"/>
      <c r="E70" s="1113"/>
      <c r="F70" s="1113"/>
      <c r="G70" s="1113"/>
      <c r="H70" s="1114"/>
      <c r="I70" s="1114"/>
      <c r="J70" s="1114"/>
      <c r="K70" s="1114"/>
      <c r="L70" s="1154"/>
      <c r="M70" s="1155"/>
      <c r="N70" s="1368"/>
      <c r="O70" s="1368"/>
      <c r="P70" s="1955"/>
      <c r="Q70" s="1370"/>
    </row>
    <row r="71" spans="1:17" s="858" customFormat="1" ht="15">
      <c r="A71" s="1112"/>
      <c r="B71" s="1107"/>
      <c r="C71" s="1115"/>
      <c r="D71" s="1104"/>
      <c r="E71" s="1104"/>
      <c r="F71" s="1104"/>
      <c r="G71" s="1104"/>
      <c r="H71" s="1104"/>
      <c r="I71" s="1104"/>
      <c r="J71" s="1104"/>
      <c r="K71" s="1104"/>
      <c r="L71" s="1104"/>
      <c r="M71" s="1145"/>
      <c r="N71" s="1367"/>
      <c r="O71" s="1367"/>
      <c r="P71" s="1955"/>
      <c r="Q71" s="1370"/>
    </row>
    <row r="72" spans="1:17" s="858" customFormat="1" ht="15">
      <c r="A72" s="1112"/>
      <c r="B72" s="1105">
        <f>B13</f>
        <v>111</v>
      </c>
      <c r="C72" s="1113"/>
      <c r="D72" s="1113"/>
      <c r="E72" s="1113"/>
      <c r="F72" s="1113"/>
      <c r="G72" s="1113"/>
      <c r="H72" s="1114"/>
      <c r="I72" s="1114"/>
      <c r="J72" s="1114"/>
      <c r="K72" s="1114"/>
      <c r="L72" s="1154"/>
      <c r="M72" s="1155"/>
      <c r="N72" s="1368"/>
      <c r="O72" s="1368"/>
      <c r="P72" s="1956"/>
      <c r="Q72" s="1373"/>
    </row>
    <row r="73" spans="1:17" s="858" customFormat="1" ht="15">
      <c r="A73" s="1112"/>
      <c r="B73" s="1107"/>
      <c r="C73" s="1115"/>
      <c r="D73" s="1115"/>
      <c r="E73" s="1115"/>
      <c r="F73" s="1115"/>
      <c r="G73" s="1115"/>
      <c r="H73" s="1116"/>
      <c r="I73" s="1116"/>
      <c r="J73" s="1116"/>
      <c r="K73" s="1116"/>
      <c r="L73" s="1116"/>
      <c r="M73" s="1157"/>
      <c r="N73" s="1368"/>
      <c r="O73" s="1368"/>
      <c r="P73" s="1955"/>
      <c r="Q73" s="1370"/>
    </row>
    <row r="74" spans="1:17" s="858" customFormat="1" ht="15">
      <c r="A74" s="1112"/>
      <c r="B74" s="1109">
        <f>B14</f>
        <v>111</v>
      </c>
      <c r="C74" s="1113"/>
      <c r="D74" s="1113"/>
      <c r="E74" s="1113"/>
      <c r="F74" s="1113"/>
      <c r="G74" s="1099"/>
      <c r="H74" s="1117"/>
      <c r="I74" s="1117"/>
      <c r="J74" s="1117"/>
      <c r="K74" s="1117"/>
      <c r="L74" s="1158"/>
      <c r="M74" s="1159"/>
      <c r="N74" s="1368"/>
      <c r="O74" s="1368"/>
      <c r="P74" s="1957"/>
      <c r="Q74" s="1370"/>
    </row>
    <row r="75" spans="1:17" s="858" customFormat="1" ht="15">
      <c r="A75" s="1118"/>
      <c r="B75" s="1119"/>
      <c r="C75" s="1120"/>
      <c r="D75" s="1120"/>
      <c r="E75" s="1120"/>
      <c r="F75" s="1120"/>
      <c r="G75" s="1120"/>
      <c r="H75" s="1121"/>
      <c r="I75" s="1121"/>
      <c r="J75" s="1121"/>
      <c r="K75" s="1121"/>
      <c r="L75" s="1121"/>
      <c r="M75" s="1161"/>
      <c r="N75" s="1368"/>
      <c r="O75" s="1368"/>
      <c r="P75" s="1955"/>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8"/>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2"/>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2"/>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2"/>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2"/>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2"/>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2"/>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2"/>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2"/>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2"/>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2"/>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2"/>
      <c r="Q87" s="1360"/>
    </row>
    <row r="88" spans="1:17" s="856" customFormat="1" ht="15">
      <c r="A88" s="903"/>
      <c r="B88" s="1105" t="s">
        <v>1559</v>
      </c>
      <c r="C88" s="1113"/>
      <c r="D88" s="1113"/>
      <c r="E88" s="1113"/>
      <c r="F88" s="1391"/>
      <c r="G88" s="1113"/>
      <c r="H88" s="1113"/>
      <c r="I88" s="1113"/>
      <c r="J88" s="1113"/>
      <c r="K88" s="1113"/>
      <c r="L88" s="1113"/>
      <c r="M88" s="1251"/>
      <c r="N88" s="1363"/>
      <c r="O88" s="1363"/>
      <c r="P88" s="1942"/>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2"/>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5"/>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5"/>
      <c r="Q91" s="1370"/>
    </row>
    <row r="92" spans="1:17" ht="15">
      <c r="A92" s="900"/>
      <c r="B92" s="1105">
        <f>B28</f>
        <v>111</v>
      </c>
      <c r="C92" s="1113"/>
      <c r="D92" s="1113"/>
      <c r="E92" s="1113"/>
      <c r="F92" s="1113"/>
      <c r="G92" s="1127"/>
      <c r="H92" s="1127"/>
      <c r="I92" s="1127"/>
      <c r="J92" s="1127"/>
      <c r="K92" s="1172"/>
      <c r="L92" s="1173"/>
      <c r="M92" s="1174"/>
      <c r="N92" s="1365"/>
      <c r="O92" s="1365"/>
      <c r="P92" s="1942"/>
      <c r="Q92" s="1360"/>
    </row>
    <row r="93" spans="1:17" ht="15">
      <c r="A93" s="900"/>
      <c r="B93" s="1107"/>
      <c r="C93" s="1115"/>
      <c r="D93" s="1104"/>
      <c r="E93" s="1104"/>
      <c r="F93" s="1104"/>
      <c r="G93" s="1104"/>
      <c r="H93" s="1104"/>
      <c r="I93" s="1104"/>
      <c r="J93" s="1104"/>
      <c r="K93" s="1104"/>
      <c r="L93" s="1104"/>
      <c r="M93" s="1145"/>
      <c r="N93" s="1367"/>
      <c r="O93" s="1367"/>
      <c r="P93" s="1942"/>
      <c r="Q93" s="1360"/>
    </row>
    <row r="94" spans="1:17" ht="15">
      <c r="A94" s="900"/>
      <c r="B94" s="1105">
        <f>B29</f>
        <v>111</v>
      </c>
      <c r="C94" s="1113"/>
      <c r="D94" s="1113"/>
      <c r="E94" s="1113"/>
      <c r="F94" s="1113"/>
      <c r="G94" s="1127"/>
      <c r="H94" s="1127"/>
      <c r="I94" s="1127"/>
      <c r="J94" s="1127"/>
      <c r="K94" s="1172"/>
      <c r="L94" s="1173"/>
      <c r="M94" s="1174"/>
      <c r="N94" s="1365"/>
      <c r="O94" s="1365"/>
      <c r="P94" s="1942"/>
      <c r="Q94" s="1360"/>
    </row>
    <row r="95" spans="1:17" ht="15">
      <c r="A95" s="900"/>
      <c r="B95" s="1107"/>
      <c r="C95" s="1115"/>
      <c r="D95" s="1115"/>
      <c r="E95" s="1115"/>
      <c r="F95" s="1115"/>
      <c r="G95" s="1104"/>
      <c r="H95" s="1104"/>
      <c r="I95" s="1104"/>
      <c r="J95" s="1104"/>
      <c r="K95" s="1104"/>
      <c r="L95" s="1104"/>
      <c r="M95" s="1145"/>
      <c r="N95" s="1367"/>
      <c r="O95" s="1367"/>
      <c r="P95" s="1942"/>
      <c r="Q95" s="1360"/>
    </row>
    <row r="96" spans="1:17" ht="15">
      <c r="A96" s="900"/>
      <c r="B96" s="1105">
        <f>B30</f>
        <v>111</v>
      </c>
      <c r="C96" s="1113"/>
      <c r="D96" s="1113"/>
      <c r="E96" s="1113"/>
      <c r="F96" s="1113"/>
      <c r="G96" s="1127"/>
      <c r="H96" s="1127"/>
      <c r="I96" s="1127"/>
      <c r="J96" s="1127"/>
      <c r="K96" s="1172"/>
      <c r="L96" s="1173"/>
      <c r="M96" s="1174"/>
      <c r="N96" s="1365"/>
      <c r="O96" s="1365"/>
      <c r="P96" s="1942"/>
      <c r="Q96" s="1360"/>
    </row>
    <row r="97" spans="1:17" ht="15">
      <c r="A97" s="900"/>
      <c r="B97" s="1107"/>
      <c r="C97" s="1120"/>
      <c r="D97" s="1120"/>
      <c r="E97" s="1120"/>
      <c r="F97" s="1120"/>
      <c r="G97" s="1104"/>
      <c r="H97" s="1104"/>
      <c r="I97" s="1104"/>
      <c r="J97" s="1104"/>
      <c r="K97" s="1104"/>
      <c r="L97" s="1104"/>
      <c r="M97" s="1145"/>
      <c r="N97" s="1367"/>
      <c r="O97" s="1367"/>
      <c r="P97" s="1942"/>
      <c r="Q97" s="1360"/>
    </row>
    <row r="98" spans="1:17" ht="15">
      <c r="A98" s="900"/>
      <c r="B98" s="1109">
        <f>B31</f>
        <v>111</v>
      </c>
      <c r="C98" s="1128"/>
      <c r="D98" s="1128"/>
      <c r="E98" s="1128"/>
      <c r="F98" s="1128"/>
      <c r="G98" s="1128"/>
      <c r="H98" s="1128"/>
      <c r="I98" s="1128"/>
      <c r="J98" s="1128"/>
      <c r="K98" s="1175"/>
      <c r="L98" s="1176"/>
      <c r="M98" s="1177"/>
      <c r="N98" s="1365"/>
      <c r="O98" s="1365"/>
      <c r="P98" s="1942"/>
      <c r="Q98" s="1360"/>
    </row>
    <row r="99" spans="1:17" ht="15">
      <c r="A99" s="909"/>
      <c r="B99" s="1119"/>
      <c r="C99" s="1129"/>
      <c r="D99" s="1129"/>
      <c r="E99" s="1129"/>
      <c r="F99" s="1129"/>
      <c r="G99" s="1129"/>
      <c r="H99" s="1129"/>
      <c r="I99" s="1129"/>
      <c r="J99" s="1129"/>
      <c r="K99" s="1129"/>
      <c r="L99" s="1129"/>
      <c r="M99" s="1178"/>
      <c r="N99" s="1367"/>
      <c r="O99" s="1367"/>
      <c r="P99" s="1942"/>
      <c r="Q99" s="1360"/>
    </row>
    <row r="100" spans="1:17">
      <c r="A100" s="913" t="s">
        <v>983</v>
      </c>
      <c r="B100" s="1102" t="s">
        <v>1560</v>
      </c>
      <c r="C100" s="1946" t="s">
        <v>1586</v>
      </c>
      <c r="D100" s="1946" t="s">
        <v>1562</v>
      </c>
      <c r="E100" s="1946" t="s">
        <v>1561</v>
      </c>
      <c r="F100" s="1048"/>
      <c r="G100" s="1048"/>
      <c r="H100" s="1048"/>
      <c r="I100" s="1048"/>
      <c r="J100" s="1048"/>
      <c r="K100" s="1141"/>
      <c r="L100" s="1142"/>
      <c r="M100" s="1143"/>
      <c r="N100" s="1365"/>
      <c r="O100" s="1365"/>
      <c r="P100" s="1942"/>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2"/>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2"/>
      <c r="Q102" s="1360"/>
    </row>
    <row r="103" spans="1:17" s="858" customFormat="1">
      <c r="A103" s="953"/>
      <c r="B103" s="1130"/>
      <c r="C103" s="1947">
        <v>0</v>
      </c>
      <c r="D103" s="1947">
        <v>60</v>
      </c>
      <c r="E103" s="1947">
        <v>100</v>
      </c>
      <c r="F103" s="1947">
        <v>120</v>
      </c>
      <c r="G103" s="1091">
        <v>150</v>
      </c>
      <c r="H103" s="1091"/>
      <c r="I103" s="1091"/>
      <c r="J103" s="1179"/>
      <c r="K103" s="1179"/>
      <c r="L103" s="1180"/>
      <c r="M103" s="1181"/>
      <c r="N103" s="1368"/>
      <c r="O103" s="1368"/>
      <c r="P103" s="1955"/>
      <c r="Q103" s="1370"/>
    </row>
    <row r="104" spans="1:17" s="858" customFormat="1" ht="15">
      <c r="A104" s="1112"/>
      <c r="B104" s="1107"/>
      <c r="C104" s="1948">
        <v>100</v>
      </c>
      <c r="D104" s="1949">
        <f>C104-3</f>
        <v>97</v>
      </c>
      <c r="E104" s="1949">
        <f t="shared" ref="E104:G104" si="28">D104-3</f>
        <v>94</v>
      </c>
      <c r="F104" s="1949">
        <f t="shared" si="28"/>
        <v>91</v>
      </c>
      <c r="G104" s="1949">
        <f t="shared" si="28"/>
        <v>88</v>
      </c>
      <c r="H104" s="1104"/>
      <c r="I104" s="1104"/>
      <c r="J104" s="1104"/>
      <c r="K104" s="1104"/>
      <c r="L104" s="1104"/>
      <c r="M104" s="1104"/>
      <c r="N104" s="1367"/>
      <c r="O104" s="1367"/>
      <c r="P104" s="1955"/>
      <c r="Q104" s="1370"/>
    </row>
    <row r="105" spans="1:17">
      <c r="A105" s="948"/>
      <c r="B105" s="1105" t="s">
        <v>1564</v>
      </c>
      <c r="C105" s="1950" t="s">
        <v>1565</v>
      </c>
      <c r="D105" s="1951"/>
      <c r="E105" s="1952"/>
      <c r="F105" s="1952"/>
      <c r="G105" s="1127"/>
      <c r="H105" s="1127"/>
      <c r="I105" s="1127"/>
      <c r="J105" s="1127"/>
      <c r="K105" s="1172"/>
      <c r="L105" s="1173"/>
      <c r="M105" s="1174"/>
      <c r="N105" s="1365"/>
      <c r="O105" s="1365"/>
      <c r="P105" s="1942"/>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2"/>
      <c r="Q106" s="1360"/>
    </row>
    <row r="107" spans="1:17">
      <c r="A107" s="948"/>
      <c r="B107" s="1105" t="s">
        <v>1566</v>
      </c>
      <c r="C107" s="1127"/>
      <c r="D107" s="1127"/>
      <c r="E107" s="1127"/>
      <c r="F107" s="1127"/>
      <c r="G107" s="1127"/>
      <c r="H107" s="1127"/>
      <c r="I107" s="1127"/>
      <c r="J107" s="1127"/>
      <c r="K107" s="1172"/>
      <c r="L107" s="1173"/>
      <c r="M107" s="1174"/>
      <c r="N107" s="1365"/>
      <c r="O107" s="1365"/>
      <c r="P107" s="1942"/>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2"/>
      <c r="Q108" s="1360"/>
    </row>
    <row r="109" spans="1:17">
      <c r="A109" s="948"/>
      <c r="B109" s="1105" t="s">
        <v>1567</v>
      </c>
      <c r="C109" s="1953" t="s">
        <v>1568</v>
      </c>
      <c r="D109" s="1953" t="s">
        <v>1587</v>
      </c>
      <c r="E109" s="1953" t="s">
        <v>1588</v>
      </c>
      <c r="F109" s="1954" t="s">
        <v>1575</v>
      </c>
      <c r="G109" s="1127"/>
      <c r="H109" s="1127"/>
      <c r="I109" s="1127"/>
      <c r="J109" s="1127"/>
      <c r="K109" s="1172"/>
      <c r="L109" s="1173"/>
      <c r="M109" s="1174"/>
      <c r="N109" s="1365"/>
      <c r="O109" s="1365"/>
      <c r="P109" s="1942"/>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2"/>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5"/>
      <c r="Q111" s="1370"/>
    </row>
    <row r="112" spans="1:17" s="858" customFormat="1">
      <c r="A112" s="953"/>
      <c r="B112" s="1109"/>
      <c r="C112" s="796">
        <v>0.5</v>
      </c>
      <c r="D112" s="796">
        <v>0.6</v>
      </c>
      <c r="E112" s="796">
        <v>0.7</v>
      </c>
      <c r="F112" s="796">
        <v>0.8</v>
      </c>
      <c r="G112" s="796">
        <v>0.9</v>
      </c>
      <c r="H112" s="796">
        <v>1.0001</v>
      </c>
      <c r="I112" s="796"/>
      <c r="J112" s="1245"/>
      <c r="K112" s="1245"/>
      <c r="L112" s="1959"/>
      <c r="M112" s="1960"/>
      <c r="N112" s="1368"/>
      <c r="O112" s="1368"/>
      <c r="P112" s="1955"/>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5"/>
      <c r="Q113" s="1370"/>
    </row>
    <row r="114" spans="1:17">
      <c r="A114" s="948"/>
      <c r="B114" s="1105" t="s">
        <v>1569</v>
      </c>
      <c r="C114" s="1953" t="s">
        <v>1570</v>
      </c>
      <c r="D114" s="1953" t="s">
        <v>1589</v>
      </c>
      <c r="E114" s="1127"/>
      <c r="F114" s="1127"/>
      <c r="G114" s="1127"/>
      <c r="H114" s="1127"/>
      <c r="I114" s="1127"/>
      <c r="J114" s="1127"/>
      <c r="K114" s="1172"/>
      <c r="L114" s="1173"/>
      <c r="M114" s="1174"/>
      <c r="N114" s="1365"/>
      <c r="O114" s="1365"/>
      <c r="P114" s="1942"/>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2"/>
      <c r="Q115" s="1360"/>
    </row>
    <row r="116" spans="1:17">
      <c r="A116" s="948"/>
      <c r="B116" s="1105" t="s">
        <v>1571</v>
      </c>
      <c r="C116" s="1953" t="s">
        <v>236</v>
      </c>
      <c r="D116" s="1953" t="s">
        <v>246</v>
      </c>
      <c r="E116" s="1953" t="s">
        <v>255</v>
      </c>
      <c r="F116" s="1953" t="s">
        <v>263</v>
      </c>
      <c r="G116" s="1953" t="s">
        <v>270</v>
      </c>
      <c r="H116" s="1127"/>
      <c r="I116" s="1127"/>
      <c r="J116" s="1127"/>
      <c r="K116" s="1172"/>
      <c r="L116" s="1173"/>
      <c r="M116" s="1174"/>
      <c r="N116" s="1365"/>
      <c r="O116" s="1365"/>
      <c r="P116" s="1942"/>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2"/>
      <c r="Q117" s="1360"/>
    </row>
    <row r="118" spans="1:17">
      <c r="A118" s="948"/>
      <c r="B118" s="1105" t="s">
        <v>1572</v>
      </c>
      <c r="C118" s="1127"/>
      <c r="D118" s="1127"/>
      <c r="E118" s="1127"/>
      <c r="F118" s="1127"/>
      <c r="G118" s="1127"/>
      <c r="H118" s="1127"/>
      <c r="I118" s="1127"/>
      <c r="J118" s="1127"/>
      <c r="K118" s="1172"/>
      <c r="L118" s="1173"/>
      <c r="M118" s="1174"/>
      <c r="N118" s="1365"/>
      <c r="O118" s="1365"/>
      <c r="P118" s="1942"/>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2"/>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5"/>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5"/>
      <c r="Q121" s="1370"/>
    </row>
    <row r="122" spans="1:17">
      <c r="A122" s="948"/>
      <c r="B122" s="1105" t="s">
        <v>1574</v>
      </c>
      <c r="C122" s="1953" t="s">
        <v>1568</v>
      </c>
      <c r="D122" s="1953" t="s">
        <v>1587</v>
      </c>
      <c r="E122" s="1953" t="s">
        <v>1588</v>
      </c>
      <c r="F122" s="1954" t="s">
        <v>1575</v>
      </c>
      <c r="G122" s="1127"/>
      <c r="H122" s="1127"/>
      <c r="I122" s="1127"/>
      <c r="J122" s="1127"/>
      <c r="K122" s="1172"/>
      <c r="L122" s="1173"/>
      <c r="M122" s="1174"/>
      <c r="N122" s="1365"/>
      <c r="O122" s="1365"/>
      <c r="P122" s="1942"/>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2"/>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5"/>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2"/>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5"/>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5"/>
      <c r="Q127" s="1370"/>
    </row>
    <row r="128" spans="1:17">
      <c r="A128" s="948"/>
      <c r="B128" s="1105">
        <f>B45</f>
        <v>0</v>
      </c>
      <c r="C128" s="1113"/>
      <c r="D128" s="1113"/>
      <c r="E128" s="1113"/>
      <c r="F128" s="1113"/>
      <c r="G128" s="1127"/>
      <c r="H128" s="1127"/>
      <c r="I128" s="1127"/>
      <c r="J128" s="1127"/>
      <c r="K128" s="1172"/>
      <c r="L128" s="1173"/>
      <c r="M128" s="1174"/>
      <c r="N128" s="1365"/>
      <c r="O128" s="1365"/>
      <c r="P128" s="1942"/>
      <c r="Q128" s="1360"/>
    </row>
    <row r="129" spans="1:17" ht="15">
      <c r="A129" s="900"/>
      <c r="B129" s="1107"/>
      <c r="C129" s="1115"/>
      <c r="D129" s="1115"/>
      <c r="E129" s="1115"/>
      <c r="F129" s="1115"/>
      <c r="G129" s="1104"/>
      <c r="H129" s="1104"/>
      <c r="I129" s="1104"/>
      <c r="J129" s="1104"/>
      <c r="K129" s="1104"/>
      <c r="L129" s="1104"/>
      <c r="M129" s="1145"/>
      <c r="N129" s="1367"/>
      <c r="O129" s="1367"/>
      <c r="P129" s="1942"/>
      <c r="Q129" s="1360"/>
    </row>
    <row r="130" spans="1:17">
      <c r="A130" s="948"/>
      <c r="B130" s="1109">
        <f>B46</f>
        <v>0</v>
      </c>
      <c r="C130" s="1113"/>
      <c r="D130" s="1113"/>
      <c r="E130" s="1113"/>
      <c r="F130" s="1113"/>
      <c r="G130" s="1128"/>
      <c r="H130" s="1128"/>
      <c r="I130" s="1128"/>
      <c r="J130" s="1128"/>
      <c r="K130" s="1099"/>
      <c r="L130" s="1137"/>
      <c r="M130" s="1177"/>
      <c r="N130" s="1365"/>
      <c r="O130" s="1365"/>
      <c r="P130" s="1942"/>
      <c r="Q130" s="1360"/>
    </row>
    <row r="131" spans="1:17" ht="15">
      <c r="A131" s="909"/>
      <c r="B131" s="1119"/>
      <c r="C131" s="1120"/>
      <c r="D131" s="1120"/>
      <c r="E131" s="1120"/>
      <c r="F131" s="1120"/>
      <c r="G131" s="1129"/>
      <c r="H131" s="1129"/>
      <c r="I131" s="1129"/>
      <c r="J131" s="1129"/>
      <c r="K131" s="1129"/>
      <c r="L131" s="1129"/>
      <c r="M131" s="1178"/>
      <c r="N131" s="1367"/>
      <c r="O131" s="1367"/>
      <c r="P131" s="1942"/>
      <c r="Q131" s="1360"/>
    </row>
    <row r="136" spans="1:17">
      <c r="B136" s="1961" t="s">
        <v>1590</v>
      </c>
    </row>
    <row r="137" spans="1:17" ht="15">
      <c r="B137" s="1962" t="s">
        <v>1591</v>
      </c>
      <c r="C137" s="1963"/>
      <c r="D137" s="1963"/>
      <c r="E137" s="1963"/>
      <c r="F137" s="1963"/>
      <c r="G137" s="1964"/>
      <c r="H137" s="1965"/>
      <c r="I137" s="1986" t="s">
        <v>1592</v>
      </c>
      <c r="J137" s="1963"/>
      <c r="K137" s="1987"/>
    </row>
    <row r="138" spans="1:17" ht="15">
      <c r="B138" s="1966"/>
      <c r="C138" s="1429" t="s">
        <v>1593</v>
      </c>
      <c r="D138" s="1429" t="s">
        <v>1594</v>
      </c>
      <c r="E138" s="1967" t="s">
        <v>1595</v>
      </c>
      <c r="F138" s="1968" t="s">
        <v>1596</v>
      </c>
      <c r="G138" s="1429" t="s">
        <v>1594</v>
      </c>
      <c r="H138" s="1969" t="s">
        <v>1595</v>
      </c>
      <c r="I138" s="1988"/>
      <c r="J138" s="1429" t="s">
        <v>1597</v>
      </c>
      <c r="K138" s="1969" t="s">
        <v>1598</v>
      </c>
    </row>
    <row r="139" spans="1:17" ht="15">
      <c r="B139" s="1970">
        <v>6</v>
      </c>
      <c r="C139" s="1971">
        <v>96</v>
      </c>
      <c r="D139" s="1972" t="s">
        <v>1599</v>
      </c>
      <c r="E139" s="1973">
        <v>100</v>
      </c>
      <c r="F139" s="1974">
        <v>102.5</v>
      </c>
      <c r="G139" s="1972" t="s">
        <v>1599</v>
      </c>
      <c r="H139" s="1975">
        <v>105</v>
      </c>
      <c r="I139" s="1989" t="s">
        <v>1600</v>
      </c>
      <c r="J139" s="1971">
        <v>20</v>
      </c>
      <c r="K139" s="1990">
        <f>C145/(J139-2)</f>
        <v>4.0555555555555596E-3</v>
      </c>
    </row>
    <row r="140" spans="1:17" ht="15">
      <c r="B140" s="1976">
        <v>5</v>
      </c>
      <c r="C140" s="1977">
        <v>100</v>
      </c>
      <c r="D140" s="1977"/>
      <c r="E140" s="1978"/>
      <c r="F140" s="1979">
        <v>102</v>
      </c>
      <c r="G140" s="1977"/>
      <c r="H140" s="1980"/>
      <c r="I140" s="1991" t="s">
        <v>1601</v>
      </c>
      <c r="J140" s="222">
        <f>ROUNDUP((J139-1)/2,0)</f>
        <v>10</v>
      </c>
      <c r="K140" s="1992">
        <v>100</v>
      </c>
    </row>
    <row r="141" spans="1:17" ht="15">
      <c r="B141" s="1976">
        <v>4</v>
      </c>
      <c r="C141" s="1977">
        <v>102</v>
      </c>
      <c r="D141" s="1977"/>
      <c r="E141" s="1978"/>
      <c r="F141" s="1979">
        <v>101.5</v>
      </c>
      <c r="G141" s="1977"/>
      <c r="H141" s="1980"/>
      <c r="I141" s="1991" t="s">
        <v>1602</v>
      </c>
      <c r="J141" s="222">
        <v>1</v>
      </c>
      <c r="K141" s="1993">
        <f>ROUND(100+(J141-J140)*K139*100,1)</f>
        <v>96.4</v>
      </c>
    </row>
    <row r="142" spans="1:17" ht="15">
      <c r="B142" s="1976">
        <v>3</v>
      </c>
      <c r="C142" s="1977">
        <v>103</v>
      </c>
      <c r="D142" s="1977"/>
      <c r="E142" s="1978"/>
      <c r="F142" s="1979">
        <v>101</v>
      </c>
      <c r="G142" s="1977"/>
      <c r="H142" s="1980"/>
      <c r="I142" s="1991" t="s">
        <v>1603</v>
      </c>
      <c r="J142" s="222">
        <f>J139</f>
        <v>20</v>
      </c>
      <c r="K142" s="1994">
        <v>95</v>
      </c>
    </row>
    <row r="143" spans="1:17" ht="15">
      <c r="B143" s="1976">
        <v>2</v>
      </c>
      <c r="C143" s="1977">
        <v>100</v>
      </c>
      <c r="D143" s="1977"/>
      <c r="E143" s="1978"/>
      <c r="F143" s="1979">
        <v>100.5</v>
      </c>
      <c r="G143" s="1977"/>
      <c r="H143" s="1980"/>
      <c r="I143" s="1991" t="s">
        <v>1604</v>
      </c>
      <c r="J143" s="1977">
        <v>15</v>
      </c>
      <c r="K143" s="1993">
        <f>ROUND(100+(J143-J140)*K139*100,1)</f>
        <v>102</v>
      </c>
    </row>
    <row r="144" spans="1:17" ht="15">
      <c r="B144" s="1976">
        <v>1</v>
      </c>
      <c r="C144" s="1977">
        <v>98</v>
      </c>
      <c r="D144" s="1981" t="s">
        <v>1605</v>
      </c>
      <c r="E144" s="1978">
        <v>102</v>
      </c>
      <c r="F144" s="1982">
        <v>100</v>
      </c>
      <c r="G144" s="1981" t="s">
        <v>1605</v>
      </c>
      <c r="H144" s="1980">
        <v>105</v>
      </c>
      <c r="I144" s="1991" t="s">
        <v>1604</v>
      </c>
      <c r="J144" s="1977">
        <v>18</v>
      </c>
      <c r="K144" s="1993">
        <f>ROUND(100+(J144-J140)*K139*100,1)</f>
        <v>103.2</v>
      </c>
    </row>
    <row r="145" spans="2:11" ht="15">
      <c r="B145" s="736" t="s">
        <v>1606</v>
      </c>
      <c r="C145" s="1983">
        <f>ROUND(MAX(C139:C144)/MIN(C139:C144)-1,3)</f>
        <v>7.2999999999999995E-2</v>
      </c>
      <c r="D145" s="1984"/>
      <c r="E145" s="1984"/>
      <c r="F145" s="1985" t="s">
        <v>1607</v>
      </c>
      <c r="G145" s="1387"/>
      <c r="H145" s="1390"/>
      <c r="I145" s="1995" t="s">
        <v>1604</v>
      </c>
      <c r="J145" s="1996">
        <v>8</v>
      </c>
      <c r="K145" s="1997">
        <f>ROUND(100+(J145-J140)*K139*100,1)</f>
        <v>99.2</v>
      </c>
    </row>
    <row r="147" spans="2:11">
      <c r="B147" s="1961" t="s">
        <v>1608</v>
      </c>
    </row>
    <row r="148" spans="2:11">
      <c r="B148" s="1961"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57" sqref="U57"/>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69" t="s">
        <v>2517</v>
      </c>
      <c r="D1" s="3370"/>
      <c r="E1" s="3370"/>
      <c r="F1" s="3370"/>
      <c r="G1" s="3370"/>
      <c r="H1" s="3370"/>
      <c r="I1" s="3370"/>
      <c r="J1" s="3370"/>
      <c r="K1" s="3370"/>
      <c r="L1" s="3370"/>
      <c r="M1" s="3370"/>
      <c r="N1" s="3370"/>
      <c r="O1" s="3370"/>
      <c r="P1" s="3370"/>
      <c r="Q1" s="3370"/>
      <c r="R1" s="3370"/>
      <c r="S1" s="3371"/>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7">
        <v>0</v>
      </c>
      <c r="D3" s="1947">
        <v>60</v>
      </c>
      <c r="E3" s="1947">
        <v>100</v>
      </c>
      <c r="F3" s="1947">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8">
        <f>'比较法-住宅'!C104</f>
        <v>100</v>
      </c>
      <c r="D4" s="1948">
        <f>'比较法-住宅'!D104</f>
        <v>97</v>
      </c>
      <c r="E4" s="1948">
        <f>'比较法-住宅'!E104</f>
        <v>94</v>
      </c>
      <c r="F4" s="1948">
        <f>'比较法-住宅'!F104</f>
        <v>91</v>
      </c>
      <c r="G4" s="1948">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37583</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27728</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72" t="s">
        <v>124</v>
      </c>
      <c r="D22" s="3373"/>
      <c r="E22" s="3373"/>
      <c r="F22" s="3373"/>
      <c r="G22" s="3373"/>
      <c r="H22" s="3373"/>
      <c r="I22" s="3373"/>
      <c r="J22" s="3373"/>
      <c r="K22" s="3373"/>
      <c r="L22" s="3373"/>
      <c r="M22" s="3373"/>
      <c r="N22" s="3373"/>
      <c r="O22" s="3373"/>
      <c r="P22" s="3373"/>
      <c r="Q22" s="3374"/>
      <c r="R22" s="285">
        <f ca="1">ROUND(S22*10000/B22,0)</f>
        <v>27728</v>
      </c>
      <c r="S22" s="285">
        <f ca="1">SUM(S24:S10000)</f>
        <v>37583</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28020</v>
      </c>
      <c r="S24" s="342">
        <f t="shared" ref="S24:S54" ca="1" si="11">ROUND(R24*B24/10000,0)</f>
        <v>251</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28020</v>
      </c>
      <c r="S25" s="284">
        <f t="shared" ca="1" si="11"/>
        <v>251</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28861</v>
      </c>
      <c r="S26" s="284">
        <f t="shared" ca="1" si="11"/>
        <v>236</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28861</v>
      </c>
      <c r="S27" s="284">
        <f t="shared" ca="1" si="11"/>
        <v>258</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27179</v>
      </c>
      <c r="S28" s="284">
        <f t="shared" ca="1" si="11"/>
        <v>191</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28020</v>
      </c>
      <c r="S29" s="284">
        <f t="shared" ca="1" si="11"/>
        <v>196</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26364</v>
      </c>
      <c r="S30" s="284">
        <f t="shared" ca="1" si="11"/>
        <v>314</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26364</v>
      </c>
      <c r="S31" s="284">
        <f t="shared" ca="1" si="11"/>
        <v>312</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26364</v>
      </c>
      <c r="S32" s="284">
        <f t="shared" ca="1" si="11"/>
        <v>314</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26364</v>
      </c>
      <c r="S33" s="284">
        <f t="shared" ca="1" si="11"/>
        <v>314</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26364</v>
      </c>
      <c r="S34" s="284">
        <f t="shared" ca="1" si="11"/>
        <v>312</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26364</v>
      </c>
      <c r="S35" s="284">
        <f t="shared" ca="1" si="11"/>
        <v>314</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26364</v>
      </c>
      <c r="S36" s="284">
        <f t="shared" ca="1" si="11"/>
        <v>312</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27179</v>
      </c>
      <c r="S37" s="284">
        <f t="shared" ca="1" si="11"/>
        <v>322</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27995</v>
      </c>
      <c r="S38" s="284">
        <f t="shared" ca="1" si="11"/>
        <v>331</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27995</v>
      </c>
      <c r="S39" s="284">
        <f t="shared" ca="1" si="11"/>
        <v>333</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27995</v>
      </c>
      <c r="S40" s="284">
        <f t="shared" ca="1" si="11"/>
        <v>331</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27995</v>
      </c>
      <c r="S41" s="284">
        <f t="shared" ca="1" si="11"/>
        <v>333</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26364</v>
      </c>
      <c r="S42" s="284">
        <f t="shared" ca="1" si="11"/>
        <v>312</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26364</v>
      </c>
      <c r="S43" s="284">
        <f t="shared" ca="1" si="11"/>
        <v>314</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26364</v>
      </c>
      <c r="S44" s="284">
        <f t="shared" ca="1" si="11"/>
        <v>314</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27179</v>
      </c>
      <c r="S45" s="284">
        <f t="shared" ca="1" si="11"/>
        <v>322</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27179</v>
      </c>
      <c r="S46" s="284">
        <f t="shared" ca="1" si="11"/>
        <v>324</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27179</v>
      </c>
      <c r="S47" s="284">
        <f t="shared" ca="1" si="11"/>
        <v>324</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27179</v>
      </c>
      <c r="S48" s="284">
        <f t="shared" ca="1" si="11"/>
        <v>324</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27179</v>
      </c>
      <c r="S49" s="284">
        <f t="shared" ca="1" si="11"/>
        <v>324</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27995</v>
      </c>
      <c r="S50" s="284">
        <f t="shared" ca="1" si="11"/>
        <v>333</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27995</v>
      </c>
      <c r="S51" s="284">
        <f t="shared" ca="1" si="11"/>
        <v>331</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27995</v>
      </c>
      <c r="S52" s="284">
        <f t="shared" ca="1" si="11"/>
        <v>331</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27995</v>
      </c>
      <c r="S53" s="284">
        <f t="shared" ca="1" si="11"/>
        <v>333</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26364</v>
      </c>
      <c r="S54" s="284">
        <f t="shared" ca="1" si="11"/>
        <v>313</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26364</v>
      </c>
      <c r="S55" s="284">
        <f t="shared" ref="S55:S77" ca="1" si="21">ROUND(R55*B55/10000,0)</f>
        <v>314</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26364</v>
      </c>
      <c r="S56" s="284">
        <f t="shared" ca="1" si="21"/>
        <v>313</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26364</v>
      </c>
      <c r="S57" s="284">
        <f t="shared" ca="1" si="21"/>
        <v>314</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26364</v>
      </c>
      <c r="S58" s="284">
        <f t="shared" ca="1" si="21"/>
        <v>313</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27179</v>
      </c>
      <c r="S59" s="284">
        <f t="shared" ca="1" si="21"/>
        <v>324</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27179</v>
      </c>
      <c r="S60" s="284">
        <f t="shared" ca="1" si="21"/>
        <v>322</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26364</v>
      </c>
      <c r="S61" s="284">
        <f t="shared" ca="1" si="21"/>
        <v>314</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26364</v>
      </c>
      <c r="S62" s="284">
        <f t="shared" ca="1" si="21"/>
        <v>314</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26364</v>
      </c>
      <c r="S63" s="284">
        <f t="shared" ca="1" si="21"/>
        <v>313</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26364</v>
      </c>
      <c r="S64" s="284">
        <f t="shared" ca="1" si="21"/>
        <v>313</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27179</v>
      </c>
      <c r="S65" s="284">
        <f t="shared" ca="1" si="21"/>
        <v>322</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27179</v>
      </c>
      <c r="S66" s="284">
        <f t="shared" ca="1" si="21"/>
        <v>324</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27179</v>
      </c>
      <c r="S67" s="284">
        <f t="shared" ca="1" si="21"/>
        <v>192</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27179</v>
      </c>
      <c r="S68" s="284">
        <f t="shared" ca="1" si="21"/>
        <v>191</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27179</v>
      </c>
      <c r="S69" s="284">
        <f t="shared" ca="1" si="21"/>
        <v>191</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27179</v>
      </c>
      <c r="S70" s="284">
        <f t="shared" ca="1" si="21"/>
        <v>192</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27179</v>
      </c>
      <c r="S71" s="284">
        <f t="shared" ca="1" si="21"/>
        <v>189</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27179</v>
      </c>
      <c r="S72" s="284">
        <f t="shared" ca="1" si="21"/>
        <v>186</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27179</v>
      </c>
      <c r="S73" s="284">
        <f t="shared" ca="1" si="21"/>
        <v>189</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27179</v>
      </c>
      <c r="S74" s="284">
        <f t="shared" ca="1" si="21"/>
        <v>189</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28020</v>
      </c>
      <c r="S75" s="284">
        <f t="shared" ca="1" si="21"/>
        <v>192</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28020</v>
      </c>
      <c r="S76" s="284">
        <f t="shared" ca="1" si="21"/>
        <v>192</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28020</v>
      </c>
      <c r="S77" s="284">
        <f t="shared" ca="1" si="21"/>
        <v>195</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28861</v>
      </c>
      <c r="S78" s="284">
        <f t="shared" ref="S78:S122" ca="1" si="22">ROUND(R78*B78/10000,0)</f>
        <v>200</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27179</v>
      </c>
      <c r="S79" s="284">
        <f t="shared" ca="1" si="22"/>
        <v>221</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28020</v>
      </c>
      <c r="S80" s="284">
        <f t="shared" ca="1" si="22"/>
        <v>250</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28020</v>
      </c>
      <c r="S81" s="284">
        <f t="shared" ca="1" si="22"/>
        <v>227</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28861</v>
      </c>
      <c r="S82" s="284">
        <f t="shared" ca="1" si="22"/>
        <v>234</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28861</v>
      </c>
      <c r="S83" s="284">
        <f t="shared" ca="1" si="22"/>
        <v>237</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28861</v>
      </c>
      <c r="S84" s="284">
        <f t="shared" ca="1" si="22"/>
        <v>234</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28861</v>
      </c>
      <c r="S85" s="284">
        <f t="shared" ca="1" si="22"/>
        <v>258</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27179</v>
      </c>
      <c r="S86" s="284">
        <f t="shared" ca="1" si="22"/>
        <v>221</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28020</v>
      </c>
      <c r="S87" s="284">
        <f t="shared" ca="1" si="22"/>
        <v>250</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28020</v>
      </c>
      <c r="S88" s="284">
        <f t="shared" ca="1" si="22"/>
        <v>227</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28861</v>
      </c>
      <c r="S89" s="284">
        <f t="shared" ca="1" si="22"/>
        <v>237</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28861</v>
      </c>
      <c r="S90" s="284">
        <f t="shared" ca="1" si="22"/>
        <v>234</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28861</v>
      </c>
      <c r="S91" s="284">
        <f t="shared" ca="1" si="22"/>
        <v>258</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27179</v>
      </c>
      <c r="S92" s="284">
        <f t="shared" ca="1" si="22"/>
        <v>221</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27179</v>
      </c>
      <c r="S93" s="284">
        <f t="shared" ca="1" si="22"/>
        <v>221</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28020</v>
      </c>
      <c r="S94" s="284">
        <f t="shared" ca="1" si="22"/>
        <v>227</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28020</v>
      </c>
      <c r="S95" s="284">
        <f t="shared" ca="1" si="22"/>
        <v>227</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28861</v>
      </c>
      <c r="S96" s="284">
        <f t="shared" ca="1" si="22"/>
        <v>258</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28861</v>
      </c>
      <c r="S97" s="284">
        <f t="shared" ca="1" si="22"/>
        <v>234</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27179</v>
      </c>
      <c r="S98" s="284">
        <f t="shared" ca="1" si="22"/>
        <v>221</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28861</v>
      </c>
      <c r="S99" s="284">
        <f t="shared" ca="1" si="22"/>
        <v>234</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27179</v>
      </c>
      <c r="S100" s="284">
        <f t="shared" ca="1" si="22"/>
        <v>244</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27179</v>
      </c>
      <c r="S101" s="284">
        <f t="shared" ca="1" si="22"/>
        <v>243</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27179</v>
      </c>
      <c r="S102" s="284">
        <f t="shared" ca="1" si="22"/>
        <v>243</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27179</v>
      </c>
      <c r="S103" s="284">
        <f t="shared" ca="1" si="22"/>
        <v>244</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28020</v>
      </c>
      <c r="S104" s="284">
        <f t="shared" ca="1" si="22"/>
        <v>250</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28020</v>
      </c>
      <c r="S105" s="284">
        <f t="shared" ca="1" si="22"/>
        <v>252</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28020</v>
      </c>
      <c r="S106" s="284">
        <f t="shared" ca="1" si="22"/>
        <v>250</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28020</v>
      </c>
      <c r="S107" s="284">
        <f t="shared" ca="1" si="22"/>
        <v>252</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28020</v>
      </c>
      <c r="S108" s="284">
        <f t="shared" ca="1" si="22"/>
        <v>252</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28020</v>
      </c>
      <c r="S109" s="284">
        <f t="shared" ca="1" si="22"/>
        <v>250</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28861</v>
      </c>
      <c r="S110" s="284">
        <f t="shared" ca="1" si="22"/>
        <v>259</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28861</v>
      </c>
      <c r="S111" s="284">
        <f t="shared" ca="1" si="22"/>
        <v>259</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28861</v>
      </c>
      <c r="S112" s="284">
        <f t="shared" ca="1" si="22"/>
        <v>259</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27179</v>
      </c>
      <c r="S113" s="284">
        <f t="shared" ca="1" si="22"/>
        <v>243</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28861</v>
      </c>
      <c r="S114" s="284">
        <f t="shared" ca="1" si="22"/>
        <v>260</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28861</v>
      </c>
      <c r="S115" s="284">
        <f t="shared" ca="1" si="22"/>
        <v>258</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28861</v>
      </c>
      <c r="S116" s="284">
        <f t="shared" ca="1" si="22"/>
        <v>260</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28861</v>
      </c>
      <c r="S117" s="284">
        <f t="shared" ca="1" si="22"/>
        <v>260</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28861</v>
      </c>
      <c r="S118" s="284">
        <f t="shared" ca="1" si="22"/>
        <v>258</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28861</v>
      </c>
      <c r="S119" s="284">
        <f t="shared" ca="1" si="22"/>
        <v>260</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28861</v>
      </c>
      <c r="S120" s="284">
        <f t="shared" ca="1" si="22"/>
        <v>258</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28861</v>
      </c>
      <c r="S121" s="284">
        <f t="shared" ca="1" si="22"/>
        <v>260</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28861</v>
      </c>
      <c r="S122" s="284">
        <f t="shared" ca="1" si="22"/>
        <v>258</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27179</v>
      </c>
      <c r="S123" s="284">
        <f t="shared" ref="S123:S186" ca="1" si="32">ROUND(R123*B123/10000,0)</f>
        <v>243</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28020</v>
      </c>
      <c r="S124" s="284">
        <f t="shared" ca="1" si="32"/>
        <v>250</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28861</v>
      </c>
      <c r="S125" s="284">
        <f t="shared" ca="1" si="32"/>
        <v>234</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28861</v>
      </c>
      <c r="S126" s="284">
        <f t="shared" ca="1" si="32"/>
        <v>258</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28861</v>
      </c>
      <c r="S127" s="284">
        <f t="shared" ca="1" si="32"/>
        <v>258</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27179</v>
      </c>
      <c r="S128" s="284">
        <f t="shared" ca="1" si="32"/>
        <v>243</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28020</v>
      </c>
      <c r="S129" s="284">
        <f t="shared" ca="1" si="32"/>
        <v>250</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28020</v>
      </c>
      <c r="S130" s="284">
        <f t="shared" ca="1" si="32"/>
        <v>250</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28020</v>
      </c>
      <c r="S131" s="284">
        <f t="shared" ca="1" si="32"/>
        <v>228</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28861</v>
      </c>
      <c r="S132" s="284">
        <f t="shared" ca="1" si="32"/>
        <v>237</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28861</v>
      </c>
      <c r="S133" s="284">
        <f t="shared" ca="1" si="32"/>
        <v>234</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27179</v>
      </c>
      <c r="S134" s="284">
        <f t="shared" ca="1" si="32"/>
        <v>243</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28020</v>
      </c>
      <c r="S135" s="284">
        <f t="shared" ca="1" si="32"/>
        <v>228</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28020</v>
      </c>
      <c r="S136" s="284">
        <f t="shared" ca="1" si="32"/>
        <v>228</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27179</v>
      </c>
      <c r="S137" s="284">
        <f t="shared" ca="1" si="32"/>
        <v>243</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28861</v>
      </c>
      <c r="S138" s="284">
        <f t="shared" ca="1" si="32"/>
        <v>237</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28861</v>
      </c>
      <c r="S139" s="284">
        <f t="shared" ca="1" si="32"/>
        <v>234</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27179</v>
      </c>
      <c r="S140" s="284">
        <f t="shared" ca="1" si="32"/>
        <v>243</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27179</v>
      </c>
      <c r="S141" s="284">
        <f t="shared" ca="1" si="32"/>
        <v>244</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27179</v>
      </c>
      <c r="S142" s="284">
        <f t="shared" ca="1" si="32"/>
        <v>243</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28020</v>
      </c>
      <c r="S143" s="284">
        <f t="shared" ca="1" si="32"/>
        <v>250</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27179</v>
      </c>
      <c r="S144" s="284">
        <f t="shared" ca="1" si="32"/>
        <v>242</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28861</v>
      </c>
      <c r="S145" s="284">
        <f t="shared" ca="1" si="32"/>
        <v>237</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27179</v>
      </c>
      <c r="S146" s="284">
        <f t="shared" ca="1" si="32"/>
        <v>242</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27179</v>
      </c>
      <c r="S147" s="284">
        <f t="shared" ca="1" si="32"/>
        <v>220</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28861</v>
      </c>
      <c r="S148" s="284">
        <f t="shared" ca="1" si="32"/>
        <v>237</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28861</v>
      </c>
      <c r="S149" s="284">
        <f t="shared" ca="1" si="32"/>
        <v>257</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27179</v>
      </c>
      <c r="S150" s="284">
        <f t="shared" ca="1" si="32"/>
        <v>220</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27179</v>
      </c>
      <c r="S151" s="284">
        <f t="shared" ca="1" si="32"/>
        <v>242</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27179</v>
      </c>
      <c r="S152" s="284">
        <f t="shared" ca="1" si="32"/>
        <v>220</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27179</v>
      </c>
      <c r="S153" s="284">
        <f t="shared" ca="1" si="32"/>
        <v>220</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28861</v>
      </c>
      <c r="S154" s="284">
        <f t="shared" ca="1" si="32"/>
        <v>237</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28020</v>
      </c>
      <c r="S155" s="284">
        <f t="shared" ca="1" si="32"/>
        <v>252</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28861</v>
      </c>
      <c r="S156" s="284">
        <f t="shared" ca="1" si="32"/>
        <v>257</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28861</v>
      </c>
      <c r="S157" s="284">
        <f t="shared" ca="1" si="32"/>
        <v>237</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28861</v>
      </c>
      <c r="S158" s="284">
        <f t="shared" ca="1" si="32"/>
        <v>237</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28861</v>
      </c>
      <c r="S159" s="284">
        <f t="shared" ca="1" si="32"/>
        <v>257</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27179</v>
      </c>
      <c r="S160" s="284">
        <f t="shared" ca="1" si="32"/>
        <v>220</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28020</v>
      </c>
      <c r="S161" s="284">
        <f t="shared" ca="1" si="32"/>
        <v>250</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28020</v>
      </c>
      <c r="S162" s="284">
        <f t="shared" ca="1" si="32"/>
        <v>250</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28861</v>
      </c>
      <c r="S163" s="284">
        <f t="shared" ca="1" si="32"/>
        <v>237</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28020</v>
      </c>
      <c r="S164" s="284">
        <f t="shared" ca="1" si="32"/>
        <v>250</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28020</v>
      </c>
      <c r="S165" s="284">
        <f t="shared" ca="1" si="32"/>
        <v>250</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28861</v>
      </c>
      <c r="S166" s="284">
        <f t="shared" ca="1" si="32"/>
        <v>237</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28861</v>
      </c>
      <c r="S167" s="284">
        <f t="shared" ca="1" si="32"/>
        <v>257</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28861</v>
      </c>
      <c r="S168" s="284">
        <f t="shared" ca="1" si="32"/>
        <v>257</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28020</v>
      </c>
      <c r="S169" s="284">
        <f t="shared" ca="1" si="32"/>
        <v>198</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zoomScale="115" zoomScaleNormal="100" zoomScaleSheetLayoutView="115" zoomScalePageLayoutView="80" workbookViewId="0">
      <selection activeCell="D45" sqref="D4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466</v>
      </c>
      <c r="D1" s="1780"/>
      <c r="E1" s="1780"/>
      <c r="F1" s="2135" t="s">
        <v>716</v>
      </c>
      <c r="G1" s="2136" t="s">
        <v>395</v>
      </c>
      <c r="H1" s="2135" t="str">
        <f>IF(G1="现房","——","估价对象范围")</f>
        <v>估价对象范围</v>
      </c>
      <c r="I1" s="2265" t="s">
        <v>717</v>
      </c>
    </row>
    <row r="2" spans="1:12" ht="21.75" customHeight="1" thickBot="1">
      <c r="A2" s="3211" t="str">
        <f>项目基本情况!S2</f>
        <v>北京市顺义区北小营镇顺义新城第30街区30-01-02地块R2二类居住用地出让国有建设用地使用权及在建建筑物房地产</v>
      </c>
      <c r="B2" s="3212"/>
      <c r="C2" s="3212"/>
      <c r="D2" s="3212"/>
      <c r="E2" s="3212"/>
      <c r="F2" s="3212"/>
      <c r="G2" s="3212"/>
      <c r="H2" s="3212"/>
      <c r="I2" s="3213"/>
    </row>
    <row r="3" spans="1:12" ht="12.75">
      <c r="A3" s="3214" t="s">
        <v>718</v>
      </c>
      <c r="B3" s="3215"/>
      <c r="C3" s="3215"/>
      <c r="D3" s="3215"/>
      <c r="E3" s="3215"/>
      <c r="F3" s="3215"/>
      <c r="G3" s="3215"/>
      <c r="H3" s="3215"/>
      <c r="I3" s="3215"/>
    </row>
    <row r="4" spans="1:12" ht="14.25">
      <c r="A4" s="2137" t="s">
        <v>719</v>
      </c>
      <c r="B4" s="2138" t="s">
        <v>720</v>
      </c>
      <c r="C4" s="2139" t="s">
        <v>3017</v>
      </c>
      <c r="D4" s="2139" t="s">
        <v>266</v>
      </c>
      <c r="E4" s="3216" t="s">
        <v>722</v>
      </c>
      <c r="F4" s="3217"/>
      <c r="G4" s="3217"/>
      <c r="H4" s="3217"/>
      <c r="I4" s="3218"/>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61" t="s">
        <v>723</v>
      </c>
      <c r="B5" s="3302">
        <v>25</v>
      </c>
      <c r="C5" s="3231"/>
      <c r="D5" s="3230"/>
      <c r="E5" s="1678" t="s">
        <v>724</v>
      </c>
      <c r="F5" s="2144"/>
      <c r="G5" s="2144"/>
      <c r="H5" s="2144"/>
      <c r="I5" s="1880"/>
    </row>
    <row r="6" spans="1:12" ht="12.75">
      <c r="A6" s="3261"/>
      <c r="B6" s="3302"/>
      <c r="C6" s="3232"/>
      <c r="D6" s="3230"/>
      <c r="E6" s="1678" t="s">
        <v>725</v>
      </c>
      <c r="F6" s="2144"/>
      <c r="G6" s="2144"/>
      <c r="H6" s="2144"/>
      <c r="I6" s="1880"/>
    </row>
    <row r="7" spans="1:12" ht="12.75">
      <c r="A7" s="3261"/>
      <c r="B7" s="3302"/>
      <c r="C7" s="3233"/>
      <c r="D7" s="3230"/>
      <c r="E7" s="1678" t="s">
        <v>726</v>
      </c>
      <c r="F7" s="2144"/>
      <c r="G7" s="2144"/>
      <c r="H7" s="2144"/>
      <c r="I7" s="1880"/>
    </row>
    <row r="8" spans="1:12" ht="12.75">
      <c r="A8" s="3261" t="s">
        <v>727</v>
      </c>
      <c r="B8" s="3302">
        <v>15</v>
      </c>
      <c r="C8" s="3231"/>
      <c r="D8" s="3230"/>
      <c r="E8" s="1678" t="s">
        <v>728</v>
      </c>
      <c r="F8" s="2144"/>
      <c r="G8" s="2144"/>
      <c r="H8" s="2144"/>
      <c r="I8" s="1880"/>
    </row>
    <row r="9" spans="1:12" ht="12.75">
      <c r="A9" s="3261"/>
      <c r="B9" s="3302"/>
      <c r="C9" s="3233"/>
      <c r="D9" s="3230"/>
      <c r="E9" s="1678" t="s">
        <v>729</v>
      </c>
      <c r="F9" s="2144"/>
      <c r="G9" s="2144"/>
      <c r="H9" s="2144"/>
      <c r="I9" s="1880"/>
    </row>
    <row r="10" spans="1:12" ht="12.75">
      <c r="A10" s="3261" t="s">
        <v>730</v>
      </c>
      <c r="B10" s="3302">
        <v>15</v>
      </c>
      <c r="C10" s="3231"/>
      <c r="D10" s="3230"/>
      <c r="E10" s="1678" t="s">
        <v>731</v>
      </c>
      <c r="F10" s="2144"/>
      <c r="G10" s="2144"/>
      <c r="H10" s="2144"/>
      <c r="I10" s="1880"/>
    </row>
    <row r="11" spans="1:12" ht="12.75">
      <c r="A11" s="3261"/>
      <c r="B11" s="3302"/>
      <c r="C11" s="3233"/>
      <c r="D11" s="3230"/>
      <c r="E11" s="1678" t="s">
        <v>732</v>
      </c>
      <c r="F11" s="2144"/>
      <c r="G11" s="2144"/>
      <c r="H11" s="2144"/>
      <c r="I11" s="1880"/>
    </row>
    <row r="12" spans="1:12" ht="12.75">
      <c r="A12" s="3261" t="s">
        <v>733</v>
      </c>
      <c r="B12" s="3302">
        <v>15</v>
      </c>
      <c r="C12" s="3231"/>
      <c r="D12" s="3230"/>
      <c r="E12" s="1678" t="s">
        <v>734</v>
      </c>
      <c r="F12" s="2144"/>
      <c r="G12" s="2144"/>
      <c r="H12" s="2144"/>
      <c r="I12" s="1880"/>
    </row>
    <row r="13" spans="1:12" ht="12.75">
      <c r="A13" s="3261"/>
      <c r="B13" s="3302"/>
      <c r="C13" s="3233"/>
      <c r="D13" s="3230"/>
      <c r="E13" s="1678" t="s">
        <v>735</v>
      </c>
      <c r="F13" s="2144"/>
      <c r="G13" s="2144"/>
      <c r="H13" s="2144"/>
      <c r="I13" s="1880"/>
    </row>
    <row r="14" spans="1:12" ht="12.75">
      <c r="A14" s="3261" t="s">
        <v>736</v>
      </c>
      <c r="B14" s="3302">
        <v>30</v>
      </c>
      <c r="C14" s="3231">
        <v>4</v>
      </c>
      <c r="D14" s="3230">
        <v>6</v>
      </c>
      <c r="E14" s="1678" t="s">
        <v>737</v>
      </c>
      <c r="F14" s="2144"/>
      <c r="G14" s="2144"/>
      <c r="H14" s="2144"/>
      <c r="I14" s="1880"/>
    </row>
    <row r="15" spans="1:12" ht="12.75">
      <c r="A15" s="3261"/>
      <c r="B15" s="3302"/>
      <c r="C15" s="3232"/>
      <c r="D15" s="3230"/>
      <c r="E15" s="1678" t="s">
        <v>738</v>
      </c>
      <c r="F15" s="2144"/>
      <c r="G15" s="2144"/>
      <c r="H15" s="2144"/>
      <c r="I15" s="1880"/>
    </row>
    <row r="16" spans="1:12" ht="12.75">
      <c r="A16" s="3261"/>
      <c r="B16" s="3302"/>
      <c r="C16" s="3233"/>
      <c r="D16" s="3230"/>
      <c r="E16" s="1678" t="s">
        <v>739</v>
      </c>
      <c r="F16" s="2144"/>
      <c r="G16" s="2144"/>
      <c r="H16" s="2144"/>
      <c r="I16" s="1880"/>
    </row>
    <row r="17" spans="1:36" ht="15">
      <c r="A17" s="2145" t="s">
        <v>740</v>
      </c>
      <c r="B17" s="2146"/>
      <c r="C17" s="2147">
        <f>SUM(C5:C16)</f>
        <v>4</v>
      </c>
      <c r="D17" s="2147">
        <f>SUM(D5:D16)</f>
        <v>6</v>
      </c>
      <c r="E17" s="274"/>
      <c r="F17" s="274"/>
      <c r="G17" s="274"/>
      <c r="H17" s="274"/>
      <c r="I17" s="274"/>
      <c r="K17" s="1638"/>
      <c r="L17" s="1638" t="s">
        <v>741</v>
      </c>
      <c r="M17" s="1638" t="s">
        <v>742</v>
      </c>
    </row>
    <row r="18" spans="1:36" ht="31.9" customHeight="1" thickBot="1">
      <c r="A18" s="2148" t="s">
        <v>743</v>
      </c>
      <c r="B18" s="2149"/>
      <c r="C18" s="2150">
        <f>ROUND(C17/SUM(C17:D17),2)</f>
        <v>0.4</v>
      </c>
      <c r="D18" s="2150">
        <f>1-C18</f>
        <v>0.6</v>
      </c>
      <c r="E18" s="3219" t="s">
        <v>744</v>
      </c>
      <c r="F18" s="3220"/>
      <c r="G18" s="3220"/>
      <c r="H18" s="3220"/>
      <c r="I18" s="3220"/>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1" t="s">
        <v>746</v>
      </c>
      <c r="C19" s="2152">
        <f ca="1">SUMIF(INDIRECT("'"&amp;C4&amp;"'"&amp;"!A:A"),结果表商!B19,INDIRECT("'"&amp;C4&amp;"'"&amp;"!B:B"))</f>
        <v>7791</v>
      </c>
      <c r="D19" s="2116">
        <f ca="1">SUMIF(INDIRECT("'"&amp;D4&amp;"'"&amp;"!A:A"),结果表商!B19,INDIRECT("'"&amp;D4&amp;"'"&amp;"!B:B"))</f>
        <v>4081</v>
      </c>
      <c r="E19" s="1086" t="s">
        <v>747</v>
      </c>
      <c r="F19" s="2151" t="s">
        <v>746</v>
      </c>
      <c r="G19" s="2153">
        <f ca="1">ROUND(C19*$C$18+D19*$D$18,0)</f>
        <v>5565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SUMIF(INDIRECT("'"&amp;C4&amp;"'"&amp;"!A:A"),结果表商!B20,INDIRECT("'"&amp;C4&amp;"'"&amp;"!B:B"))</f>
        <v>28803</v>
      </c>
      <c r="D20" s="1969">
        <f ca="1">SUMIF(INDIRECT("'"&amp;D4&amp;"'"&amp;"!A:A"),结果表商!B20,INDIRECT("'"&amp;D4&amp;"'"&amp;"!B:B"))</f>
        <v>15087</v>
      </c>
      <c r="E20" s="2155"/>
      <c r="F20" s="2156" t="s">
        <v>749</v>
      </c>
      <c r="G20" s="2157">
        <f ca="1">ROUND(C20*$C$18+D20*$D$18,0)</f>
        <v>20573</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0.90909090909090917</v>
      </c>
      <c r="E22" s="274"/>
      <c r="F22" s="274"/>
      <c r="G22" s="274"/>
      <c r="H22" s="274"/>
      <c r="I22" s="274"/>
      <c r="K22" s="232">
        <f ca="1">G19</f>
        <v>5565</v>
      </c>
      <c r="L22" s="232">
        <f ca="1">N59</f>
        <v>43608</v>
      </c>
    </row>
    <row r="23" spans="1:36" ht="13.5" thickBot="1">
      <c r="A23" s="1780"/>
      <c r="B23" s="1780"/>
      <c r="C23" s="1780"/>
      <c r="D23" s="1780"/>
      <c r="E23" s="274"/>
      <c r="F23" s="274"/>
      <c r="G23" s="274"/>
      <c r="H23" s="274"/>
      <c r="I23" s="274"/>
      <c r="K23" s="232">
        <f ca="1">K21-K22</f>
        <v>406940</v>
      </c>
      <c r="L23" s="232">
        <f ca="1">L21-L22</f>
        <v>356681</v>
      </c>
    </row>
    <row r="24" spans="1:36" ht="14.25">
      <c r="A24" s="3295" t="s">
        <v>753</v>
      </c>
      <c r="B24" s="2151" t="s">
        <v>746</v>
      </c>
      <c r="C24" s="2153">
        <f>IF(B30=0,0,D30)</f>
        <v>0</v>
      </c>
      <c r="D24" s="2167"/>
      <c r="E24" s="274"/>
      <c r="F24" s="274"/>
      <c r="G24" s="274"/>
      <c r="H24" s="274"/>
      <c r="I24" s="274"/>
    </row>
    <row r="25" spans="1:36" ht="14.25">
      <c r="A25" s="329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5565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2972</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2593</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7" t="s">
        <v>770</v>
      </c>
      <c r="B36" s="2196" t="s">
        <v>771</v>
      </c>
      <c r="C36" s="2197"/>
      <c r="D36" s="2198"/>
      <c r="E36" s="2199"/>
      <c r="F36" s="2200"/>
      <c r="G36" s="274"/>
      <c r="H36" s="274"/>
      <c r="I36" s="274"/>
    </row>
    <row r="37" spans="1:15" ht="15.75" thickBot="1">
      <c r="A37" s="3298"/>
      <c r="B37" s="2201" t="s">
        <v>772</v>
      </c>
      <c r="C37" s="2202"/>
      <c r="D37" s="2203"/>
      <c r="E37" s="2203"/>
      <c r="F37" s="2200"/>
      <c r="G37" s="274"/>
      <c r="H37" s="274"/>
      <c r="I37" s="274"/>
    </row>
    <row r="38" spans="1:15" ht="15.75" thickBot="1">
      <c r="A38" s="329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1" t="s">
        <v>781</v>
      </c>
      <c r="B45" s="3222"/>
      <c r="C45" s="3223"/>
      <c r="D45" s="1637">
        <f ca="1">工程进度!O6</f>
        <v>47420</v>
      </c>
      <c r="E45" s="2222" t="s">
        <v>782</v>
      </c>
      <c r="F45" s="2223">
        <v>1</v>
      </c>
      <c r="G45" s="1648" t="s">
        <v>783</v>
      </c>
      <c r="H45" s="274"/>
      <c r="I45" s="274"/>
      <c r="J45" s="3224" t="s">
        <v>784</v>
      </c>
      <c r="K45" s="3224"/>
      <c r="L45" s="3224"/>
      <c r="M45" s="3224"/>
      <c r="N45" s="3224"/>
      <c r="O45" s="3224"/>
    </row>
    <row r="46" spans="1:15" ht="14.25" customHeight="1">
      <c r="A46" s="3225" t="s">
        <v>785</v>
      </c>
      <c r="B46" s="3226"/>
      <c r="C46" s="3226"/>
      <c r="D46" s="3226"/>
      <c r="E46" s="3226"/>
      <c r="F46" s="3226"/>
      <c r="G46" s="3227"/>
      <c r="H46" s="2224"/>
      <c r="I46" s="275"/>
      <c r="J46" s="3058">
        <v>1</v>
      </c>
      <c r="K46" s="3228" t="s">
        <v>786</v>
      </c>
      <c r="L46" s="3228"/>
      <c r="M46" s="3229"/>
      <c r="N46" s="3229"/>
      <c r="O46" s="3229"/>
    </row>
    <row r="47" spans="1:15" ht="12" customHeight="1">
      <c r="A47" s="2225" t="s">
        <v>787</v>
      </c>
      <c r="B47" s="2226"/>
      <c r="C47" s="2227"/>
      <c r="D47" s="1687" t="s">
        <v>788</v>
      </c>
      <c r="E47" s="1638" t="s">
        <v>789</v>
      </c>
      <c r="F47" s="2228" t="s">
        <v>790</v>
      </c>
      <c r="G47" s="2229" t="s">
        <v>791</v>
      </c>
      <c r="H47" s="2230"/>
      <c r="I47" s="275"/>
      <c r="J47" s="3058">
        <v>2</v>
      </c>
      <c r="K47" s="3228" t="s">
        <v>792</v>
      </c>
      <c r="L47" s="3228"/>
      <c r="M47" s="3234">
        <f>'数据-取费表'!B2</f>
        <v>45475</v>
      </c>
      <c r="N47" s="3234"/>
      <c r="O47" s="3234"/>
    </row>
    <row r="48" spans="1:15" ht="25.5">
      <c r="A48" s="3235" t="s">
        <v>793</v>
      </c>
      <c r="B48" s="3236"/>
      <c r="C48" s="3236"/>
      <c r="D48" s="3061">
        <f ca="1">IF(H48="情况1",0,IF(H48="情况2",D52,IF(H48="情况3",D53,IF(H48="情况4",D54))))</f>
        <v>2484</v>
      </c>
      <c r="E48" s="3055" t="str">
        <f>IF(H48="情况4","(销售额-原购置价)×税（费）率","销售额×税（费）率")</f>
        <v>销售额×税（费）率</v>
      </c>
      <c r="F48" s="2232">
        <f>IF(H48="情况1","免征",'数据-取费表'!B41)</f>
        <v>5.5E-2</v>
      </c>
      <c r="G48" s="2233" t="s">
        <v>794</v>
      </c>
      <c r="H48" s="2234" t="s">
        <v>795</v>
      </c>
      <c r="I48" s="2224"/>
      <c r="J48" s="3058">
        <v>3</v>
      </c>
      <c r="K48" s="3228" t="s">
        <v>796</v>
      </c>
      <c r="L48" s="3228"/>
      <c r="M48" s="3237">
        <f ca="1">D45</f>
        <v>47420</v>
      </c>
      <c r="N48" s="3237"/>
      <c r="O48" s="3237"/>
    </row>
    <row r="49" spans="1:35" ht="25.5" customHeight="1">
      <c r="A49" s="3054" t="s">
        <v>797</v>
      </c>
      <c r="B49" s="3238" t="s">
        <v>798</v>
      </c>
      <c r="C49" s="3238"/>
      <c r="D49" s="2235">
        <v>0</v>
      </c>
      <c r="E49" s="1697" t="s">
        <v>799</v>
      </c>
      <c r="F49" s="3051" t="s">
        <v>124</v>
      </c>
      <c r="G49" s="3244"/>
      <c r="H49" s="2237" t="s">
        <v>800</v>
      </c>
      <c r="I49" s="2274"/>
      <c r="J49" s="3058">
        <v>4</v>
      </c>
      <c r="K49" s="3228" t="str">
        <f>IF(项目基本情况!E8="房地产抵押价值","房地产抵押价值","抵押担保权已注销时的房地产抵押价值")</f>
        <v>房地产抵押价值</v>
      </c>
      <c r="L49" s="3228"/>
      <c r="M49" s="3237">
        <f ca="1">M48</f>
        <v>47420</v>
      </c>
      <c r="N49" s="3237"/>
      <c r="O49" s="3237"/>
    </row>
    <row r="50" spans="1:35" ht="25.5" customHeight="1">
      <c r="A50" s="2238"/>
      <c r="B50" s="3238" t="s">
        <v>801</v>
      </c>
      <c r="C50" s="3238"/>
      <c r="D50" s="2239"/>
      <c r="E50" s="1712"/>
      <c r="F50" s="3051"/>
      <c r="G50" s="3245"/>
      <c r="H50" s="2240" t="s">
        <v>802</v>
      </c>
      <c r="I50" s="2274"/>
      <c r="J50" s="3224" t="s">
        <v>803</v>
      </c>
      <c r="K50" s="3224"/>
      <c r="L50" s="3224"/>
      <c r="M50" s="3224"/>
      <c r="N50" s="3224"/>
      <c r="O50" s="3224"/>
    </row>
    <row r="51" spans="1:35" ht="20.45" customHeight="1">
      <c r="A51" s="2241"/>
      <c r="B51" s="3238" t="s">
        <v>804</v>
      </c>
      <c r="C51" s="3238"/>
      <c r="D51" s="1687"/>
      <c r="E51" s="1701"/>
      <c r="F51" s="3051"/>
      <c r="G51" s="3246"/>
      <c r="H51" s="2240" t="s">
        <v>805</v>
      </c>
      <c r="I51" s="2274"/>
      <c r="J51" s="3053" t="s">
        <v>806</v>
      </c>
      <c r="K51" s="3228" t="s">
        <v>807</v>
      </c>
      <c r="L51" s="3228"/>
      <c r="M51" s="3053" t="s">
        <v>808</v>
      </c>
      <c r="N51" s="3053" t="s">
        <v>809</v>
      </c>
      <c r="O51" s="3053" t="s">
        <v>810</v>
      </c>
    </row>
    <row r="52" spans="1:35" ht="24" customHeight="1">
      <c r="A52" s="3060" t="s">
        <v>811</v>
      </c>
      <c r="B52" s="3238" t="s">
        <v>812</v>
      </c>
      <c r="C52" s="3238"/>
      <c r="D52" s="1687">
        <f ca="1">ROUND(D45*'数据-取费表'!B41/(1+'数据-取费表'!C42),0)</f>
        <v>2484</v>
      </c>
      <c r="E52" s="3055" t="s">
        <v>813</v>
      </c>
      <c r="F52" s="2243">
        <f>'数据-取费表'!B41</f>
        <v>5.5E-2</v>
      </c>
      <c r="G52" s="2244"/>
      <c r="H52" s="1801"/>
      <c r="I52" s="2275"/>
      <c r="J52" s="3058">
        <v>1</v>
      </c>
      <c r="K52" s="3240" t="s">
        <v>814</v>
      </c>
      <c r="L52" s="3240"/>
      <c r="M52" s="2276">
        <f ca="1">D48</f>
        <v>2484</v>
      </c>
      <c r="N52" s="3058" t="str">
        <f>E48</f>
        <v>销售额×税（费）率</v>
      </c>
      <c r="O52" s="2277">
        <f>F48</f>
        <v>5.5E-2</v>
      </c>
    </row>
    <row r="53" spans="1:35" ht="12" customHeight="1">
      <c r="A53" s="3060" t="s">
        <v>815</v>
      </c>
      <c r="B53" s="3241" t="s">
        <v>816</v>
      </c>
      <c r="C53" s="3242"/>
      <c r="D53" s="1687">
        <f ca="1">ROUND(D45*'数据-取费表'!B41/(1+'数据-取费表'!C42),0)</f>
        <v>2484</v>
      </c>
      <c r="E53" s="3055" t="s">
        <v>813</v>
      </c>
      <c r="F53" s="2243">
        <f>'数据-取费表'!B41</f>
        <v>5.5E-2</v>
      </c>
      <c r="G53" s="2244"/>
      <c r="H53" s="1801"/>
      <c r="I53" s="2275"/>
      <c r="J53" s="3058">
        <v>2</v>
      </c>
      <c r="K53" s="3240" t="s">
        <v>817</v>
      </c>
      <c r="L53" s="3240"/>
      <c r="M53" s="2276">
        <f t="shared" ref="M53:O54" ca="1" si="0">D55</f>
        <v>24</v>
      </c>
      <c r="N53" s="3058" t="str">
        <f t="shared" si="0"/>
        <v>销售额×税（费）率</v>
      </c>
      <c r="O53" s="2277">
        <f t="shared" si="0"/>
        <v>5.0000000000000001E-4</v>
      </c>
    </row>
    <row r="54" spans="1:35" ht="12" customHeight="1">
      <c r="A54" s="3060" t="s">
        <v>818</v>
      </c>
      <c r="B54" s="3241" t="s">
        <v>819</v>
      </c>
      <c r="C54" s="3242"/>
      <c r="D54" s="1687">
        <f ca="1">C68</f>
        <v>2484</v>
      </c>
      <c r="E54" s="1701" t="s">
        <v>820</v>
      </c>
      <c r="F54" s="2243">
        <f>'数据-取费表'!B41</f>
        <v>5.5E-2</v>
      </c>
      <c r="G54" s="2244"/>
      <c r="H54" s="2245"/>
      <c r="I54" s="2275"/>
      <c r="J54" s="3058">
        <v>3</v>
      </c>
      <c r="K54" s="3240" t="s">
        <v>821</v>
      </c>
      <c r="L54" s="3240"/>
      <c r="M54" s="2276">
        <f t="shared" ca="1" si="0"/>
        <v>1304</v>
      </c>
      <c r="N54" s="3058" t="str">
        <f t="shared" si="0"/>
        <v>增值额×税（费）率</v>
      </c>
      <c r="O54" s="2278" t="str">
        <f t="shared" si="0"/>
        <v>——</v>
      </c>
    </row>
    <row r="55" spans="1:35" ht="24" customHeight="1">
      <c r="A55" s="3243" t="s">
        <v>822</v>
      </c>
      <c r="B55" s="3236"/>
      <c r="C55" s="3236"/>
      <c r="D55" s="3061">
        <f ca="1">IF(H55="个人住宅",0,ROUND(D45*I55,0))</f>
        <v>24</v>
      </c>
      <c r="E55" s="3055" t="s">
        <v>823</v>
      </c>
      <c r="F55" s="2243">
        <f>IF(H55="正常",I55,"免征")</f>
        <v>5.0000000000000001E-4</v>
      </c>
      <c r="G55" s="2244"/>
      <c r="H55" s="2234" t="s">
        <v>824</v>
      </c>
      <c r="I55" s="2279">
        <f>'数据-取费表'!B49</f>
        <v>5.0000000000000001E-4</v>
      </c>
      <c r="J55" s="3058" t="str">
        <f>IF(H59="非个人房产","",4)</f>
        <v/>
      </c>
      <c r="K55" s="3240" t="str">
        <f>IF(H59="非个人房产","——","个人所得税")</f>
        <v>——</v>
      </c>
      <c r="L55" s="3240"/>
      <c r="M55" s="2280" t="str">
        <f>D59</f>
        <v>——</v>
      </c>
      <c r="N55" s="3064" t="str">
        <f>E59</f>
        <v>——</v>
      </c>
      <c r="O55" s="2281" t="str">
        <f>F59</f>
        <v>——</v>
      </c>
    </row>
    <row r="56" spans="1:35" ht="24.75">
      <c r="A56" s="3243" t="s">
        <v>825</v>
      </c>
      <c r="B56" s="3236"/>
      <c r="C56" s="3236"/>
      <c r="D56" s="3061">
        <f ca="1">IF(H56="个人住宅",D57,D58)</f>
        <v>1304</v>
      </c>
      <c r="E56" s="3055" t="s">
        <v>826</v>
      </c>
      <c r="F56" s="2243" t="str">
        <f>IF(H56="正常",F58,"免征")</f>
        <v>——</v>
      </c>
      <c r="G56" s="2246" t="s">
        <v>827</v>
      </c>
      <c r="H56" s="2247" t="s">
        <v>824</v>
      </c>
      <c r="I56" s="2256"/>
      <c r="J56" s="3058" t="str">
        <f>IF(项目基本情况!K6="上海银行",IF(J55="",4,J55+1),"")</f>
        <v/>
      </c>
      <c r="K56" s="3247" t="str">
        <f>IF(项目基本情况!K6="上海银行","其他处置费用","")</f>
        <v/>
      </c>
      <c r="L56" s="3248"/>
      <c r="M56" s="2276" t="str">
        <f>IF(项目基本情况!K6="上海银行",M69,"")</f>
        <v/>
      </c>
      <c r="N56" s="3247" t="str">
        <f>IF(项目基本情况!K6="上海银行","包含处置中涉及的律师、诉讼、拍卖、评估等费用","")</f>
        <v/>
      </c>
      <c r="O56" s="3249"/>
    </row>
    <row r="57" spans="1:35" ht="12.75">
      <c r="A57" s="3060" t="s">
        <v>797</v>
      </c>
      <c r="B57" s="3241" t="s">
        <v>828</v>
      </c>
      <c r="C57" s="3242"/>
      <c r="D57" s="2235">
        <v>0</v>
      </c>
      <c r="E57" s="1697" t="s">
        <v>799</v>
      </c>
      <c r="F57" s="1638"/>
      <c r="G57" s="2244"/>
      <c r="H57" s="2248"/>
      <c r="I57" s="2256"/>
      <c r="J57" s="3240">
        <f>IF(AND(J55="",J56=""),4,IF(项目基本情况!K6="上海银行",结果表商!J56+1,结果表商!J55+1))</f>
        <v>4</v>
      </c>
      <c r="K57" s="3240" t="s">
        <v>829</v>
      </c>
      <c r="L57" s="2282" t="s">
        <v>830</v>
      </c>
      <c r="M57" s="2283"/>
      <c r="N57" s="2284">
        <f ca="1">SUMIF(M52:M56,"&lt;9e307")</f>
        <v>3812</v>
      </c>
      <c r="O57" s="2285"/>
      <c r="P57" s="2286">
        <f ca="1">N57/M49</f>
        <v>8.0388021931674394E-2</v>
      </c>
    </row>
    <row r="58" spans="1:35" ht="24.75">
      <c r="A58" s="3060" t="s">
        <v>811</v>
      </c>
      <c r="B58" s="3241" t="s">
        <v>831</v>
      </c>
      <c r="C58" s="3238"/>
      <c r="D58" s="3061">
        <f ca="1">IF(H58="转让取得",C81,C97)</f>
        <v>1304</v>
      </c>
      <c r="E58" s="3055" t="s">
        <v>826</v>
      </c>
      <c r="F58" s="1638" t="s">
        <v>124</v>
      </c>
      <c r="G58" s="2244"/>
      <c r="H58" s="2247" t="s">
        <v>832</v>
      </c>
      <c r="I58" s="2256"/>
      <c r="J58" s="3240"/>
      <c r="K58" s="3240"/>
      <c r="L58" s="2282" t="s">
        <v>833</v>
      </c>
      <c r="M58" s="2287"/>
      <c r="N58" s="2288" t="str">
        <f ca="1">NUMBERSTRING(INT(N57*10000),2)&amp;"元整"</f>
        <v>叁仟捌佰壹拾贰万元整</v>
      </c>
      <c r="O58" s="2289"/>
    </row>
    <row r="59" spans="1:35" ht="24.75" thickBot="1">
      <c r="A59" s="3250" t="s">
        <v>834</v>
      </c>
      <c r="B59" s="3251"/>
      <c r="C59" s="3251"/>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5">
        <f>J57+1</f>
        <v>5</v>
      </c>
      <c r="K59" s="3240" t="s">
        <v>837</v>
      </c>
      <c r="L59" s="3058" t="s">
        <v>830</v>
      </c>
      <c r="M59" s="2291"/>
      <c r="N59" s="2292">
        <f ca="1">M49-N57</f>
        <v>43608</v>
      </c>
      <c r="O59" s="2293"/>
    </row>
    <row r="60" spans="1:35" ht="12" customHeight="1">
      <c r="A60" s="2254"/>
      <c r="B60" s="1780"/>
      <c r="C60" s="1780"/>
      <c r="D60" s="1780"/>
      <c r="E60" s="2255"/>
      <c r="F60" s="2256"/>
      <c r="G60" s="2256"/>
      <c r="H60" s="275"/>
      <c r="I60" s="274"/>
      <c r="J60" s="3256"/>
      <c r="K60" s="3240"/>
      <c r="L60" s="2282" t="s">
        <v>833</v>
      </c>
      <c r="M60" s="2287"/>
      <c r="N60" s="2288" t="str">
        <f ca="1">NUMBERSTRING(INT(N59*10000),2)&amp;"元整"</f>
        <v>肆亿叁仟陆佰零捌万元整</v>
      </c>
      <c r="O60" s="2289"/>
    </row>
    <row r="61" spans="1:35" ht="13.5" thickBot="1">
      <c r="A61" s="3252" t="s">
        <v>838</v>
      </c>
      <c r="B61" s="3252"/>
      <c r="C61" s="3252"/>
      <c r="D61" s="3252"/>
      <c r="E61" s="3252"/>
      <c r="F61" s="2256"/>
      <c r="G61" s="2256"/>
      <c r="H61" s="275"/>
      <c r="I61" s="274"/>
      <c r="J61" s="3058">
        <f>J59+1</f>
        <v>6</v>
      </c>
      <c r="K61" s="3240" t="s">
        <v>839</v>
      </c>
      <c r="L61" s="3240"/>
      <c r="M61" s="2294"/>
      <c r="N61" s="2295">
        <f ca="1">ROUND(N59*10000/'数据-汇总表'!E3,0)</f>
        <v>8827</v>
      </c>
      <c r="O61" s="2296"/>
    </row>
    <row r="62" spans="1:35" ht="12.75">
      <c r="A62" s="3253" t="s">
        <v>840</v>
      </c>
      <c r="B62" s="3254"/>
      <c r="C62" s="3063"/>
      <c r="D62" s="3063" t="s">
        <v>841</v>
      </c>
      <c r="E62" s="2257" t="s">
        <v>791</v>
      </c>
      <c r="F62" s="2256"/>
      <c r="G62" s="2256"/>
      <c r="H62" s="275"/>
      <c r="I62" s="274"/>
    </row>
    <row r="63" spans="1:35" ht="12.75">
      <c r="A63" s="2258" t="s">
        <v>842</v>
      </c>
      <c r="B63" s="2259" t="s">
        <v>843</v>
      </c>
      <c r="C63" s="2260">
        <f ca="1">ROUND((C64+C65)/(1+'数据-取费表'!C42),0)</f>
        <v>45162</v>
      </c>
      <c r="D63" s="2259"/>
      <c r="E63" s="2261"/>
      <c r="F63" s="2256"/>
      <c r="G63" s="2256"/>
      <c r="H63" s="275"/>
      <c r="I63" s="274"/>
      <c r="J63" s="3239" t="s">
        <v>844</v>
      </c>
      <c r="K63" s="3057" t="s">
        <v>845</v>
      </c>
      <c r="L63" s="3057">
        <f ca="1">IF(M49&gt;10000,M49*0.5%,IF(AND(M49&gt;1000,M49&lt;=10000),M49*1%,IF(AND(M49&gt;100,M49&lt;=1000),M49*3%,IF(AND(M49&gt;10,M49&lt;=100),M49*5%,M49*8%))))</f>
        <v>237.1</v>
      </c>
      <c r="M63" s="1638">
        <f ca="1">ROUND(L63,1)</f>
        <v>237.1</v>
      </c>
      <c r="N63" s="2298"/>
      <c r="Z63" s="2131"/>
      <c r="AI63" s="2132"/>
    </row>
    <row r="64" spans="1:35" ht="14.25" customHeight="1">
      <c r="A64" s="2262" t="s">
        <v>846</v>
      </c>
      <c r="B64" s="561" t="s">
        <v>847</v>
      </c>
      <c r="C64" s="2263">
        <f ca="1">D45</f>
        <v>47420</v>
      </c>
      <c r="D64" s="561" t="s">
        <v>124</v>
      </c>
      <c r="E64" s="2264"/>
      <c r="F64" s="2256"/>
      <c r="G64" s="2256"/>
      <c r="H64" s="275"/>
      <c r="I64" s="274"/>
      <c r="J64" s="3239"/>
      <c r="K64" s="3057" t="s">
        <v>848</v>
      </c>
      <c r="L64" s="3057">
        <f ca="1">IF(M49&gt;2000,M49*0.5%,IF(AND(M49&gt;1000,M49&lt;=2000),M49*0.6%,IF(AND(M49&gt;500,M49&lt;=1000),M49*0.7%,IF(AND(M49&gt;200,M49&lt;=500),M49*0.8%,IF(AND(M49&gt;100,M49&lt;=200),M49*0.9%,IF(AND(M49&gt;50,M49&lt;=100),M49*1%,IF(AND(M49&gt;20,M49&lt;=50),M49*1.5%,IF(AND(M49&gt;10,M49&lt;=20),M49*2%,IF(AND(M49&gt;1,M49&lt;=10),M49*2.5%)))))))))</f>
        <v>237.1</v>
      </c>
      <c r="M64" s="1638">
        <f t="shared" ref="M64:M65" ca="1" si="1">ROUND(L64,1)</f>
        <v>237.1</v>
      </c>
      <c r="N64" s="1801" t="s">
        <v>849</v>
      </c>
      <c r="Z64" s="2131"/>
      <c r="AI64" s="2132"/>
    </row>
    <row r="65" spans="1:35" ht="14.25" customHeight="1">
      <c r="A65" s="2262" t="s">
        <v>850</v>
      </c>
      <c r="B65" s="561" t="s">
        <v>851</v>
      </c>
      <c r="C65" s="2300"/>
      <c r="D65" s="561"/>
      <c r="E65" s="2264"/>
      <c r="F65" s="2256"/>
      <c r="G65" s="2256"/>
      <c r="H65" s="275"/>
      <c r="I65" s="274"/>
      <c r="J65" s="3239"/>
      <c r="K65" s="3057" t="s">
        <v>852</v>
      </c>
      <c r="L65" s="3057">
        <f ca="1">IF(M49&gt;1000,M49*0.1%,IF(AND(M49&gt;500,M49&lt;=1000),M49*0.5%,IF(AND(M49&gt;50,M49&lt;=500),M49*1%,IF(AND(M49&gt;1,M49&lt;=50),M49*1.5%))))</f>
        <v>47.42</v>
      </c>
      <c r="M65" s="1638">
        <f t="shared" ca="1" si="1"/>
        <v>47.4</v>
      </c>
      <c r="N65" s="1801" t="s">
        <v>849</v>
      </c>
      <c r="Z65" s="2131"/>
      <c r="AI65" s="2132"/>
    </row>
    <row r="66" spans="1:35" ht="14.25" customHeight="1">
      <c r="A66" s="2258" t="s">
        <v>853</v>
      </c>
      <c r="B66" s="2301" t="s">
        <v>854</v>
      </c>
      <c r="C66" s="2302"/>
      <c r="D66" s="2301" t="s">
        <v>124</v>
      </c>
      <c r="E66" s="2303" t="s">
        <v>855</v>
      </c>
      <c r="F66" s="2256"/>
      <c r="G66" s="2256"/>
      <c r="H66" s="275"/>
      <c r="I66" s="274"/>
      <c r="J66" s="3239"/>
      <c r="K66" s="3057" t="s">
        <v>856</v>
      </c>
      <c r="L66" s="3057">
        <f ca="1">M49*0.5%</f>
        <v>237.1</v>
      </c>
      <c r="M66" s="1638">
        <f ca="1">IF(L66&gt;0.5,0.5,ROUND(L66,0))</f>
        <v>0.5</v>
      </c>
      <c r="N66" s="1801" t="s">
        <v>857</v>
      </c>
      <c r="Z66" s="2131"/>
      <c r="AI66" s="2132"/>
    </row>
    <row r="67" spans="1:35" ht="14.25" customHeight="1">
      <c r="A67" s="2258" t="s">
        <v>858</v>
      </c>
      <c r="B67" s="2301" t="s">
        <v>859</v>
      </c>
      <c r="C67" s="2304">
        <f ca="1">C63-C66</f>
        <v>45162</v>
      </c>
      <c r="D67" s="561" t="s">
        <v>124</v>
      </c>
      <c r="E67" s="2264"/>
      <c r="F67" s="2256"/>
      <c r="G67" s="2256"/>
      <c r="H67" s="275"/>
      <c r="I67" s="274"/>
      <c r="J67" s="3239"/>
      <c r="K67" s="3057" t="s">
        <v>860</v>
      </c>
      <c r="L67" s="3057">
        <f ca="1">IF(M49&gt;=10000,(8.25+(M49-10000)*0.01%),IF(AND(M49&gt;=8000,M49&lt;10000),(7.85+(M49-8000)*0.02%),IF(AND(M49&gt;=5000,M49&lt;8000),(6.65+(M49-5000)*0.04%),IF(AND(M49&gt;=2000,M49&lt;5000),(4.25+(PM49-2000)*0.08%),IF(AND(M49&gt;=1000,M49&lt;2000),(2.75+(M49-1000)*0.15%),IF(AND(M49&gt;=100,M49&lt;1000),(0.5+(M49-100)*0.25%),IF(AND(M49&gt;0,M49&lt;100),M49*0.5%)))))))</f>
        <v>11.992000000000001</v>
      </c>
      <c r="M67" s="1638">
        <f ca="1">ROUND(L67*0.9,1)</f>
        <v>10.8</v>
      </c>
      <c r="N67" s="2298"/>
      <c r="Z67" s="2131"/>
      <c r="AI67" s="2132"/>
    </row>
    <row r="68" spans="1:35" ht="14.25" customHeight="1" thickBot="1">
      <c r="A68" s="2305" t="s">
        <v>861</v>
      </c>
      <c r="B68" s="2306" t="s">
        <v>862</v>
      </c>
      <c r="C68" s="2307">
        <f ca="1">IF(C67&lt;=0,0,ROUND(C67*D68,0))</f>
        <v>2484</v>
      </c>
      <c r="D68" s="2308">
        <f>'数据-取费表'!B41</f>
        <v>5.5E-2</v>
      </c>
      <c r="E68" s="2309"/>
      <c r="F68" s="2256"/>
      <c r="G68" s="2256"/>
      <c r="H68" s="275"/>
      <c r="I68" s="274"/>
      <c r="J68" s="3239"/>
      <c r="K68" s="3057" t="s">
        <v>863</v>
      </c>
      <c r="L68" s="3057">
        <f ca="1">IF(M49&gt;10000,M49*0.5%,IF(AND(M49&gt;5000,M49&lt;=10000),M49*1%,IF(AND(M49&gt;1000,M49&lt;=5000),M49*2%,IF(AND(M49&gt;200,M49&lt;=1000),M49*3%,M49*5%))))</f>
        <v>237.1</v>
      </c>
      <c r="M68" s="1638">
        <f ca="1">ROUND(L68,1)</f>
        <v>237.1</v>
      </c>
      <c r="N68" s="2298"/>
      <c r="Z68" s="2131"/>
      <c r="AI68" s="2132"/>
    </row>
    <row r="69" spans="1:35" ht="16.5" customHeight="1">
      <c r="A69" s="2310"/>
      <c r="B69" s="2311"/>
      <c r="C69" s="2312"/>
      <c r="D69" s="712"/>
      <c r="E69" s="2313"/>
      <c r="F69" s="2255"/>
      <c r="G69" s="2255"/>
      <c r="H69" s="2216"/>
      <c r="I69" s="1780"/>
      <c r="J69" s="3239"/>
      <c r="K69" s="3057" t="s">
        <v>864</v>
      </c>
      <c r="L69" s="3057"/>
      <c r="M69" s="1638">
        <f ca="1">ROUND(SUM(M63:M68),0)</f>
        <v>770</v>
      </c>
      <c r="N69" s="2375">
        <f ca="1">M69/M49</f>
        <v>1.6237874314635175E-2</v>
      </c>
      <c r="Z69" s="2131"/>
      <c r="AI69" s="2132"/>
    </row>
    <row r="70" spans="1:35" s="464" customFormat="1" ht="15" thickBot="1">
      <c r="A70" s="3280" t="s">
        <v>865</v>
      </c>
      <c r="B70" s="3281"/>
      <c r="C70" s="3281"/>
      <c r="D70" s="3281"/>
      <c r="E70" s="3281"/>
      <c r="F70" s="3281"/>
      <c r="G70" s="3281"/>
      <c r="H70" s="3281"/>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3" t="s">
        <v>840</v>
      </c>
      <c r="B71" s="3254"/>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45162</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226</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1" t="s">
        <v>875</v>
      </c>
      <c r="F76" s="3238"/>
      <c r="G76" s="3238"/>
      <c r="H76" s="3282"/>
      <c r="I76" s="2378"/>
      <c r="J76" s="2377"/>
      <c r="K76" s="3086">
        <f>工程进度!F6+工程进度!G6</f>
        <v>14075.87</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3086">
        <f>工程进度!H6</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226</v>
      </c>
      <c r="D78" s="2329">
        <f>'数据-取费表'!B43</f>
        <v>5.0000000000000001E-3</v>
      </c>
      <c r="E78" s="3283" t="s">
        <v>882</v>
      </c>
      <c r="F78" s="3284"/>
      <c r="G78" s="3284"/>
      <c r="H78" s="3285"/>
      <c r="I78" s="2380"/>
      <c r="J78" s="2377"/>
      <c r="K78" s="3086">
        <f>工程进度!I6</f>
        <v>31571.54</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44936</v>
      </c>
      <c r="D79" s="561" t="s">
        <v>124</v>
      </c>
      <c r="E79" s="3059"/>
      <c r="F79" s="3056"/>
      <c r="G79" s="3056"/>
      <c r="H79" s="2317"/>
      <c r="I79" s="2378"/>
      <c r="J79" s="2377"/>
      <c r="K79" s="2377">
        <f>K76+K77+K78</f>
        <v>46016.600000000006</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198.83185840707964</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26883</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0" t="s">
        <v>887</v>
      </c>
      <c r="B83" s="3281"/>
      <c r="C83" s="3281"/>
      <c r="D83" s="3281"/>
      <c r="E83" s="3281"/>
      <c r="F83" s="3281"/>
      <c r="G83" s="3281"/>
      <c r="H83" s="3281"/>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3" t="s">
        <v>840</v>
      </c>
      <c r="B84" s="3254"/>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45162</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40817.455000000002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23705</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23003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702</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2" t="s">
        <v>896</v>
      </c>
      <c r="H90" s="3293"/>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7519.4549999999999</v>
      </c>
      <c r="D91" s="2329"/>
      <c r="E91" s="3283" t="s">
        <v>900</v>
      </c>
      <c r="F91" s="3284"/>
      <c r="G91" s="3284"/>
      <c r="H91" s="2348" t="s">
        <v>3049</v>
      </c>
      <c r="I91" s="3087">
        <f>(4500*K76+3500*结果表!K76+3500*结果表!K78)/10000</f>
        <v>7519.4549999999999</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3122</v>
      </c>
      <c r="D92" s="2349">
        <v>0.1</v>
      </c>
      <c r="E92" s="3283" t="s">
        <v>903</v>
      </c>
      <c r="F92" s="3284"/>
      <c r="G92" s="3284"/>
      <c r="H92" s="3285"/>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226</v>
      </c>
      <c r="D93" s="2329">
        <f>'数据-取费表'!B43</f>
        <v>5.0000000000000001E-3</v>
      </c>
      <c r="E93" s="3283" t="s">
        <v>882</v>
      </c>
      <c r="F93" s="3284"/>
      <c r="G93" s="3284"/>
      <c r="H93" s="3285"/>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6245</v>
      </c>
      <c r="D94" s="2329">
        <v>0.2</v>
      </c>
      <c r="E94" s="3305" t="s">
        <v>908</v>
      </c>
      <c r="F94" s="3306"/>
      <c r="G94" s="3306"/>
      <c r="H94" s="3307"/>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4345</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0.10644955693587461</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1304</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9" t="s">
        <v>910</v>
      </c>
      <c r="B100" s="3200"/>
      <c r="C100" s="3200"/>
      <c r="D100" s="3268"/>
      <c r="E100" s="3200" t="s">
        <v>911</v>
      </c>
      <c r="F100" s="3200"/>
      <c r="G100" s="3200"/>
      <c r="H100" s="3268"/>
      <c r="I100" s="274"/>
    </row>
    <row r="101" spans="1:35" ht="18.75" customHeight="1">
      <c r="A101" s="3269" t="s">
        <v>912</v>
      </c>
      <c r="B101" s="3270"/>
      <c r="C101" s="2352" t="str">
        <f>C4</f>
        <v>成本法商</v>
      </c>
      <c r="D101" s="2353" t="str">
        <f>D4</f>
        <v>收益法商</v>
      </c>
      <c r="E101" s="3291" t="s">
        <v>913</v>
      </c>
      <c r="F101" s="3287"/>
      <c r="G101" s="2355" t="s">
        <v>914</v>
      </c>
      <c r="H101" s="2356">
        <f ca="1">H118</f>
        <v>5565</v>
      </c>
      <c r="I101" s="274"/>
    </row>
    <row r="102" spans="1:35" ht="18.75" customHeight="1">
      <c r="A102" s="3300" t="s">
        <v>915</v>
      </c>
      <c r="B102" s="2357" t="s">
        <v>914</v>
      </c>
      <c r="C102" s="2352">
        <f ca="1">C19</f>
        <v>7791</v>
      </c>
      <c r="D102" s="2353">
        <f ca="1">D19</f>
        <v>4081</v>
      </c>
      <c r="E102" s="3291"/>
      <c r="F102" s="3287"/>
      <c r="G102" s="2355" t="s">
        <v>99</v>
      </c>
      <c r="H102" s="2244">
        <f ca="1">I118</f>
        <v>20574</v>
      </c>
      <c r="I102" s="274"/>
    </row>
    <row r="103" spans="1:35" ht="42.75" customHeight="1">
      <c r="A103" s="3300"/>
      <c r="B103" s="2357" t="s">
        <v>99</v>
      </c>
      <c r="C103" s="2358">
        <f ca="1">C20</f>
        <v>28803</v>
      </c>
      <c r="D103" s="2359">
        <f ca="1">D20</f>
        <v>15087</v>
      </c>
      <c r="E103" s="3271" t="s">
        <v>916</v>
      </c>
      <c r="F103" s="3272"/>
      <c r="G103" s="2360" t="s">
        <v>102</v>
      </c>
      <c r="H103" s="2356">
        <f>IF(D36="正常操作",H104+H105+H106,H105+H106)</f>
        <v>0</v>
      </c>
      <c r="I103" s="274"/>
    </row>
    <row r="104" spans="1:35" ht="18.75" customHeight="1">
      <c r="A104" s="3300" t="s">
        <v>917</v>
      </c>
      <c r="B104" s="2361" t="s">
        <v>914</v>
      </c>
      <c r="C104" s="2362">
        <f ca="1">H118</f>
        <v>5565</v>
      </c>
      <c r="D104" s="2363"/>
      <c r="E104" s="2201" t="s">
        <v>918</v>
      </c>
      <c r="F104" s="2364"/>
      <c r="G104" s="2360" t="s">
        <v>102</v>
      </c>
      <c r="H104" s="2365">
        <f>IF(D36="同一抵押权人同一抵押物续贷",C36&amp;"（续贷，未扣减，详见特别提示）",C36)</f>
        <v>0</v>
      </c>
      <c r="I104" s="274"/>
    </row>
    <row r="105" spans="1:35" ht="18.75" customHeight="1" thickBot="1">
      <c r="A105" s="3301"/>
      <c r="B105" s="2366" t="s">
        <v>99</v>
      </c>
      <c r="C105" s="2367">
        <f ca="1">I118</f>
        <v>20574</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6" t="str">
        <f>IF(项目基本情况!E8="已注销","——","3.房地产抵押价值")</f>
        <v>3.房地产抵押价值</v>
      </c>
      <c r="F107" s="3287"/>
      <c r="G107" s="2355" t="s">
        <v>914</v>
      </c>
      <c r="H107" s="2356">
        <f ca="1">IF(E107="——","——",H101-H103)</f>
        <v>5565</v>
      </c>
      <c r="I107" s="274"/>
    </row>
    <row r="108" spans="1:35" ht="18.75" customHeight="1">
      <c r="A108" s="274"/>
      <c r="B108" s="274"/>
      <c r="C108" s="274"/>
      <c r="D108" s="274"/>
      <c r="E108" s="3286"/>
      <c r="F108" s="3287"/>
      <c r="G108" s="2355" t="s">
        <v>99</v>
      </c>
      <c r="H108" s="2244">
        <f ca="1">ROUND(H107*10000/'数据-汇总表'!E3,0)</f>
        <v>1126</v>
      </c>
      <c r="I108" s="274"/>
    </row>
    <row r="109" spans="1:35" ht="18.75" customHeight="1">
      <c r="A109" s="274"/>
      <c r="B109" s="274"/>
      <c r="C109" s="274"/>
      <c r="D109" s="274"/>
      <c r="E109" s="3286" t="str">
        <f>IF(项目基本情况!E8="已注销及未注销","4.抵押担保权已注销时的房地产抵押价值",IF(项目基本情况!E8="已注销","3.抵押担保权已注销时的房地产抵押价值","——"))</f>
        <v>——</v>
      </c>
      <c r="F109" s="3287"/>
      <c r="G109" s="2355" t="s">
        <v>914</v>
      </c>
      <c r="H109" s="2371" t="str">
        <f>IF(E109="——","——",H101-H105-H106)</f>
        <v>——</v>
      </c>
      <c r="I109" s="274"/>
    </row>
    <row r="110" spans="1:35" ht="18.75" customHeight="1">
      <c r="A110" s="274"/>
      <c r="B110" s="274"/>
      <c r="C110" s="274"/>
      <c r="D110" s="274"/>
      <c r="E110" s="3286"/>
      <c r="F110" s="3287"/>
      <c r="G110" s="2355" t="s">
        <v>99</v>
      </c>
      <c r="H110" s="2244" t="str">
        <f>IF(H109="——","——",ROUND(H109*10000/'数据-汇总表'!E3,0))</f>
        <v>——</v>
      </c>
      <c r="I110" s="274"/>
    </row>
    <row r="111" spans="1:35" ht="18.75" customHeight="1">
      <c r="A111" s="274"/>
      <c r="B111" s="274"/>
      <c r="C111" s="274"/>
      <c r="D111" s="274"/>
      <c r="E111" s="3288" t="str">
        <f>IF(项目基本情况!E9="抵押净值",IF(OR(项目基本情况!E8="已注销",项目基本情况!E8="房地产抵押价值"),"4.抵押净值","5.抵押净值"),"——")</f>
        <v>4.抵押净值</v>
      </c>
      <c r="F111" s="3257"/>
      <c r="G111" s="2355" t="s">
        <v>914</v>
      </c>
      <c r="H111" s="2356">
        <f ca="1">IF(E111="——","——",N59)</f>
        <v>43608</v>
      </c>
      <c r="I111" s="274"/>
    </row>
    <row r="112" spans="1:35" ht="18.75" customHeight="1" thickBot="1">
      <c r="A112" s="274"/>
      <c r="B112" s="274"/>
      <c r="C112" s="274"/>
      <c r="D112" s="274"/>
      <c r="E112" s="3289"/>
      <c r="F112" s="3290"/>
      <c r="G112" s="2372" t="s">
        <v>99</v>
      </c>
      <c r="H112" s="2373">
        <f ca="1">IF(E111="——","——",N61)</f>
        <v>8827</v>
      </c>
      <c r="I112" s="274"/>
    </row>
    <row r="113" spans="1:27" ht="18.75" customHeight="1">
      <c r="A113" s="274"/>
      <c r="B113" s="274"/>
      <c r="C113" s="274"/>
      <c r="D113" s="274"/>
      <c r="E113" s="3273" t="s">
        <v>920</v>
      </c>
      <c r="F113" s="3273"/>
      <c r="G113" s="3273"/>
      <c r="H113" s="3273"/>
      <c r="I113" s="274"/>
    </row>
    <row r="114" spans="1:27" ht="3.75" customHeight="1">
      <c r="A114" s="1780"/>
      <c r="B114" s="1780"/>
      <c r="C114" s="1780"/>
      <c r="D114" s="1780"/>
      <c r="E114" s="2254"/>
      <c r="F114" s="2254"/>
      <c r="G114" s="2254"/>
      <c r="H114" s="2254"/>
      <c r="I114" s="1780"/>
    </row>
    <row r="115" spans="1:27" ht="18.75" customHeight="1">
      <c r="A115" s="3274" t="s">
        <v>922</v>
      </c>
      <c r="B115" s="3275"/>
      <c r="C115" s="3275"/>
      <c r="D115" s="3275"/>
      <c r="E115" s="3275"/>
      <c r="F115" s="3275"/>
      <c r="G115" s="3275"/>
      <c r="H115" s="3275"/>
      <c r="I115" s="3276"/>
    </row>
    <row r="116" spans="1:27" ht="27" customHeight="1">
      <c r="A116" s="3261" t="s">
        <v>923</v>
      </c>
      <c r="B116" s="3303" t="s">
        <v>924</v>
      </c>
      <c r="C116" s="3303" t="s">
        <v>925</v>
      </c>
      <c r="D116" s="3277" t="s">
        <v>926</v>
      </c>
      <c r="E116" s="3278"/>
      <c r="F116" s="3279" t="s">
        <v>927</v>
      </c>
      <c r="G116" s="3279"/>
      <c r="H116" s="3261" t="s">
        <v>928</v>
      </c>
      <c r="I116" s="3261"/>
    </row>
    <row r="117" spans="1:27" ht="18.75" customHeight="1">
      <c r="A117" s="3261"/>
      <c r="B117" s="3304"/>
      <c r="C117" s="330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2704.89</v>
      </c>
      <c r="C118" s="3065">
        <f>M19</f>
        <v>0</v>
      </c>
      <c r="D118" s="3065">
        <f ca="1">ROUND(IF(D32="总价",C34,E118*B118/10000),0)</f>
        <v>2972</v>
      </c>
      <c r="E118" s="3065">
        <f ca="1">ROUND(IF(C33="自定义",IF(D32="楼面单价",C34,D118*10000/B118),I118-G118),0)</f>
        <v>10988</v>
      </c>
      <c r="F118" s="3065">
        <f ca="1">ROUND(IF(D32="总价",C35,G118*B118/10000),0)</f>
        <v>2593</v>
      </c>
      <c r="G118" s="3065">
        <f ca="1">ROUND(IF(D32="楼面单价",C35,F118*10000/B118),0)</f>
        <v>9586</v>
      </c>
      <c r="H118" s="3065">
        <f ca="1">ROUND(IF(D32="总价",C32,I118*B118/10000),0)</f>
        <v>5565</v>
      </c>
      <c r="I118" s="3065">
        <f ca="1">ROUND(IF(D32="楼面单价",C32,H118*10000/B118),0)</f>
        <v>20574</v>
      </c>
    </row>
    <row r="119" spans="1:27" ht="18.75" customHeight="1">
      <c r="A119" s="3261" t="s">
        <v>930</v>
      </c>
      <c r="B119" s="3261"/>
      <c r="C119" s="3261"/>
      <c r="D119" s="3262" t="str">
        <f ca="1">NUMBERSTRING(INT(D118*10000),2)&amp;"元整"</f>
        <v>贰仟玖佰柒拾贰万元整</v>
      </c>
      <c r="E119" s="3264"/>
      <c r="F119" s="3262" t="str">
        <f ca="1">NUMBERSTRING(INT(F118*10000),2)&amp;"元整"</f>
        <v>贰仟伍佰玖拾叁万元整</v>
      </c>
      <c r="G119" s="3264"/>
      <c r="H119" s="3262" t="str">
        <f ca="1">NUMBERSTRING(INT(H118*10000),2)&amp;"元整"</f>
        <v>伍仟伍佰陆拾伍万元整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5" t="s">
        <v>930</v>
      </c>
      <c r="B121" s="3266"/>
      <c r="C121" s="3267"/>
      <c r="D121" s="3262" t="str">
        <f>IF(D120=0,"零元整",NUMBERSTRING(INT(D120*10000),2)&amp;"元整")</f>
        <v>零元整</v>
      </c>
      <c r="E121" s="3263"/>
      <c r="F121" s="3263"/>
      <c r="G121" s="3263"/>
      <c r="H121" s="3263"/>
      <c r="I121" s="3264"/>
      <c r="AA121" s="232"/>
    </row>
    <row r="122" spans="1:27" ht="18.75" customHeight="1">
      <c r="A122" s="3257" t="str">
        <f>IF(项目基本情况!B9="房地产市场价值","",MID(E107,3,LEN(E107)-2))</f>
        <v>房地产抵押价值</v>
      </c>
      <c r="B122" s="3257"/>
      <c r="C122" s="3257"/>
      <c r="D122" s="3258">
        <f ca="1">H107</f>
        <v>5565</v>
      </c>
      <c r="E122" s="3259"/>
      <c r="F122" s="3259"/>
      <c r="G122" s="3259"/>
      <c r="H122" s="3259"/>
      <c r="I122" s="3260"/>
      <c r="AA122" s="232"/>
    </row>
    <row r="123" spans="1:27" ht="18.75" customHeight="1">
      <c r="A123" s="3261" t="s">
        <v>930</v>
      </c>
      <c r="B123" s="3261"/>
      <c r="C123" s="3261"/>
      <c r="D123" s="3262" t="str">
        <f ca="1">NUMBERSTRING(INT(D122*10000),2)&amp;"元整"</f>
        <v>伍仟伍佰陆拾伍万元整</v>
      </c>
      <c r="E123" s="3263"/>
      <c r="F123" s="3263"/>
      <c r="G123" s="3263"/>
      <c r="H123" s="3263"/>
      <c r="I123" s="3264"/>
      <c r="AA123" s="232"/>
    </row>
    <row r="124" spans="1:27" ht="18.75" customHeight="1">
      <c r="A124" s="3257" t="str">
        <f>IF(项目基本情况!B9="房地产市场价值","",MID(E109,3,LEN(E109)-2))</f>
        <v/>
      </c>
      <c r="B124" s="3257"/>
      <c r="C124" s="3257"/>
      <c r="D124" s="3258" t="str">
        <f>H109</f>
        <v>——</v>
      </c>
      <c r="E124" s="3259"/>
      <c r="F124" s="3259"/>
      <c r="G124" s="3259"/>
      <c r="H124" s="3259"/>
      <c r="I124" s="3260"/>
      <c r="AA124" s="232"/>
    </row>
    <row r="125" spans="1:27" ht="18.75" customHeight="1">
      <c r="A125" s="3261" t="s">
        <v>930</v>
      </c>
      <c r="B125" s="3261"/>
      <c r="C125" s="3261"/>
      <c r="D125" s="3262" t="e">
        <f>NUMBERSTRING(INT(D124*10000),2)&amp;"元整"</f>
        <v>#VALUE!</v>
      </c>
      <c r="E125" s="3263"/>
      <c r="F125" s="3263"/>
      <c r="G125" s="3263"/>
      <c r="H125" s="3263"/>
      <c r="I125" s="3264"/>
      <c r="AA125" s="232"/>
    </row>
    <row r="126" spans="1:27" ht="18.75" customHeight="1">
      <c r="A126" s="3257" t="str">
        <f>IF(项目基本情况!B9="房地产市场价值","",MID(E111,3,LEN(E111)-2))</f>
        <v>抵押净值</v>
      </c>
      <c r="B126" s="3257"/>
      <c r="C126" s="3257"/>
      <c r="D126" s="3258">
        <f ca="1">H111</f>
        <v>43608</v>
      </c>
      <c r="E126" s="3259"/>
      <c r="F126" s="3259"/>
      <c r="G126" s="3259"/>
      <c r="H126" s="3259"/>
      <c r="I126" s="3260"/>
      <c r="AA126" s="232"/>
    </row>
    <row r="127" spans="1:27" ht="18.75" customHeight="1">
      <c r="A127" s="3261" t="s">
        <v>930</v>
      </c>
      <c r="B127" s="3261"/>
      <c r="C127" s="3261"/>
      <c r="D127" s="3262" t="str">
        <f ca="1">NUMBERSTRING(INT(D126*10000),2)&amp;"元整"</f>
        <v>肆亿叁仟陆佰零捌万元整</v>
      </c>
      <c r="E127" s="3263"/>
      <c r="F127" s="3263"/>
      <c r="G127" s="3263"/>
      <c r="H127" s="3263"/>
      <c r="I127" s="3264"/>
      <c r="AA127" s="232"/>
    </row>
    <row r="128" spans="1:27" ht="21.75" customHeight="1">
      <c r="A128" s="3294" t="s">
        <v>113</v>
      </c>
      <c r="B128" s="3294"/>
      <c r="C128" s="3294"/>
      <c r="D128" s="3294"/>
      <c r="E128" s="3294"/>
      <c r="F128" s="3294"/>
      <c r="G128" s="3294"/>
      <c r="H128" s="3294"/>
      <c r="I128" s="3294"/>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J49" sqref="J49"/>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466</v>
      </c>
      <c r="C1" s="146"/>
      <c r="D1" s="146"/>
      <c r="E1" s="146"/>
      <c r="F1" s="146"/>
      <c r="G1" s="2093">
        <f>MATCH(B1,'数据-取费表'!A6:A16,0)+5</f>
        <v>7</v>
      </c>
    </row>
    <row r="2" spans="1:9" s="136" customFormat="1" ht="18" customHeight="1">
      <c r="A2" s="148" t="s">
        <v>941</v>
      </c>
      <c r="B2" s="149">
        <f ca="1">IF(D2="——",C52,C52-E2)</f>
        <v>7791</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28803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4395</v>
      </c>
      <c r="D5" s="158" t="s">
        <v>1402</v>
      </c>
      <c r="E5" s="159" t="s">
        <v>1403</v>
      </c>
      <c r="F5" s="159" t="s">
        <v>841</v>
      </c>
      <c r="G5" s="160"/>
    </row>
    <row r="6" spans="1:9" s="138" customFormat="1" ht="13.5" customHeight="1">
      <c r="A6" s="161" t="s">
        <v>1404</v>
      </c>
      <c r="B6" s="162" t="s">
        <v>1405</v>
      </c>
      <c r="C6" s="3112">
        <f ca="1">ROUND(D10*'土地比较法-住宅、综合'!C47/10000,0)</f>
        <v>4213</v>
      </c>
      <c r="D6" s="164"/>
      <c r="E6" s="165"/>
      <c r="F6" s="165"/>
      <c r="G6" s="166"/>
    </row>
    <row r="7" spans="1:9" s="138" customFormat="1" ht="13.5" customHeight="1">
      <c r="A7" s="161" t="s">
        <v>1406</v>
      </c>
      <c r="B7" s="162" t="s">
        <v>1407</v>
      </c>
      <c r="C7" s="167">
        <f ca="1">ROUND(C6*F7,0)</f>
        <v>128</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8"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t="s">
        <v>3052</v>
      </c>
      <c r="H9" s="2103"/>
      <c r="I9" s="2104"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8" t="s">
        <v>1433</v>
      </c>
    </row>
    <row r="20" spans="1:10" s="138" customFormat="1" ht="13.5" customHeight="1">
      <c r="A20" s="156" t="s">
        <v>1434</v>
      </c>
      <c r="B20" s="157" t="s">
        <v>1435</v>
      </c>
      <c r="C20" s="181">
        <f ca="1">ROUND((C5+C19)*F20,0)</f>
        <v>88</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476</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471</v>
      </c>
      <c r="D23" s="191"/>
      <c r="E23" s="191"/>
      <c r="F23" s="192"/>
      <c r="G23" s="193" t="s">
        <v>1444</v>
      </c>
      <c r="J23" s="138">
        <f ca="1">B2/'数据-汇总表'!F31</f>
        <v>0.47917309889871984</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5</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897</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897</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6347</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55</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08" t="s">
        <v>1475</v>
      </c>
    </row>
    <row r="43" spans="1:7" ht="13.5" customHeight="1">
      <c r="A43" s="189" t="s">
        <v>1406</v>
      </c>
      <c r="B43" s="162" t="s">
        <v>1445</v>
      </c>
      <c r="C43" s="191">
        <f ca="1">ROUND(IF('数据-取费表'!B22&lt;=1,C39*F22*'数据-取费表'!B21/2,C39*(POWER((1+F22),'数据-取费表'!B21/2)-1)),0)</f>
        <v>1</v>
      </c>
      <c r="D43" s="191"/>
      <c r="E43" s="191"/>
      <c r="F43" s="192"/>
      <c r="G43" s="3309"/>
    </row>
    <row r="44" spans="1:7" ht="13.5" customHeight="1">
      <c r="A44" s="189" t="s">
        <v>1408</v>
      </c>
      <c r="B44" s="162" t="s">
        <v>1447</v>
      </c>
      <c r="C44" s="191">
        <f>ROUND(IF('数据-取费表'!B22&lt;=1,C40*F22*'数据-取费表'!B21/2,C40*(POWER((1+F22),'数据-取费表'!B21/2)-1)),4)</f>
        <v>1E-3</v>
      </c>
      <c r="D44" s="191"/>
      <c r="E44" s="191"/>
      <c r="F44" s="192"/>
      <c r="G44" s="3310"/>
    </row>
    <row r="45" spans="1:7" s="138" customFormat="1" ht="13.5" customHeight="1">
      <c r="A45" s="156" t="s">
        <v>1441</v>
      </c>
      <c r="B45" s="197" t="s">
        <v>1452</v>
      </c>
      <c r="C45" s="198">
        <f ca="1">C46</f>
        <v>213</v>
      </c>
      <c r="D45" s="184">
        <f ca="1">C47</f>
        <v>4.0000000000000001E-3</v>
      </c>
      <c r="E45" s="185" t="s">
        <v>1473</v>
      </c>
      <c r="F45" s="2101">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7791</v>
      </c>
      <c r="D52" s="218"/>
      <c r="E52" s="218"/>
      <c r="F52" s="218"/>
      <c r="G52" s="220"/>
    </row>
    <row r="55" spans="1:7" ht="15">
      <c r="B55" s="221" t="s">
        <v>1489</v>
      </c>
      <c r="C55" s="222"/>
    </row>
    <row r="56" spans="1:7">
      <c r="B56" s="223" t="s">
        <v>1490</v>
      </c>
      <c r="C56" s="225">
        <f ca="1">1-C57</f>
        <v>0.81499999999999995</v>
      </c>
    </row>
    <row r="57" spans="1:7">
      <c r="B57" s="223" t="s">
        <v>1491</v>
      </c>
      <c r="C57" s="224">
        <f ca="1">ROUND(C51/C52,3)</f>
        <v>0.185</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4" customWidth="1"/>
    <col min="2" max="16384" width="9" style="464"/>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本次评估采用的主估价方法为成本法和比较法。</v>
      </c>
    </row>
    <row r="25" spans="1:1" ht="18">
      <c r="A25" s="2994"/>
    </row>
    <row r="26" spans="1:1" ht="18.75">
      <c r="A26" s="3025"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topLeftCell="A13" zoomScale="85" zoomScaleNormal="70"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35.28</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4081</v>
      </c>
      <c r="C2" s="1616" t="s">
        <v>1613</v>
      </c>
      <c r="D2" s="1616"/>
      <c r="E2" s="1618"/>
      <c r="F2" s="1619"/>
      <c r="G2" s="1620"/>
      <c r="H2" s="1621"/>
      <c r="I2" s="1621"/>
      <c r="J2" s="1621"/>
      <c r="K2" s="1775"/>
      <c r="L2" s="1621"/>
      <c r="M2" s="1621"/>
    </row>
    <row r="3" spans="1:37" ht="18" customHeight="1">
      <c r="A3" s="1622" t="s">
        <v>1614</v>
      </c>
      <c r="B3" s="1623">
        <f ca="1">IF(ISERROR(B2*10000/F43),0,ROUND(B2*10000/F43,0))</f>
        <v>15087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7" t="s">
        <v>1624</v>
      </c>
      <c r="C6" s="1636">
        <f ca="1">ROUND(F6*F8*F7*(1-F9)/10000,0)</f>
        <v>267</v>
      </c>
      <c r="D6" s="1637" t="s">
        <v>1625</v>
      </c>
      <c r="E6" s="1638" t="s">
        <v>1626</v>
      </c>
      <c r="F6" s="1639">
        <f ca="1">INDIRECT("'数据-取费表'!u"&amp;$G$1)</f>
        <v>3</v>
      </c>
      <c r="G6" s="731"/>
      <c r="H6" s="1635" t="s">
        <v>846</v>
      </c>
      <c r="I6" s="3377" t="s">
        <v>1624</v>
      </c>
      <c r="J6" s="1709">
        <f ca="1">ROUND(M6*M8*M7*(1-M9)/10000,0)</f>
        <v>0</v>
      </c>
      <c r="K6" s="1637" t="s">
        <v>1627</v>
      </c>
      <c r="L6" s="1638" t="s">
        <v>1626</v>
      </c>
      <c r="M6" s="1639">
        <f ca="1">INDIRECT("'数据-取费表'!z"&amp;$G$1)</f>
        <v>0</v>
      </c>
    </row>
    <row r="7" spans="1:37" ht="18" customHeight="1">
      <c r="A7" s="1640"/>
      <c r="B7" s="3378"/>
      <c r="C7" s="1641"/>
      <c r="D7" s="1642"/>
      <c r="E7" s="1643" t="s">
        <v>1628</v>
      </c>
      <c r="F7" s="1639">
        <f ca="1">IF(INDIRECT("'数据-取费表'!ah"&amp;$G$1)="",INDIRECT("'数据-取费表'!k"&amp;$G$1),INDIRECT("'数据-取费表'!ah"&amp;$G$1))</f>
        <v>2704.89</v>
      </c>
      <c r="G7" s="731"/>
      <c r="H7" s="1644"/>
      <c r="I7" s="3378"/>
      <c r="J7" s="1645"/>
      <c r="K7" s="1642"/>
      <c r="L7" s="1638" t="s">
        <v>1628</v>
      </c>
      <c r="M7" s="1639">
        <f ca="1">F7</f>
        <v>2704.89</v>
      </c>
    </row>
    <row r="8" spans="1:37" ht="18" customHeight="1">
      <c r="A8" s="1644"/>
      <c r="B8" s="3378"/>
      <c r="C8" s="1645"/>
      <c r="D8" s="1642"/>
      <c r="E8" s="1638" t="s">
        <v>1629</v>
      </c>
      <c r="F8" s="1639">
        <f ca="1">INDIRECT("'数据-取费表'!ai"&amp;$G$1)</f>
        <v>365</v>
      </c>
      <c r="G8" s="731"/>
      <c r="H8" s="1644"/>
      <c r="I8" s="3378"/>
      <c r="J8" s="1645"/>
      <c r="K8" s="1642"/>
      <c r="L8" s="1638" t="s">
        <v>1629</v>
      </c>
      <c r="M8" s="1639">
        <f ca="1">INDIRECT("'数据-取费表'!ai"&amp;$G$1)</f>
        <v>365</v>
      </c>
    </row>
    <row r="9" spans="1:37" ht="18" customHeight="1">
      <c r="A9" s="1644"/>
      <c r="B9" s="3379"/>
      <c r="C9" s="1645"/>
      <c r="D9" s="1642"/>
      <c r="E9" s="1638" t="s">
        <v>1630</v>
      </c>
      <c r="F9" s="1646">
        <f ca="1">INDIRECT("'数据-取费表'!w"&amp;$G$1)</f>
        <v>0.1</v>
      </c>
      <c r="G9" s="731"/>
      <c r="H9" s="1644"/>
      <c r="I9" s="3379"/>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26</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14.4</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-26</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0.02</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481">
        <f>工程进度!G2</f>
        <v>164.82</v>
      </c>
      <c r="G35" s="731"/>
      <c r="H35" s="1689"/>
      <c r="I35" s="1794"/>
      <c r="J35" s="1795"/>
      <c r="K35" s="1798"/>
      <c r="L35" s="1695"/>
      <c r="M35" s="1695"/>
    </row>
    <row r="36" spans="1:18" ht="18" customHeight="1">
      <c r="A36" s="1702" t="s">
        <v>850</v>
      </c>
      <c r="B36" s="1638" t="s">
        <v>1674</v>
      </c>
      <c r="C36" s="285">
        <f ca="1">ROUND(C29*F36,1)</f>
        <v>14.4</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2.7</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203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4036</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35.28</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14921</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-6150</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4036</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35.28</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1788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35.28</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35.28</v>
      </c>
      <c r="K53" s="3375" t="s">
        <v>1752</v>
      </c>
      <c r="L53" s="3376"/>
      <c r="O53" s="1815" t="s">
        <v>1514</v>
      </c>
      <c r="P53" s="1816" t="s">
        <v>1753</v>
      </c>
      <c r="Q53" s="1851">
        <f ca="1">Q47+Q48</f>
        <v>4081</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0.39500000000000002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4036</v>
      </c>
      <c r="R56" s="1851" t="s">
        <v>1723</v>
      </c>
    </row>
    <row r="57" spans="1:18" s="731" customFormat="1" ht="24">
      <c r="A57" s="1758"/>
      <c r="B57" s="1759" t="s">
        <v>1702</v>
      </c>
      <c r="C57" s="191">
        <f ca="1">C29</f>
        <v>1444</v>
      </c>
      <c r="D57" s="1760"/>
      <c r="E57" s="1761"/>
      <c r="F57" s="1762"/>
      <c r="I57" s="1841" t="s">
        <v>1761</v>
      </c>
      <c r="J57" s="1842">
        <f ca="1">IF(OR(M47="住宅",J51&lt;L48,J56="是"),"——",J51-L48)</f>
        <v>23.72</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137</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IF(项目基本情况!B11="自然人","——",ROUND(F62*F63/10000,2))</f>
        <v>0.02</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4036</v>
      </c>
      <c r="R62" s="1851" t="s">
        <v>1754</v>
      </c>
    </row>
    <row r="63" spans="1:18" s="731" customFormat="1">
      <c r="A63" s="1680"/>
      <c r="B63" s="1770"/>
      <c r="C63" s="1700"/>
      <c r="D63" s="1771"/>
      <c r="E63" s="1759" t="s">
        <v>1672</v>
      </c>
      <c r="F63" s="1639">
        <f t="shared" si="0"/>
        <v>164.82</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14.4</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4036</v>
      </c>
      <c r="R65" s="1851" t="s">
        <v>1723</v>
      </c>
    </row>
    <row r="66" spans="1:18" s="731" customFormat="1" ht="15.75">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-137</v>
      </c>
      <c r="D67" s="1766" t="s">
        <v>1687</v>
      </c>
      <c r="E67" s="1854"/>
      <c r="F67" s="1855"/>
      <c r="O67" s="1822" t="s">
        <v>1735</v>
      </c>
      <c r="P67" s="1816" t="s">
        <v>1767</v>
      </c>
      <c r="Q67" s="1875">
        <f ca="1">L51</f>
        <v>1788</v>
      </c>
      <c r="R67" s="1851" t="s">
        <v>1784</v>
      </c>
    </row>
    <row r="68" spans="1:18" s="731" customFormat="1" ht="15.75">
      <c r="A68" s="1856" t="s">
        <v>1691</v>
      </c>
      <c r="B68" s="1857" t="s">
        <v>1709</v>
      </c>
      <c r="C68" s="1709">
        <f ca="1">ROUND(C67*(1-((1+F70)/(1+F68))^F69)/(F68-F70),0)</f>
        <v>-2114</v>
      </c>
      <c r="D68" s="1769" t="s">
        <v>1693</v>
      </c>
      <c r="E68" s="1759" t="s">
        <v>1694</v>
      </c>
      <c r="F68" s="1646">
        <f ca="1">F40</f>
        <v>5.5E-2</v>
      </c>
      <c r="O68" s="1822" t="s">
        <v>1739</v>
      </c>
      <c r="P68" s="1874" t="s">
        <v>1785</v>
      </c>
      <c r="Q68" s="1851">
        <f ca="1">ROUND(Q69-Q70*Q71,0)</f>
        <v>95</v>
      </c>
      <c r="R68" s="1851" t="s">
        <v>1786</v>
      </c>
    </row>
    <row r="69" spans="1:18" s="731" customFormat="1">
      <c r="A69" s="1858"/>
      <c r="B69" s="1859"/>
      <c r="C69" s="1645"/>
      <c r="D69" s="1860" t="s">
        <v>1697</v>
      </c>
      <c r="E69" s="1759" t="s">
        <v>1698</v>
      </c>
      <c r="F69" s="1713">
        <f ca="1">F41</f>
        <v>35.28</v>
      </c>
      <c r="O69" s="1822" t="s">
        <v>1787</v>
      </c>
      <c r="P69" s="1874" t="s">
        <v>1788</v>
      </c>
      <c r="Q69" s="1851">
        <f ca="1">C39</f>
        <v>203</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-7815</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4036</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0.46799999999999997</v>
      </c>
    </row>
    <row r="80" spans="1:18">
      <c r="B80" s="1868" t="s">
        <v>1800</v>
      </c>
      <c r="C80" s="224">
        <f ca="1">ROUND(C75/C39,3)</f>
        <v>0.53200000000000003</v>
      </c>
    </row>
    <row r="81" spans="2:3">
      <c r="B81" s="221" t="s">
        <v>1801</v>
      </c>
      <c r="C81" s="191"/>
    </row>
    <row r="82" spans="2:3">
      <c r="B82" s="223" t="s">
        <v>1490</v>
      </c>
      <c r="C82" s="225">
        <f ca="1">1-C83</f>
        <v>0.64200000000000002</v>
      </c>
    </row>
    <row r="83" spans="2:3">
      <c r="B83" s="223" t="s">
        <v>1491</v>
      </c>
      <c r="C83" s="224">
        <f ca="1">ROUND(C13/C40,3)</f>
        <v>0.35799999999999998</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464</v>
      </c>
      <c r="D1" s="1780"/>
      <c r="E1" s="1780"/>
      <c r="F1" s="2135" t="s">
        <v>716</v>
      </c>
      <c r="G1" s="2136" t="s">
        <v>3175</v>
      </c>
      <c r="H1" s="2135" t="str">
        <f>IF(G1="现房","——","估价对象范围")</f>
        <v>——</v>
      </c>
      <c r="I1" s="2265" t="s">
        <v>717</v>
      </c>
    </row>
    <row r="2" spans="1:12" ht="21.75" customHeight="1" thickBot="1">
      <c r="A2" s="3211" t="str">
        <f>项目基本情况!S2</f>
        <v>北京市顺义区北小营镇顺义新城第30街区30-01-02地块R2二类居住用地出让国有建设用地使用权及在建建筑物房地产</v>
      </c>
      <c r="B2" s="3212"/>
      <c r="C2" s="3212"/>
      <c r="D2" s="3212"/>
      <c r="E2" s="3212"/>
      <c r="F2" s="3212"/>
      <c r="G2" s="3212"/>
      <c r="H2" s="3212"/>
      <c r="I2" s="3213"/>
    </row>
    <row r="3" spans="1:12" ht="12.75">
      <c r="A3" s="3214" t="s">
        <v>718</v>
      </c>
      <c r="B3" s="3215"/>
      <c r="C3" s="3215"/>
      <c r="D3" s="3215"/>
      <c r="E3" s="3215"/>
      <c r="F3" s="3215"/>
      <c r="G3" s="3215"/>
      <c r="H3" s="3215"/>
      <c r="I3" s="3215"/>
    </row>
    <row r="4" spans="1:12" ht="14.25">
      <c r="A4" s="2137" t="s">
        <v>719</v>
      </c>
      <c r="B4" s="2138" t="s">
        <v>720</v>
      </c>
      <c r="C4" s="2139" t="s">
        <v>3019</v>
      </c>
      <c r="D4" s="2139" t="s">
        <v>3023</v>
      </c>
      <c r="E4" s="3216" t="s">
        <v>722</v>
      </c>
      <c r="F4" s="3217"/>
      <c r="G4" s="3217"/>
      <c r="H4" s="3217"/>
      <c r="I4" s="3218"/>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61" t="s">
        <v>723</v>
      </c>
      <c r="B5" s="3302">
        <v>25</v>
      </c>
      <c r="C5" s="3231"/>
      <c r="D5" s="3230"/>
      <c r="E5" s="1678" t="s">
        <v>724</v>
      </c>
      <c r="F5" s="2144"/>
      <c r="G5" s="2144"/>
      <c r="H5" s="2144"/>
      <c r="I5" s="1880"/>
    </row>
    <row r="6" spans="1:12" ht="12.75">
      <c r="A6" s="3261"/>
      <c r="B6" s="3302"/>
      <c r="C6" s="3232"/>
      <c r="D6" s="3230"/>
      <c r="E6" s="1678" t="s">
        <v>725</v>
      </c>
      <c r="F6" s="2144"/>
      <c r="G6" s="2144"/>
      <c r="H6" s="2144"/>
      <c r="I6" s="1880"/>
    </row>
    <row r="7" spans="1:12" ht="12.75">
      <c r="A7" s="3261"/>
      <c r="B7" s="3302"/>
      <c r="C7" s="3233"/>
      <c r="D7" s="3230"/>
      <c r="E7" s="1678" t="s">
        <v>726</v>
      </c>
      <c r="F7" s="2144"/>
      <c r="G7" s="2144"/>
      <c r="H7" s="2144"/>
      <c r="I7" s="1880"/>
    </row>
    <row r="8" spans="1:12" ht="12.75">
      <c r="A8" s="3261" t="s">
        <v>727</v>
      </c>
      <c r="B8" s="3302">
        <v>15</v>
      </c>
      <c r="C8" s="3231"/>
      <c r="D8" s="3230"/>
      <c r="E8" s="1678" t="s">
        <v>728</v>
      </c>
      <c r="F8" s="2144"/>
      <c r="G8" s="2144"/>
      <c r="H8" s="2144"/>
      <c r="I8" s="1880"/>
    </row>
    <row r="9" spans="1:12" ht="12.75">
      <c r="A9" s="3261"/>
      <c r="B9" s="3302"/>
      <c r="C9" s="3233"/>
      <c r="D9" s="3230"/>
      <c r="E9" s="1678" t="s">
        <v>729</v>
      </c>
      <c r="F9" s="2144"/>
      <c r="G9" s="2144"/>
      <c r="H9" s="2144"/>
      <c r="I9" s="1880"/>
    </row>
    <row r="10" spans="1:12" ht="12.75">
      <c r="A10" s="3261" t="s">
        <v>730</v>
      </c>
      <c r="B10" s="3302">
        <v>15</v>
      </c>
      <c r="C10" s="3231"/>
      <c r="D10" s="3230"/>
      <c r="E10" s="1678" t="s">
        <v>731</v>
      </c>
      <c r="F10" s="2144"/>
      <c r="G10" s="2144"/>
      <c r="H10" s="2144"/>
      <c r="I10" s="1880"/>
    </row>
    <row r="11" spans="1:12" ht="12.75">
      <c r="A11" s="3261"/>
      <c r="B11" s="3302"/>
      <c r="C11" s="3233"/>
      <c r="D11" s="3230"/>
      <c r="E11" s="1678" t="s">
        <v>732</v>
      </c>
      <c r="F11" s="2144"/>
      <c r="G11" s="2144"/>
      <c r="H11" s="2144"/>
      <c r="I11" s="1880"/>
    </row>
    <row r="12" spans="1:12" ht="12.75">
      <c r="A12" s="3261" t="s">
        <v>733</v>
      </c>
      <c r="B12" s="3302">
        <v>15</v>
      </c>
      <c r="C12" s="3231"/>
      <c r="D12" s="3230"/>
      <c r="E12" s="1678" t="s">
        <v>734</v>
      </c>
      <c r="F12" s="2144"/>
      <c r="G12" s="2144"/>
      <c r="H12" s="2144"/>
      <c r="I12" s="1880"/>
    </row>
    <row r="13" spans="1:12" ht="12.75">
      <c r="A13" s="3261"/>
      <c r="B13" s="3302"/>
      <c r="C13" s="3233"/>
      <c r="D13" s="3230"/>
      <c r="E13" s="1678" t="s">
        <v>735</v>
      </c>
      <c r="F13" s="2144"/>
      <c r="G13" s="2144"/>
      <c r="H13" s="2144"/>
      <c r="I13" s="1880"/>
    </row>
    <row r="14" spans="1:12" ht="12.75">
      <c r="A14" s="3261" t="s">
        <v>736</v>
      </c>
      <c r="B14" s="3302">
        <v>30</v>
      </c>
      <c r="C14" s="3231">
        <v>5</v>
      </c>
      <c r="D14" s="3230">
        <v>5</v>
      </c>
      <c r="E14" s="1678" t="s">
        <v>737</v>
      </c>
      <c r="F14" s="2144"/>
      <c r="G14" s="2144"/>
      <c r="H14" s="2144"/>
      <c r="I14" s="1880"/>
    </row>
    <row r="15" spans="1:12" ht="12.75">
      <c r="A15" s="3261"/>
      <c r="B15" s="3302"/>
      <c r="C15" s="3232"/>
      <c r="D15" s="3230"/>
      <c r="E15" s="1678" t="s">
        <v>738</v>
      </c>
      <c r="F15" s="2144"/>
      <c r="G15" s="2144"/>
      <c r="H15" s="2144"/>
      <c r="I15" s="1880"/>
    </row>
    <row r="16" spans="1:12" ht="12.75">
      <c r="A16" s="3261"/>
      <c r="B16" s="3302"/>
      <c r="C16" s="3233"/>
      <c r="D16" s="323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19" t="s">
        <v>744</v>
      </c>
      <c r="F18" s="3220"/>
      <c r="G18" s="3220"/>
      <c r="H18" s="3220"/>
      <c r="I18" s="3220"/>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1" t="s">
        <v>746</v>
      </c>
      <c r="C19" s="2152">
        <f ca="1">SUMIF(INDIRECT("'"&amp;C4&amp;"'"&amp;"!A:A"),结果表仓!B19,INDIRECT("'"&amp;C4&amp;"'"&amp;"!B:B"))</f>
        <v>230</v>
      </c>
      <c r="D19" s="2116">
        <f ca="1">SUMIF(INDIRECT("'"&amp;D4&amp;"'"&amp;"!A:A"),结果表仓!B19,INDIRECT("'"&amp;D4&amp;"'"&amp;"!B:B"))</f>
        <v>182</v>
      </c>
      <c r="E19" s="1086" t="s">
        <v>747</v>
      </c>
      <c r="F19" s="2151" t="s">
        <v>746</v>
      </c>
      <c r="G19" s="2153">
        <f ca="1">ROUND(C19*$C$18+D19*$D$18,0)</f>
        <v>206</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SUMIF(INDIRECT("'"&amp;C4&amp;"'"&amp;"!A:A"),结果表仓!B20,INDIRECT("'"&amp;C4&amp;"'"&amp;"!B:B"))</f>
        <v>6230</v>
      </c>
      <c r="D20" s="1969">
        <f ca="1">SUMIF(INDIRECT("'"&amp;D4&amp;"'"&amp;"!A:A"),结果表仓!B20,INDIRECT("'"&amp;D4&amp;"'"&amp;"!B:B"))</f>
        <v>4927</v>
      </c>
      <c r="E20" s="2155"/>
      <c r="F20" s="2156" t="s">
        <v>749</v>
      </c>
      <c r="G20" s="2157">
        <f ca="1">ROUND(C20*$C$18+D20*$D$18,0)</f>
        <v>5579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0.26373626373626369</v>
      </c>
      <c r="E22" s="274"/>
      <c r="F22" s="274"/>
      <c r="G22" s="274"/>
      <c r="H22" s="274"/>
      <c r="I22" s="274"/>
      <c r="K22" s="232">
        <f ca="1">G19</f>
        <v>206</v>
      </c>
      <c r="L22" s="232">
        <f ca="1">N59</f>
        <v>200</v>
      </c>
    </row>
    <row r="23" spans="1:36" ht="13.5" thickBot="1">
      <c r="A23" s="1780"/>
      <c r="B23" s="1780"/>
      <c r="C23" s="1780"/>
      <c r="D23" s="1780"/>
      <c r="E23" s="274"/>
      <c r="F23" s="274"/>
      <c r="G23" s="274"/>
      <c r="H23" s="274"/>
      <c r="I23" s="274"/>
      <c r="K23" s="232">
        <f ca="1">K21-K22</f>
        <v>412299</v>
      </c>
      <c r="L23" s="232">
        <f ca="1">L21-L22</f>
        <v>400089</v>
      </c>
    </row>
    <row r="24" spans="1:36" ht="14.25">
      <c r="A24" s="3295" t="s">
        <v>753</v>
      </c>
      <c r="B24" s="2151" t="s">
        <v>746</v>
      </c>
      <c r="C24" s="2153">
        <f>IF(B30=0,0,D30)</f>
        <v>0</v>
      </c>
      <c r="D24" s="2167"/>
      <c r="E24" s="274"/>
      <c r="F24" s="274"/>
      <c r="G24" s="274"/>
      <c r="H24" s="274"/>
      <c r="I24" s="274"/>
    </row>
    <row r="25" spans="1:36" ht="14.25">
      <c r="A25" s="329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206</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110</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96</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7" t="s">
        <v>770</v>
      </c>
      <c r="B36" s="2196" t="s">
        <v>771</v>
      </c>
      <c r="C36" s="2197"/>
      <c r="D36" s="2198"/>
      <c r="E36" s="2199"/>
      <c r="F36" s="2200"/>
      <c r="G36" s="274"/>
      <c r="H36" s="274"/>
      <c r="I36" s="274"/>
    </row>
    <row r="37" spans="1:15" ht="15.75" thickBot="1">
      <c r="A37" s="3298"/>
      <c r="B37" s="2201" t="s">
        <v>772</v>
      </c>
      <c r="C37" s="2202"/>
      <c r="D37" s="2203"/>
      <c r="E37" s="2203"/>
      <c r="F37" s="2200"/>
      <c r="G37" s="274"/>
      <c r="H37" s="274"/>
      <c r="I37" s="274"/>
    </row>
    <row r="38" spans="1:15" ht="15.75" thickBot="1">
      <c r="A38" s="329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1" t="s">
        <v>781</v>
      </c>
      <c r="B45" s="3222"/>
      <c r="C45" s="3223"/>
      <c r="D45" s="1637">
        <f ca="1">ROUND(H101*F45,0)</f>
        <v>115</v>
      </c>
      <c r="E45" s="2222" t="s">
        <v>782</v>
      </c>
      <c r="F45" s="2223">
        <v>0.56000000000000005</v>
      </c>
      <c r="G45" s="1648" t="s">
        <v>783</v>
      </c>
      <c r="H45" s="274"/>
      <c r="I45" s="274"/>
      <c r="J45" s="3224" t="s">
        <v>784</v>
      </c>
      <c r="K45" s="3224"/>
      <c r="L45" s="3224"/>
      <c r="M45" s="3224"/>
      <c r="N45" s="3224"/>
      <c r="O45" s="3224"/>
    </row>
    <row r="46" spans="1:15" ht="14.25" customHeight="1">
      <c r="A46" s="3225" t="s">
        <v>785</v>
      </c>
      <c r="B46" s="3226"/>
      <c r="C46" s="3226"/>
      <c r="D46" s="3226"/>
      <c r="E46" s="3226"/>
      <c r="F46" s="3226"/>
      <c r="G46" s="3227"/>
      <c r="H46" s="2224"/>
      <c r="I46" s="275"/>
      <c r="J46" s="3058">
        <v>1</v>
      </c>
      <c r="K46" s="3228" t="s">
        <v>786</v>
      </c>
      <c r="L46" s="3228"/>
      <c r="M46" s="3229"/>
      <c r="N46" s="3229"/>
      <c r="O46" s="3229"/>
    </row>
    <row r="47" spans="1:15" ht="12" customHeight="1">
      <c r="A47" s="2225" t="s">
        <v>787</v>
      </c>
      <c r="B47" s="2226"/>
      <c r="C47" s="2227"/>
      <c r="D47" s="1687" t="s">
        <v>788</v>
      </c>
      <c r="E47" s="1638" t="s">
        <v>789</v>
      </c>
      <c r="F47" s="2228" t="s">
        <v>790</v>
      </c>
      <c r="G47" s="2229" t="s">
        <v>791</v>
      </c>
      <c r="H47" s="2230"/>
      <c r="I47" s="275"/>
      <c r="J47" s="3058">
        <v>2</v>
      </c>
      <c r="K47" s="3228" t="s">
        <v>792</v>
      </c>
      <c r="L47" s="3228"/>
      <c r="M47" s="3234">
        <f>'数据-取费表'!B2</f>
        <v>45475</v>
      </c>
      <c r="N47" s="3234"/>
      <c r="O47" s="3234"/>
    </row>
    <row r="48" spans="1:15" ht="25.5">
      <c r="A48" s="3235" t="s">
        <v>793</v>
      </c>
      <c r="B48" s="3236"/>
      <c r="C48" s="3236"/>
      <c r="D48" s="3061">
        <f ca="1">IF(H48="情况1",0,IF(H48="情况2",D52,IF(H48="情况3",D53,IF(H48="情况4",D54))))</f>
        <v>6</v>
      </c>
      <c r="E48" s="3055" t="str">
        <f>IF(H48="情况4","(销售额-原购置价)×税（费）率","销售额×税（费）率")</f>
        <v>销售额×税（费）率</v>
      </c>
      <c r="F48" s="2232">
        <f>IF(H48="情况1","免征",'数据-取费表'!B41)</f>
        <v>5.5E-2</v>
      </c>
      <c r="G48" s="2233" t="s">
        <v>794</v>
      </c>
      <c r="H48" s="2234" t="s">
        <v>795</v>
      </c>
      <c r="I48" s="2224"/>
      <c r="J48" s="3058">
        <v>3</v>
      </c>
      <c r="K48" s="3228" t="s">
        <v>796</v>
      </c>
      <c r="L48" s="3228"/>
      <c r="M48" s="3237">
        <f ca="1">H101</f>
        <v>206</v>
      </c>
      <c r="N48" s="3237"/>
      <c r="O48" s="3237"/>
    </row>
    <row r="49" spans="1:35" ht="25.5" customHeight="1">
      <c r="A49" s="3054" t="s">
        <v>797</v>
      </c>
      <c r="B49" s="3238" t="s">
        <v>798</v>
      </c>
      <c r="C49" s="3238"/>
      <c r="D49" s="2235">
        <v>0</v>
      </c>
      <c r="E49" s="1697" t="s">
        <v>799</v>
      </c>
      <c r="F49" s="3051" t="s">
        <v>124</v>
      </c>
      <c r="G49" s="3244"/>
      <c r="H49" s="2237" t="s">
        <v>800</v>
      </c>
      <c r="I49" s="2274"/>
      <c r="J49" s="3058">
        <v>4</v>
      </c>
      <c r="K49" s="3228" t="str">
        <f>IF(项目基本情况!E8="房地产抵押价值","房地产抵押价值","抵押担保权已注销时的房地产抵押价值")</f>
        <v>房地产抵押价值</v>
      </c>
      <c r="L49" s="3228"/>
      <c r="M49" s="3237">
        <f ca="1">IF(项目基本情况!E8="房地产抵押价值",H107,H109)</f>
        <v>206</v>
      </c>
      <c r="N49" s="3237"/>
      <c r="O49" s="3237"/>
    </row>
    <row r="50" spans="1:35" ht="25.5" customHeight="1">
      <c r="A50" s="2238"/>
      <c r="B50" s="3238" t="s">
        <v>801</v>
      </c>
      <c r="C50" s="3238"/>
      <c r="D50" s="2239"/>
      <c r="E50" s="1712"/>
      <c r="F50" s="3051"/>
      <c r="G50" s="3245"/>
      <c r="H50" s="2240" t="s">
        <v>802</v>
      </c>
      <c r="I50" s="2274"/>
      <c r="J50" s="3224" t="s">
        <v>803</v>
      </c>
      <c r="K50" s="3224"/>
      <c r="L50" s="3224"/>
      <c r="M50" s="3224"/>
      <c r="N50" s="3224"/>
      <c r="O50" s="3224"/>
    </row>
    <row r="51" spans="1:35" ht="20.45" customHeight="1">
      <c r="A51" s="2241"/>
      <c r="B51" s="3238" t="s">
        <v>804</v>
      </c>
      <c r="C51" s="3238"/>
      <c r="D51" s="1687"/>
      <c r="E51" s="1701"/>
      <c r="F51" s="3051"/>
      <c r="G51" s="3246"/>
      <c r="H51" s="2240" t="s">
        <v>805</v>
      </c>
      <c r="I51" s="2274"/>
      <c r="J51" s="3053" t="s">
        <v>806</v>
      </c>
      <c r="K51" s="3228" t="s">
        <v>807</v>
      </c>
      <c r="L51" s="3228"/>
      <c r="M51" s="3053" t="s">
        <v>808</v>
      </c>
      <c r="N51" s="3053" t="s">
        <v>809</v>
      </c>
      <c r="O51" s="3053" t="s">
        <v>810</v>
      </c>
    </row>
    <row r="52" spans="1:35" ht="24" customHeight="1">
      <c r="A52" s="3060" t="s">
        <v>811</v>
      </c>
      <c r="B52" s="3238" t="s">
        <v>812</v>
      </c>
      <c r="C52" s="3238"/>
      <c r="D52" s="1687">
        <f ca="1">ROUND(D45*'数据-取费表'!B41/(1+'数据-取费表'!C42),0)</f>
        <v>6</v>
      </c>
      <c r="E52" s="3055" t="s">
        <v>813</v>
      </c>
      <c r="F52" s="2243">
        <f>'数据-取费表'!B41</f>
        <v>5.5E-2</v>
      </c>
      <c r="G52" s="2244"/>
      <c r="H52" s="1801"/>
      <c r="I52" s="2275"/>
      <c r="J52" s="3058">
        <v>1</v>
      </c>
      <c r="K52" s="3240" t="s">
        <v>814</v>
      </c>
      <c r="L52" s="3240"/>
      <c r="M52" s="2276">
        <f ca="1">D48</f>
        <v>6</v>
      </c>
      <c r="N52" s="3058" t="str">
        <f>E48</f>
        <v>销售额×税（费）率</v>
      </c>
      <c r="O52" s="2277">
        <f>F48</f>
        <v>5.5E-2</v>
      </c>
    </row>
    <row r="53" spans="1:35" ht="12" customHeight="1">
      <c r="A53" s="3060" t="s">
        <v>815</v>
      </c>
      <c r="B53" s="3241" t="s">
        <v>816</v>
      </c>
      <c r="C53" s="3242"/>
      <c r="D53" s="1687">
        <f ca="1">ROUND(D45*'数据-取费表'!B41/(1+'数据-取费表'!C42),0)</f>
        <v>6</v>
      </c>
      <c r="E53" s="3055" t="s">
        <v>813</v>
      </c>
      <c r="F53" s="2243">
        <f>'数据-取费表'!B41</f>
        <v>5.5E-2</v>
      </c>
      <c r="G53" s="2244"/>
      <c r="H53" s="1801"/>
      <c r="I53" s="2275"/>
      <c r="J53" s="3058">
        <v>2</v>
      </c>
      <c r="K53" s="3240" t="s">
        <v>817</v>
      </c>
      <c r="L53" s="3240"/>
      <c r="M53" s="2276">
        <f t="shared" ref="M53:O54" ca="1" si="0">D55</f>
        <v>0</v>
      </c>
      <c r="N53" s="3058" t="str">
        <f t="shared" si="0"/>
        <v>销售额×税（费）率</v>
      </c>
      <c r="O53" s="2277">
        <f t="shared" si="0"/>
        <v>5.0000000000000001E-4</v>
      </c>
    </row>
    <row r="54" spans="1:35" ht="12" customHeight="1">
      <c r="A54" s="3060" t="s">
        <v>818</v>
      </c>
      <c r="B54" s="3241" t="s">
        <v>819</v>
      </c>
      <c r="C54" s="3242"/>
      <c r="D54" s="1687">
        <f ca="1">C68</f>
        <v>6</v>
      </c>
      <c r="E54" s="1701" t="s">
        <v>820</v>
      </c>
      <c r="F54" s="2243">
        <f>'数据-取费表'!B41</f>
        <v>5.5E-2</v>
      </c>
      <c r="G54" s="2244"/>
      <c r="H54" s="2245"/>
      <c r="I54" s="2275"/>
      <c r="J54" s="3058">
        <v>3</v>
      </c>
      <c r="K54" s="3240" t="s">
        <v>821</v>
      </c>
      <c r="L54" s="3240"/>
      <c r="M54" s="2276">
        <f t="shared" ca="1" si="0"/>
        <v>0</v>
      </c>
      <c r="N54" s="3058" t="str">
        <f t="shared" si="0"/>
        <v>增值额×税（费）率</v>
      </c>
      <c r="O54" s="2278" t="str">
        <f t="shared" si="0"/>
        <v>——</v>
      </c>
    </row>
    <row r="55" spans="1:35" ht="24" customHeight="1">
      <c r="A55" s="3243" t="s">
        <v>822</v>
      </c>
      <c r="B55" s="3236"/>
      <c r="C55" s="3236"/>
      <c r="D55" s="3061">
        <f ca="1">IF(H55="个人住宅",0,ROUND(D45*I55,0))</f>
        <v>0</v>
      </c>
      <c r="E55" s="3055" t="s">
        <v>823</v>
      </c>
      <c r="F55" s="2243">
        <f>IF(H55="正常",I55,"免征")</f>
        <v>5.0000000000000001E-4</v>
      </c>
      <c r="G55" s="2244"/>
      <c r="H55" s="2234" t="s">
        <v>824</v>
      </c>
      <c r="I55" s="2279">
        <f>'数据-取费表'!B49</f>
        <v>5.0000000000000001E-4</v>
      </c>
      <c r="J55" s="3058" t="str">
        <f>IF(H59="非个人房产","",4)</f>
        <v/>
      </c>
      <c r="K55" s="3240" t="str">
        <f>IF(H59="非个人房产","——","个人所得税")</f>
        <v>——</v>
      </c>
      <c r="L55" s="3240"/>
      <c r="M55" s="2280" t="str">
        <f>D59</f>
        <v>——</v>
      </c>
      <c r="N55" s="3064" t="str">
        <f>E59</f>
        <v>——</v>
      </c>
      <c r="O55" s="2281" t="str">
        <f>F59</f>
        <v>——</v>
      </c>
    </row>
    <row r="56" spans="1:35" ht="24.75">
      <c r="A56" s="3243" t="s">
        <v>825</v>
      </c>
      <c r="B56" s="3236"/>
      <c r="C56" s="3236"/>
      <c r="D56" s="3061">
        <f ca="1">IF(H56="个人住宅",D57,D58)</f>
        <v>0</v>
      </c>
      <c r="E56" s="3055" t="s">
        <v>826</v>
      </c>
      <c r="F56" s="2243" t="str">
        <f>IF(H56="正常",F58,"免征")</f>
        <v>——</v>
      </c>
      <c r="G56" s="2246" t="s">
        <v>827</v>
      </c>
      <c r="H56" s="2247" t="s">
        <v>824</v>
      </c>
      <c r="I56" s="2256"/>
      <c r="J56" s="3058" t="str">
        <f>IF(项目基本情况!K6="上海银行",IF(J55="",4,J55+1),"")</f>
        <v/>
      </c>
      <c r="K56" s="3247" t="str">
        <f>IF(项目基本情况!K6="上海银行","其他处置费用","")</f>
        <v/>
      </c>
      <c r="L56" s="3248"/>
      <c r="M56" s="2276" t="str">
        <f>IF(项目基本情况!K6="上海银行",M69,"")</f>
        <v/>
      </c>
      <c r="N56" s="3247" t="str">
        <f>IF(项目基本情况!K6="上海银行","包含处置中涉及的律师、诉讼、拍卖、评估等费用","")</f>
        <v/>
      </c>
      <c r="O56" s="3249"/>
    </row>
    <row r="57" spans="1:35" ht="12.75">
      <c r="A57" s="3060" t="s">
        <v>797</v>
      </c>
      <c r="B57" s="3241" t="s">
        <v>828</v>
      </c>
      <c r="C57" s="3242"/>
      <c r="D57" s="2235">
        <v>0</v>
      </c>
      <c r="E57" s="1697" t="s">
        <v>799</v>
      </c>
      <c r="F57" s="1638"/>
      <c r="G57" s="2244"/>
      <c r="H57" s="2248"/>
      <c r="I57" s="2256"/>
      <c r="J57" s="3240">
        <f>IF(AND(J55="",J56=""),4,IF(项目基本情况!K6="上海银行",结果表仓!J56+1,结果表仓!J55+1))</f>
        <v>4</v>
      </c>
      <c r="K57" s="3240" t="s">
        <v>829</v>
      </c>
      <c r="L57" s="2282" t="s">
        <v>830</v>
      </c>
      <c r="M57" s="2283"/>
      <c r="N57" s="2284">
        <f ca="1">SUMIF(M52:M56,"&lt;9e307")</f>
        <v>6</v>
      </c>
      <c r="O57" s="2285"/>
      <c r="P57" s="2286">
        <f ca="1">N57/M49</f>
        <v>2.9126213592233011E-2</v>
      </c>
    </row>
    <row r="58" spans="1:35" ht="24.75">
      <c r="A58" s="3060" t="s">
        <v>811</v>
      </c>
      <c r="B58" s="3241" t="s">
        <v>831</v>
      </c>
      <c r="C58" s="3238"/>
      <c r="D58" s="3061">
        <f ca="1">IF(H58="转让取得",C81,C97)</f>
        <v>0</v>
      </c>
      <c r="E58" s="3055" t="s">
        <v>826</v>
      </c>
      <c r="F58" s="1638" t="s">
        <v>124</v>
      </c>
      <c r="G58" s="2244"/>
      <c r="H58" s="2247" t="s">
        <v>832</v>
      </c>
      <c r="I58" s="2256"/>
      <c r="J58" s="3240"/>
      <c r="K58" s="3240"/>
      <c r="L58" s="2282" t="s">
        <v>833</v>
      </c>
      <c r="M58" s="2287"/>
      <c r="N58" s="2288" t="str">
        <f ca="1">NUMBERSTRING(INT(N57*10000),2)&amp;"元整"</f>
        <v>陆万元整</v>
      </c>
      <c r="O58" s="2289"/>
    </row>
    <row r="59" spans="1:35" ht="24.75" thickBot="1">
      <c r="A59" s="3250" t="s">
        <v>834</v>
      </c>
      <c r="B59" s="3251"/>
      <c r="C59" s="3251"/>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5">
        <f>J57+1</f>
        <v>5</v>
      </c>
      <c r="K59" s="3240" t="s">
        <v>837</v>
      </c>
      <c r="L59" s="3058" t="s">
        <v>830</v>
      </c>
      <c r="M59" s="2291"/>
      <c r="N59" s="2292">
        <f ca="1">M49-N57</f>
        <v>200</v>
      </c>
      <c r="O59" s="2293"/>
    </row>
    <row r="60" spans="1:35" ht="12" customHeight="1">
      <c r="A60" s="2254"/>
      <c r="B60" s="1780"/>
      <c r="C60" s="1780"/>
      <c r="D60" s="1780"/>
      <c r="E60" s="2255"/>
      <c r="F60" s="2256"/>
      <c r="G60" s="2256"/>
      <c r="H60" s="275"/>
      <c r="I60" s="274"/>
      <c r="J60" s="3256"/>
      <c r="K60" s="3240"/>
      <c r="L60" s="2282" t="s">
        <v>833</v>
      </c>
      <c r="M60" s="2287"/>
      <c r="N60" s="2288" t="str">
        <f ca="1">NUMBERSTRING(INT(N59*10000),2)&amp;"元整"</f>
        <v>贰佰万元整</v>
      </c>
      <c r="O60" s="2289"/>
    </row>
    <row r="61" spans="1:35" ht="13.5" thickBot="1">
      <c r="A61" s="3252" t="s">
        <v>838</v>
      </c>
      <c r="B61" s="3252"/>
      <c r="C61" s="3252"/>
      <c r="D61" s="3252"/>
      <c r="E61" s="3252"/>
      <c r="F61" s="2256"/>
      <c r="G61" s="2256"/>
      <c r="H61" s="275"/>
      <c r="I61" s="274"/>
      <c r="J61" s="3058">
        <f>J59+1</f>
        <v>6</v>
      </c>
      <c r="K61" s="3240" t="s">
        <v>839</v>
      </c>
      <c r="L61" s="3240"/>
      <c r="M61" s="2294"/>
      <c r="N61" s="2295">
        <f ca="1">ROUND(N59*10000/'数据-汇总表'!E3,0)</f>
        <v>40</v>
      </c>
      <c r="O61" s="2296"/>
    </row>
    <row r="62" spans="1:35" ht="12.75">
      <c r="A62" s="3253" t="s">
        <v>840</v>
      </c>
      <c r="B62" s="3254"/>
      <c r="C62" s="3063"/>
      <c r="D62" s="3063" t="s">
        <v>841</v>
      </c>
      <c r="E62" s="2257" t="s">
        <v>791</v>
      </c>
      <c r="F62" s="2256"/>
      <c r="G62" s="2256"/>
      <c r="H62" s="275"/>
      <c r="I62" s="274"/>
    </row>
    <row r="63" spans="1:35" ht="12.75">
      <c r="A63" s="2258" t="s">
        <v>842</v>
      </c>
      <c r="B63" s="2259" t="s">
        <v>843</v>
      </c>
      <c r="C63" s="2260">
        <f ca="1">ROUND((C64+C65)/(1+'数据-取费表'!C42),0)</f>
        <v>110</v>
      </c>
      <c r="D63" s="2259"/>
      <c r="E63" s="2261"/>
      <c r="F63" s="2256"/>
      <c r="G63" s="2256"/>
      <c r="H63" s="275"/>
      <c r="I63" s="274"/>
      <c r="J63" s="3239" t="s">
        <v>844</v>
      </c>
      <c r="K63" s="3057" t="s">
        <v>845</v>
      </c>
      <c r="L63" s="3057">
        <f ca="1">IF(M49&gt;10000,M49*0.5%,IF(AND(M49&gt;1000,M49&lt;=10000),M49*1%,IF(AND(M49&gt;100,M49&lt;=1000),M49*3%,IF(AND(M49&gt;10,M49&lt;=100),M49*5%,M49*8%))))</f>
        <v>6.18</v>
      </c>
      <c r="M63" s="1638">
        <f ca="1">ROUND(L63,1)</f>
        <v>6.2</v>
      </c>
      <c r="N63" s="2298"/>
      <c r="Z63" s="2131"/>
      <c r="AI63" s="2132"/>
    </row>
    <row r="64" spans="1:35" ht="14.25" customHeight="1">
      <c r="A64" s="2262" t="s">
        <v>846</v>
      </c>
      <c r="B64" s="561" t="s">
        <v>847</v>
      </c>
      <c r="C64" s="2263">
        <f ca="1">D45</f>
        <v>115</v>
      </c>
      <c r="D64" s="561" t="s">
        <v>124</v>
      </c>
      <c r="E64" s="2264"/>
      <c r="F64" s="2256"/>
      <c r="G64" s="2256"/>
      <c r="H64" s="275"/>
      <c r="I64" s="274"/>
      <c r="J64" s="3239"/>
      <c r="K64" s="3057" t="s">
        <v>848</v>
      </c>
      <c r="L64" s="3057">
        <f ca="1">IF(M49&gt;2000,M49*0.5%,IF(AND(M49&gt;1000,M49&lt;=2000),M49*0.6%,IF(AND(M49&gt;500,M49&lt;=1000),M49*0.7%,IF(AND(M49&gt;200,M49&lt;=500),M49*0.8%,IF(AND(M49&gt;100,M49&lt;=200),M49*0.9%,IF(AND(M49&gt;50,M49&lt;=100),M49*1%,IF(AND(M49&gt;20,M49&lt;=50),M49*1.5%,IF(AND(M49&gt;10,M49&lt;=20),M49*2%,IF(AND(M49&gt;1,M49&lt;=10),M49*2.5%)))))))))</f>
        <v>1.6480000000000001</v>
      </c>
      <c r="M64" s="1638">
        <f t="shared" ref="M64:M65" ca="1" si="1">ROUND(L64,1)</f>
        <v>1.6</v>
      </c>
      <c r="N64" s="1801" t="s">
        <v>849</v>
      </c>
      <c r="Z64" s="2131"/>
      <c r="AI64" s="2132"/>
    </row>
    <row r="65" spans="1:35" ht="14.25" customHeight="1">
      <c r="A65" s="2262" t="s">
        <v>850</v>
      </c>
      <c r="B65" s="561" t="s">
        <v>851</v>
      </c>
      <c r="C65" s="2300"/>
      <c r="D65" s="561"/>
      <c r="E65" s="2264"/>
      <c r="F65" s="2256"/>
      <c r="G65" s="2256"/>
      <c r="H65" s="275"/>
      <c r="I65" s="274"/>
      <c r="J65" s="3239"/>
      <c r="K65" s="3057" t="s">
        <v>852</v>
      </c>
      <c r="L65" s="3057">
        <f ca="1">IF(M49&gt;1000,M49*0.1%,IF(AND(M49&gt;500,M49&lt;=1000),M49*0.5%,IF(AND(M49&gt;50,M49&lt;=500),M49*1%,IF(AND(M49&gt;1,M49&lt;=50),M49*1.5%))))</f>
        <v>2.06</v>
      </c>
      <c r="M65" s="1638">
        <f t="shared" ca="1" si="1"/>
        <v>2.1</v>
      </c>
      <c r="N65" s="1801" t="s">
        <v>849</v>
      </c>
      <c r="Z65" s="2131"/>
      <c r="AI65" s="2132"/>
    </row>
    <row r="66" spans="1:35" ht="14.25" customHeight="1">
      <c r="A66" s="2258" t="s">
        <v>853</v>
      </c>
      <c r="B66" s="2301" t="s">
        <v>854</v>
      </c>
      <c r="C66" s="2302"/>
      <c r="D66" s="2301" t="s">
        <v>124</v>
      </c>
      <c r="E66" s="2303" t="s">
        <v>855</v>
      </c>
      <c r="F66" s="2256"/>
      <c r="G66" s="2256"/>
      <c r="H66" s="275"/>
      <c r="I66" s="274"/>
      <c r="J66" s="3239"/>
      <c r="K66" s="3057" t="s">
        <v>856</v>
      </c>
      <c r="L66" s="3057">
        <f ca="1">M49*0.5%</f>
        <v>1.03</v>
      </c>
      <c r="M66" s="1638">
        <f ca="1">IF(L66&gt;0.5,0.5,ROUND(L66,0))</f>
        <v>0.5</v>
      </c>
      <c r="N66" s="1801" t="s">
        <v>857</v>
      </c>
      <c r="Z66" s="2131"/>
      <c r="AI66" s="2132"/>
    </row>
    <row r="67" spans="1:35" ht="14.25" customHeight="1">
      <c r="A67" s="2258" t="s">
        <v>858</v>
      </c>
      <c r="B67" s="2301" t="s">
        <v>859</v>
      </c>
      <c r="C67" s="2304">
        <f ca="1">C63-C66</f>
        <v>110</v>
      </c>
      <c r="D67" s="561" t="s">
        <v>124</v>
      </c>
      <c r="E67" s="2264"/>
      <c r="F67" s="2256"/>
      <c r="G67" s="2256"/>
      <c r="H67" s="275"/>
      <c r="I67" s="274"/>
      <c r="J67" s="3239"/>
      <c r="K67" s="3057" t="s">
        <v>860</v>
      </c>
      <c r="L67" s="3057">
        <f ca="1">IF(M49&gt;=10000,(8.25+(M49-10000)*0.01%),IF(AND(M49&gt;=8000,M49&lt;10000),(7.85+(M49-8000)*0.02%),IF(AND(M49&gt;=5000,M49&lt;8000),(6.65+(M49-5000)*0.04%),IF(AND(M49&gt;=2000,M49&lt;5000),(4.25+(PM49-2000)*0.08%),IF(AND(M49&gt;=1000,M49&lt;2000),(2.75+(M49-1000)*0.15%),IF(AND(M49&gt;=100,M49&lt;1000),(0.5+(M49-100)*0.25%),IF(AND(M49&gt;0,M49&lt;100),M49*0.5%)))))))</f>
        <v>0.76500000000000001</v>
      </c>
      <c r="M67" s="1638">
        <f ca="1">ROUND(L67*0.9,1)</f>
        <v>0.7</v>
      </c>
      <c r="N67" s="2298"/>
      <c r="Z67" s="2131"/>
      <c r="AI67" s="2132"/>
    </row>
    <row r="68" spans="1:35" ht="14.25" customHeight="1" thickBot="1">
      <c r="A68" s="2305" t="s">
        <v>861</v>
      </c>
      <c r="B68" s="2306" t="s">
        <v>862</v>
      </c>
      <c r="C68" s="2307">
        <f ca="1">IF(C67&lt;=0,0,ROUND(C67*D68,0))</f>
        <v>6</v>
      </c>
      <c r="D68" s="2308">
        <f>'数据-取费表'!B41</f>
        <v>5.5E-2</v>
      </c>
      <c r="E68" s="2309"/>
      <c r="F68" s="2256"/>
      <c r="G68" s="2256"/>
      <c r="H68" s="275"/>
      <c r="I68" s="274"/>
      <c r="J68" s="3239"/>
      <c r="K68" s="3057" t="s">
        <v>863</v>
      </c>
      <c r="L68" s="3057">
        <f ca="1">IF(M49&gt;10000,M49*0.5%,IF(AND(M49&gt;5000,M49&lt;=10000),M49*1%,IF(AND(M49&gt;1000,M49&lt;=5000),M49*2%,IF(AND(M49&gt;200,M49&lt;=1000),M49*3%,M49*5%))))</f>
        <v>6.18</v>
      </c>
      <c r="M68" s="1638">
        <f ca="1">ROUND(L68,1)</f>
        <v>6.2</v>
      </c>
      <c r="N68" s="2298"/>
      <c r="Z68" s="2131"/>
      <c r="AI68" s="2132"/>
    </row>
    <row r="69" spans="1:35" ht="16.5" customHeight="1">
      <c r="A69" s="2310"/>
      <c r="B69" s="2311"/>
      <c r="C69" s="2312"/>
      <c r="D69" s="712"/>
      <c r="E69" s="2313"/>
      <c r="F69" s="2255"/>
      <c r="G69" s="2255"/>
      <c r="H69" s="2216"/>
      <c r="I69" s="1780"/>
      <c r="J69" s="3239"/>
      <c r="K69" s="3057" t="s">
        <v>864</v>
      </c>
      <c r="L69" s="3057"/>
      <c r="M69" s="1638">
        <f ca="1">ROUND(SUM(M63:M68),0)</f>
        <v>17</v>
      </c>
      <c r="N69" s="2375">
        <f ca="1">M69/M49</f>
        <v>8.2524271844660199E-2</v>
      </c>
      <c r="Z69" s="2131"/>
      <c r="AI69" s="2132"/>
    </row>
    <row r="70" spans="1:35" s="464" customFormat="1" ht="15" thickBot="1">
      <c r="A70" s="3280" t="s">
        <v>865</v>
      </c>
      <c r="B70" s="3281"/>
      <c r="C70" s="3281"/>
      <c r="D70" s="3281"/>
      <c r="E70" s="3281"/>
      <c r="F70" s="3281"/>
      <c r="G70" s="3281"/>
      <c r="H70" s="3281"/>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3" t="s">
        <v>840</v>
      </c>
      <c r="B71" s="3254"/>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110</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1</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1" t="s">
        <v>875</v>
      </c>
      <c r="F76" s="3238"/>
      <c r="G76" s="3238"/>
      <c r="H76" s="3282"/>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1</v>
      </c>
      <c r="D78" s="2329">
        <f>'数据-取费表'!B43</f>
        <v>5.0000000000000001E-3</v>
      </c>
      <c r="E78" s="3283" t="s">
        <v>882</v>
      </c>
      <c r="F78" s="3284"/>
      <c r="G78" s="3284"/>
      <c r="H78" s="3285"/>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109</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109</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65</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0" t="s">
        <v>887</v>
      </c>
      <c r="B83" s="3281"/>
      <c r="C83" s="3281"/>
      <c r="D83" s="3281"/>
      <c r="E83" s="3281"/>
      <c r="F83" s="3281"/>
      <c r="G83" s="3281"/>
      <c r="H83" s="3281"/>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3" t="s">
        <v>840</v>
      </c>
      <c r="B84" s="3254"/>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110</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57362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2" t="s">
        <v>896</v>
      </c>
      <c r="H90" s="3293"/>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3" t="s">
        <v>900</v>
      </c>
      <c r="F91" s="3284"/>
      <c r="G91" s="3284"/>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3" t="s">
        <v>903</v>
      </c>
      <c r="F92" s="3284"/>
      <c r="G92" s="3284"/>
      <c r="H92" s="3285"/>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1</v>
      </c>
      <c r="D93" s="2329">
        <f>'数据-取费表'!B43</f>
        <v>5.0000000000000001E-3</v>
      </c>
      <c r="E93" s="3283" t="s">
        <v>882</v>
      </c>
      <c r="F93" s="3284"/>
      <c r="G93" s="3284"/>
      <c r="H93" s="3285"/>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5" t="s">
        <v>908</v>
      </c>
      <c r="F94" s="3306"/>
      <c r="G94" s="3306"/>
      <c r="H94" s="3307"/>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-57252</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9" t="s">
        <v>910</v>
      </c>
      <c r="B100" s="3200"/>
      <c r="C100" s="3200"/>
      <c r="D100" s="3268"/>
      <c r="E100" s="3200" t="s">
        <v>911</v>
      </c>
      <c r="F100" s="3200"/>
      <c r="G100" s="3200"/>
      <c r="H100" s="3268"/>
      <c r="I100" s="274"/>
    </row>
    <row r="101" spans="1:35" ht="18.75" customHeight="1">
      <c r="A101" s="3269" t="s">
        <v>912</v>
      </c>
      <c r="B101" s="3270"/>
      <c r="C101" s="2352" t="str">
        <f>C4</f>
        <v>成本法仓</v>
      </c>
      <c r="D101" s="2353" t="str">
        <f>D4</f>
        <v>收益法 (元)</v>
      </c>
      <c r="E101" s="3291" t="s">
        <v>913</v>
      </c>
      <c r="F101" s="3287"/>
      <c r="G101" s="2355" t="s">
        <v>914</v>
      </c>
      <c r="H101" s="2356">
        <f ca="1">H118</f>
        <v>206</v>
      </c>
      <c r="I101" s="274"/>
    </row>
    <row r="102" spans="1:35" ht="18.75" customHeight="1">
      <c r="A102" s="3300" t="s">
        <v>915</v>
      </c>
      <c r="B102" s="2357" t="s">
        <v>914</v>
      </c>
      <c r="C102" s="2352">
        <f ca="1">C19</f>
        <v>230</v>
      </c>
      <c r="D102" s="2353">
        <f ca="1">D19</f>
        <v>182</v>
      </c>
      <c r="E102" s="3291"/>
      <c r="F102" s="3287"/>
      <c r="G102" s="2355" t="s">
        <v>99</v>
      </c>
      <c r="H102" s="2244">
        <f ca="1">I118</f>
        <v>5580</v>
      </c>
      <c r="I102" s="274"/>
    </row>
    <row r="103" spans="1:35" ht="42.75" customHeight="1">
      <c r="A103" s="3300"/>
      <c r="B103" s="2357" t="s">
        <v>99</v>
      </c>
      <c r="C103" s="2358">
        <f ca="1">C20</f>
        <v>6230</v>
      </c>
      <c r="D103" s="2359">
        <f ca="1">D20</f>
        <v>4927</v>
      </c>
      <c r="E103" s="3271" t="s">
        <v>916</v>
      </c>
      <c r="F103" s="3272"/>
      <c r="G103" s="2360" t="s">
        <v>102</v>
      </c>
      <c r="H103" s="2356">
        <f>IF(D36="正常操作",H104+H105+H106,H105+H106)</f>
        <v>0</v>
      </c>
      <c r="I103" s="274"/>
    </row>
    <row r="104" spans="1:35" ht="18.75" customHeight="1">
      <c r="A104" s="3300" t="s">
        <v>917</v>
      </c>
      <c r="B104" s="2361" t="s">
        <v>914</v>
      </c>
      <c r="C104" s="2362">
        <f ca="1">H118</f>
        <v>206</v>
      </c>
      <c r="D104" s="2363"/>
      <c r="E104" s="2201" t="s">
        <v>918</v>
      </c>
      <c r="F104" s="2364"/>
      <c r="G104" s="2360" t="s">
        <v>102</v>
      </c>
      <c r="H104" s="2365">
        <f>IF(D36="同一抵押权人同一抵押物续贷",C36&amp;"（续贷，未扣减，详见特别提示）",C36)</f>
        <v>0</v>
      </c>
      <c r="I104" s="274"/>
    </row>
    <row r="105" spans="1:35" ht="18.75" customHeight="1" thickBot="1">
      <c r="A105" s="3301"/>
      <c r="B105" s="2366" t="s">
        <v>99</v>
      </c>
      <c r="C105" s="2367">
        <f ca="1">I118</f>
        <v>5580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6" t="str">
        <f>IF(项目基本情况!E8="已注销","——","3.房地产抵押价值")</f>
        <v>3.房地产抵押价值</v>
      </c>
      <c r="F107" s="3287"/>
      <c r="G107" s="2355" t="s">
        <v>914</v>
      </c>
      <c r="H107" s="2356">
        <f ca="1">IF(E107="——","——",H101-H103)</f>
        <v>206</v>
      </c>
      <c r="I107" s="274"/>
    </row>
    <row r="108" spans="1:35" ht="18.75" customHeight="1">
      <c r="A108" s="274"/>
      <c r="B108" s="274"/>
      <c r="C108" s="274"/>
      <c r="D108" s="274"/>
      <c r="E108" s="3286"/>
      <c r="F108" s="3287"/>
      <c r="G108" s="2355" t="s">
        <v>99</v>
      </c>
      <c r="H108" s="2244">
        <f ca="1">ROUND(H107*10000/'数据-汇总表'!E3,0)</f>
        <v>42</v>
      </c>
      <c r="I108" s="274"/>
    </row>
    <row r="109" spans="1:35" ht="18.75" customHeight="1">
      <c r="A109" s="274"/>
      <c r="B109" s="274"/>
      <c r="C109" s="274"/>
      <c r="D109" s="274"/>
      <c r="E109" s="3286" t="str">
        <f>IF(项目基本情况!E8="已注销及未注销","4.抵押担保权已注销时的房地产抵押价值",IF(项目基本情况!E8="已注销","3.抵押担保权已注销时的房地产抵押价值","——"))</f>
        <v>——</v>
      </c>
      <c r="F109" s="3287"/>
      <c r="G109" s="2355" t="s">
        <v>914</v>
      </c>
      <c r="H109" s="2371" t="str">
        <f>IF(E109="——","——",H101-H105-H106)</f>
        <v>——</v>
      </c>
      <c r="I109" s="274"/>
    </row>
    <row r="110" spans="1:35" ht="18.75" customHeight="1">
      <c r="A110" s="274"/>
      <c r="B110" s="274"/>
      <c r="C110" s="274"/>
      <c r="D110" s="274"/>
      <c r="E110" s="3286"/>
      <c r="F110" s="3287"/>
      <c r="G110" s="2355" t="s">
        <v>99</v>
      </c>
      <c r="H110" s="2244" t="str">
        <f>IF(H109="——","——",ROUND(H109*10000/'数据-汇总表'!E3,0))</f>
        <v>——</v>
      </c>
      <c r="I110" s="274"/>
    </row>
    <row r="111" spans="1:35" ht="18.75" customHeight="1">
      <c r="A111" s="274"/>
      <c r="B111" s="274"/>
      <c r="C111" s="274"/>
      <c r="D111" s="274"/>
      <c r="E111" s="3288" t="str">
        <f>IF(项目基本情况!E9="抵押净值",IF(OR(项目基本情况!E8="已注销",项目基本情况!E8="房地产抵押价值"),"4.抵押净值","5.抵押净值"),"——")</f>
        <v>4.抵押净值</v>
      </c>
      <c r="F111" s="3257"/>
      <c r="G111" s="2355" t="s">
        <v>914</v>
      </c>
      <c r="H111" s="2356">
        <f ca="1">IF(E111="——","——",N59)</f>
        <v>200</v>
      </c>
      <c r="I111" s="274"/>
    </row>
    <row r="112" spans="1:35" ht="18.75" customHeight="1" thickBot="1">
      <c r="A112" s="274"/>
      <c r="B112" s="274"/>
      <c r="C112" s="274"/>
      <c r="D112" s="274"/>
      <c r="E112" s="3289"/>
      <c r="F112" s="3290"/>
      <c r="G112" s="2372" t="s">
        <v>99</v>
      </c>
      <c r="H112" s="2373">
        <f ca="1">IF(E111="——","——",N61)</f>
        <v>40</v>
      </c>
      <c r="I112" s="274"/>
    </row>
    <row r="113" spans="1:27" ht="18.75" customHeight="1">
      <c r="A113" s="274"/>
      <c r="B113" s="274"/>
      <c r="C113" s="274"/>
      <c r="D113" s="274"/>
      <c r="E113" s="3273" t="s">
        <v>920</v>
      </c>
      <c r="F113" s="3273"/>
      <c r="G113" s="3273"/>
      <c r="H113" s="3273"/>
      <c r="I113" s="274"/>
    </row>
    <row r="114" spans="1:27" ht="3.75" customHeight="1">
      <c r="A114" s="1780"/>
      <c r="B114" s="1780"/>
      <c r="C114" s="1780"/>
      <c r="D114" s="1780"/>
      <c r="E114" s="2254"/>
      <c r="F114" s="2254"/>
      <c r="G114" s="2254"/>
      <c r="H114" s="2254"/>
      <c r="I114" s="1780"/>
    </row>
    <row r="115" spans="1:27" ht="18.75" customHeight="1">
      <c r="A115" s="3274" t="s">
        <v>922</v>
      </c>
      <c r="B115" s="3275"/>
      <c r="C115" s="3275"/>
      <c r="D115" s="3275"/>
      <c r="E115" s="3275"/>
      <c r="F115" s="3275"/>
      <c r="G115" s="3275"/>
      <c r="H115" s="3275"/>
      <c r="I115" s="3276"/>
    </row>
    <row r="116" spans="1:27" ht="27" customHeight="1">
      <c r="A116" s="3261" t="s">
        <v>923</v>
      </c>
      <c r="B116" s="3303" t="s">
        <v>924</v>
      </c>
      <c r="C116" s="3303" t="s">
        <v>925</v>
      </c>
      <c r="D116" s="3277" t="s">
        <v>926</v>
      </c>
      <c r="E116" s="3278"/>
      <c r="F116" s="3279" t="s">
        <v>927</v>
      </c>
      <c r="G116" s="3279"/>
      <c r="H116" s="3261" t="s">
        <v>928</v>
      </c>
      <c r="I116" s="3261"/>
    </row>
    <row r="117" spans="1:27" ht="18.75" customHeight="1">
      <c r="A117" s="3261"/>
      <c r="B117" s="3304"/>
      <c r="C117" s="330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369.19</v>
      </c>
      <c r="C118" s="3065">
        <f>M19</f>
        <v>0</v>
      </c>
      <c r="D118" s="3065">
        <f ca="1">ROUND(IF(D32="总价",C34,E118*B118/10000),0)</f>
        <v>110</v>
      </c>
      <c r="E118" s="3065">
        <f ca="1">ROUND(IF(C33="自定义",IF(D32="楼面单价",C34,D118*10000/B118),I118-G118),0)</f>
        <v>2980</v>
      </c>
      <c r="F118" s="3065">
        <f ca="1">ROUND(IF(D32="总价",C35,G118*B118/10000),0)</f>
        <v>96</v>
      </c>
      <c r="G118" s="3065">
        <f ca="1">ROUND(IF(D32="楼面单价",C35,F118*10000/B118),0)</f>
        <v>2600</v>
      </c>
      <c r="H118" s="3065">
        <f ca="1">ROUND(IF(D32="总价",C32,I118*B118/10000),0)</f>
        <v>206</v>
      </c>
      <c r="I118" s="3065">
        <f ca="1">ROUND(IF(D32="楼面单价",C32,H118*10000/B118),0)</f>
        <v>5580</v>
      </c>
    </row>
    <row r="119" spans="1:27" ht="18.75" customHeight="1">
      <c r="A119" s="3261" t="s">
        <v>930</v>
      </c>
      <c r="B119" s="3261"/>
      <c r="C119" s="3261"/>
      <c r="D119" s="3262" t="str">
        <f ca="1">NUMBERSTRING(INT(D118*10000),2)&amp;"元整"</f>
        <v>壹佰壹拾万元整</v>
      </c>
      <c r="E119" s="3264"/>
      <c r="F119" s="3262" t="str">
        <f ca="1">NUMBERSTRING(INT(F118*10000),2)&amp;"元整"</f>
        <v>玖拾陆万元整</v>
      </c>
      <c r="G119" s="3264"/>
      <c r="H119" s="3262" t="str">
        <f ca="1">NUMBERSTRING(INT(H118*10000),2)&amp;"元整"</f>
        <v>贰佰零陆万元整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5" t="s">
        <v>930</v>
      </c>
      <c r="B121" s="3266"/>
      <c r="C121" s="3267"/>
      <c r="D121" s="3262" t="str">
        <f>IF(D120=0,"零元整",NUMBERSTRING(INT(D120*10000),2)&amp;"元整")</f>
        <v>零元整</v>
      </c>
      <c r="E121" s="3263"/>
      <c r="F121" s="3263"/>
      <c r="G121" s="3263"/>
      <c r="H121" s="3263"/>
      <c r="I121" s="3264"/>
      <c r="AA121" s="232"/>
    </row>
    <row r="122" spans="1:27" ht="18.75" customHeight="1">
      <c r="A122" s="3257" t="str">
        <f>IF(项目基本情况!B9="房地产市场价值","",MID(E107,3,LEN(E107)-2))</f>
        <v>房地产抵押价值</v>
      </c>
      <c r="B122" s="3257"/>
      <c r="C122" s="3257"/>
      <c r="D122" s="3258">
        <f ca="1">H107</f>
        <v>206</v>
      </c>
      <c r="E122" s="3259"/>
      <c r="F122" s="3259"/>
      <c r="G122" s="3259"/>
      <c r="H122" s="3259"/>
      <c r="I122" s="3260"/>
      <c r="AA122" s="232"/>
    </row>
    <row r="123" spans="1:27" ht="18.75" customHeight="1">
      <c r="A123" s="3261" t="s">
        <v>930</v>
      </c>
      <c r="B123" s="3261"/>
      <c r="C123" s="3261"/>
      <c r="D123" s="3262" t="str">
        <f ca="1">NUMBERSTRING(INT(D122*10000),2)&amp;"元整"</f>
        <v>贰佰零陆万元整</v>
      </c>
      <c r="E123" s="3263"/>
      <c r="F123" s="3263"/>
      <c r="G123" s="3263"/>
      <c r="H123" s="3263"/>
      <c r="I123" s="3264"/>
      <c r="AA123" s="232"/>
    </row>
    <row r="124" spans="1:27" ht="18.75" customHeight="1">
      <c r="A124" s="3257" t="str">
        <f>IF(项目基本情况!B9="房地产市场价值","",MID(E109,3,LEN(E109)-2))</f>
        <v/>
      </c>
      <c r="B124" s="3257"/>
      <c r="C124" s="3257"/>
      <c r="D124" s="3258" t="str">
        <f>H109</f>
        <v>——</v>
      </c>
      <c r="E124" s="3259"/>
      <c r="F124" s="3259"/>
      <c r="G124" s="3259"/>
      <c r="H124" s="3259"/>
      <c r="I124" s="3260"/>
      <c r="AA124" s="232"/>
    </row>
    <row r="125" spans="1:27" ht="18.75" customHeight="1">
      <c r="A125" s="3261" t="s">
        <v>930</v>
      </c>
      <c r="B125" s="3261"/>
      <c r="C125" s="3261"/>
      <c r="D125" s="3262" t="e">
        <f>NUMBERSTRING(INT(D124*10000),2)&amp;"元整"</f>
        <v>#VALUE!</v>
      </c>
      <c r="E125" s="3263"/>
      <c r="F125" s="3263"/>
      <c r="G125" s="3263"/>
      <c r="H125" s="3263"/>
      <c r="I125" s="3264"/>
      <c r="AA125" s="232"/>
    </row>
    <row r="126" spans="1:27" ht="18.75" customHeight="1">
      <c r="A126" s="3257" t="str">
        <f>IF(项目基本情况!B9="房地产市场价值","",MID(E111,3,LEN(E111)-2))</f>
        <v>抵押净值</v>
      </c>
      <c r="B126" s="3257"/>
      <c r="C126" s="3257"/>
      <c r="D126" s="3258">
        <f ca="1">H111</f>
        <v>200</v>
      </c>
      <c r="E126" s="3259"/>
      <c r="F126" s="3259"/>
      <c r="G126" s="3259"/>
      <c r="H126" s="3259"/>
      <c r="I126" s="3260"/>
      <c r="AA126" s="232"/>
    </row>
    <row r="127" spans="1:27" ht="18.75" customHeight="1">
      <c r="A127" s="3261" t="s">
        <v>930</v>
      </c>
      <c r="B127" s="3261"/>
      <c r="C127" s="3261"/>
      <c r="D127" s="3262" t="str">
        <f ca="1">NUMBERSTRING(INT(D126*10000),2)&amp;"元整"</f>
        <v>贰佰万元整</v>
      </c>
      <c r="E127" s="3263"/>
      <c r="F127" s="3263"/>
      <c r="G127" s="3263"/>
      <c r="H127" s="3263"/>
      <c r="I127" s="3264"/>
      <c r="AA127" s="232"/>
    </row>
    <row r="128" spans="1:27" ht="21.75" customHeight="1">
      <c r="A128" s="3294" t="s">
        <v>113</v>
      </c>
      <c r="B128" s="3294"/>
      <c r="C128" s="3294"/>
      <c r="D128" s="3294"/>
      <c r="E128" s="3294"/>
      <c r="F128" s="3294"/>
      <c r="G128" s="3294"/>
      <c r="H128" s="3294"/>
      <c r="I128" s="3294"/>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464</v>
      </c>
      <c r="C1" s="2092" t="s">
        <v>1492</v>
      </c>
      <c r="D1" s="146"/>
      <c r="E1" s="146"/>
      <c r="F1" s="146"/>
      <c r="G1" s="2093">
        <f>MATCH(B1,'数据-取费表'!A6:A16,0)+5</f>
        <v>8</v>
      </c>
      <c r="H1" s="1944" t="str">
        <f>IF(ISERROR(FIND("住宅",B1)),"非住宅","住宅")</f>
        <v>非住宅</v>
      </c>
    </row>
    <row r="2" spans="1:8" s="136" customFormat="1" ht="18" customHeight="1">
      <c r="A2" s="148" t="s">
        <v>941</v>
      </c>
      <c r="B2" s="149">
        <f ca="1">ROUND(IF(D2="——",C52/10000,C52/10000-E2),0)</f>
        <v>230</v>
      </c>
      <c r="C2" s="147" t="s">
        <v>1397</v>
      </c>
      <c r="D2" s="2094" t="s">
        <v>124</v>
      </c>
      <c r="E2" s="2095" t="e">
        <f ca="1">SUMIF(INDIRECT("'"&amp;G2&amp;"'"&amp;"!A:A"),"承租人权益价值",INDIRECT("'"&amp;G2&amp;"'"&amp;"!c:c"))</f>
        <v>#REF!</v>
      </c>
      <c r="F2" s="2096" t="s">
        <v>1397</v>
      </c>
      <c r="G2" s="2097"/>
    </row>
    <row r="3" spans="1:8" s="136" customFormat="1" ht="18" customHeight="1">
      <c r="A3" s="151" t="s">
        <v>942</v>
      </c>
      <c r="B3" s="152">
        <f ca="1">ROUND(B2*10000/(IF(B1="",'数据-汇总表'!E3,INDIRECT("'数据-取费表'!k"&amp;$G$1))),0)</f>
        <v>6230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370209</v>
      </c>
      <c r="D5" s="158" t="s">
        <v>1402</v>
      </c>
      <c r="E5" s="159" t="s">
        <v>1403</v>
      </c>
      <c r="F5" s="159" t="s">
        <v>841</v>
      </c>
      <c r="G5" s="160"/>
    </row>
    <row r="6" spans="1:8" s="138" customFormat="1" ht="13.5" customHeight="1">
      <c r="A6" s="161" t="s">
        <v>1404</v>
      </c>
      <c r="B6" s="162" t="s">
        <v>1405</v>
      </c>
      <c r="C6" s="163">
        <f ca="1">ROUND('土地比较法-住宅、综合'!B61*成本法仓!D10,0)</f>
        <v>287599</v>
      </c>
      <c r="D6" s="164"/>
      <c r="E6" s="165"/>
      <c r="F6" s="165"/>
      <c r="G6" s="166"/>
    </row>
    <row r="7" spans="1:8" s="138" customFormat="1" ht="13.5" customHeight="1">
      <c r="A7" s="161" t="s">
        <v>1406</v>
      </c>
      <c r="B7" s="162" t="s">
        <v>1407</v>
      </c>
      <c r="C7" s="167">
        <f ca="1">ROUND(C6*F7,0)</f>
        <v>8772</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8"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8" t="s">
        <v>1433</v>
      </c>
    </row>
    <row r="20" spans="1:7" s="138" customFormat="1" ht="13.5" customHeight="1">
      <c r="A20" s="156" t="s">
        <v>1434</v>
      </c>
      <c r="B20" s="157" t="s">
        <v>1435</v>
      </c>
      <c r="C20" s="181">
        <f ca="1">ROUND((C5+C19)*F20,0)</f>
        <v>7404</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40040</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39654</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386</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37761</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37761</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492552</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75819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08" t="s">
        <v>1495</v>
      </c>
    </row>
    <row r="43" spans="1:7" ht="13.5" customHeight="1">
      <c r="A43" s="189" t="s">
        <v>1406</v>
      </c>
      <c r="B43" s="162" t="s">
        <v>1445</v>
      </c>
      <c r="C43" s="191">
        <f ca="1">ROUND(IF('数据-取费表'!B22&lt;=1,C39*F22*'数据-取费表'!B20/2,C39*(POWER((1+F22),'数据-取费表'!B20/2)-1)),0)</f>
        <v>1487</v>
      </c>
      <c r="D43" s="191"/>
      <c r="E43" s="191"/>
      <c r="F43" s="192"/>
      <c r="G43" s="3309"/>
    </row>
    <row r="44" spans="1:7" ht="13.5" customHeight="1">
      <c r="A44" s="189" t="s">
        <v>1408</v>
      </c>
      <c r="B44" s="162" t="s">
        <v>1447</v>
      </c>
      <c r="C44" s="191">
        <f>ROUND(IF('数据-取费表'!B22&lt;=1,C40*F22*'数据-取费表'!B20/2,C40*(POWER((1+F22),'数据-取费表'!B20/2)-1)),4)</f>
        <v>1E-3</v>
      </c>
      <c r="D44" s="191"/>
      <c r="E44" s="191"/>
      <c r="F44" s="192"/>
      <c r="G44" s="3310"/>
    </row>
    <row r="45" spans="1:7" s="138" customFormat="1" ht="13.5" customHeight="1">
      <c r="A45" s="156" t="s">
        <v>1441</v>
      </c>
      <c r="B45" s="197" t="s">
        <v>1452</v>
      </c>
      <c r="C45" s="198">
        <f ca="1">C46</f>
        <v>145263</v>
      </c>
      <c r="D45" s="184">
        <f ca="1">C47</f>
        <v>2E-3</v>
      </c>
      <c r="E45" s="185" t="s">
        <v>1473</v>
      </c>
      <c r="F45" s="2101">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2302756</v>
      </c>
      <c r="D52" s="218"/>
      <c r="E52" s="218"/>
      <c r="F52" s="218"/>
      <c r="G52" s="220"/>
    </row>
    <row r="55" spans="1:7" ht="15">
      <c r="B55" s="221" t="s">
        <v>1489</v>
      </c>
      <c r="C55" s="222"/>
    </row>
    <row r="56" spans="1:7">
      <c r="B56" s="223" t="s">
        <v>1490</v>
      </c>
      <c r="C56" s="225">
        <f ca="1">1-C57</f>
        <v>0.21399999999999997</v>
      </c>
    </row>
    <row r="57" spans="1:7">
      <c r="B57" s="223" t="s">
        <v>1491</v>
      </c>
      <c r="C57" s="224">
        <f ca="1">ROUND(C51/C52,3)</f>
        <v>0.78600000000000003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7" zoomScale="85" zoomScaleNormal="70" zoomScaleSheetLayoutView="85" workbookViewId="0">
      <selection activeCell="F36" sqref="F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45.29</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182</v>
      </c>
      <c r="C2" s="1616" t="s">
        <v>1613</v>
      </c>
      <c r="D2" s="1617">
        <f ca="1">C40+J29+L46</f>
        <v>1818952</v>
      </c>
      <c r="E2" s="1618" t="s">
        <v>1802</v>
      </c>
      <c r="F2" s="1619"/>
      <c r="G2" s="1620"/>
      <c r="H2" s="1621"/>
      <c r="I2" s="1621"/>
      <c r="J2" s="1621"/>
      <c r="K2" s="1775"/>
      <c r="L2" s="1621"/>
      <c r="M2" s="1621"/>
    </row>
    <row r="3" spans="1:37" ht="18" customHeight="1">
      <c r="A3" s="1622" t="s">
        <v>1614</v>
      </c>
      <c r="B3" s="1623">
        <f ca="1">IF(ISERROR(D2/F43),0,ROUND(D2/F43,0))</f>
        <v>4927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7" t="s">
        <v>1624</v>
      </c>
      <c r="C6" s="1636">
        <f ca="1">ROUND(F6*F8*F7*(1-F9),0)</f>
        <v>121279</v>
      </c>
      <c r="D6" s="1637" t="s">
        <v>1803</v>
      </c>
      <c r="E6" s="1638" t="s">
        <v>1626</v>
      </c>
      <c r="F6" s="1639">
        <f ca="1">INDIRECT("'数据-取费表'!u"&amp;$G$1)</f>
        <v>1</v>
      </c>
      <c r="G6" s="731"/>
      <c r="H6" s="1635" t="s">
        <v>846</v>
      </c>
      <c r="I6" s="3377" t="s">
        <v>1624</v>
      </c>
      <c r="J6" s="1709">
        <f ca="1">ROUND(M6*M8*M7*(1-M9),0)</f>
        <v>0</v>
      </c>
      <c r="K6" s="1778" t="s">
        <v>1804</v>
      </c>
      <c r="L6" s="1638" t="s">
        <v>1626</v>
      </c>
      <c r="M6" s="1639">
        <f ca="1">INDIRECT("'数据-取费表'!z"&amp;$G$1)</f>
        <v>0</v>
      </c>
    </row>
    <row r="7" spans="1:37" ht="18" customHeight="1">
      <c r="A7" s="1640"/>
      <c r="B7" s="3378"/>
      <c r="C7" s="1641"/>
      <c r="D7" s="1642"/>
      <c r="E7" s="1643" t="s">
        <v>1628</v>
      </c>
      <c r="F7" s="1639">
        <f ca="1">IF(INDIRECT("'数据-取费表'!ah"&amp;$G$1)="",INDIRECT("'数据-取费表'!k"&amp;$G$1),INDIRECT("'数据-取费表'!ah"&amp;$G$1))</f>
        <v>369.19</v>
      </c>
      <c r="G7" s="731"/>
      <c r="H7" s="1644"/>
      <c r="I7" s="3378"/>
      <c r="J7" s="1645"/>
      <c r="K7" s="1642"/>
      <c r="L7" s="1638" t="s">
        <v>1628</v>
      </c>
      <c r="M7" s="1639">
        <f ca="1">F7</f>
        <v>369.19</v>
      </c>
    </row>
    <row r="8" spans="1:37" ht="18" customHeight="1">
      <c r="A8" s="1644"/>
      <c r="B8" s="3378"/>
      <c r="C8" s="1645"/>
      <c r="D8" s="1642"/>
      <c r="E8" s="1638" t="s">
        <v>1629</v>
      </c>
      <c r="F8" s="1639">
        <f ca="1">INDIRECT("'数据-取费表'!ai"&amp;$G$1)</f>
        <v>365</v>
      </c>
      <c r="G8" s="731"/>
      <c r="H8" s="1644"/>
      <c r="I8" s="3378"/>
      <c r="J8" s="1645"/>
      <c r="K8" s="1642"/>
      <c r="L8" s="1638" t="s">
        <v>1629</v>
      </c>
      <c r="M8" s="1639">
        <f ca="1">INDIRECT("'数据-取费表'!ai"&amp;$G$1)</f>
        <v>365</v>
      </c>
    </row>
    <row r="9" spans="1:37" ht="18" customHeight="1">
      <c r="A9" s="1644"/>
      <c r="B9" s="3379"/>
      <c r="C9" s="1645"/>
      <c r="D9" s="1642"/>
      <c r="E9" s="1638" t="s">
        <v>1630</v>
      </c>
      <c r="F9" s="1646">
        <f ca="1">INDIRECT("'数据-取费表'!w"&amp;$G$1)</f>
        <v>0.1</v>
      </c>
      <c r="G9" s="731"/>
      <c r="H9" s="1644"/>
      <c r="I9" s="3379"/>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33308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18102</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-33308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41514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20388</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f>
        <v>175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481">
        <f>工程进度!H2</f>
        <v>116.69</v>
      </c>
      <c r="G35" s="731"/>
      <c r="H35" s="1689"/>
      <c r="I35" s="1794"/>
      <c r="J35" s="1795"/>
      <c r="K35" s="1798"/>
      <c r="L35" s="1695"/>
      <c r="M35" s="1695"/>
    </row>
    <row r="36" spans="1:18" ht="18" customHeight="1">
      <c r="A36" s="1702" t="s">
        <v>850</v>
      </c>
      <c r="B36" s="1638" t="s">
        <v>1674</v>
      </c>
      <c r="C36" s="285">
        <f ca="1">ROUND(C29*F36,0)</f>
        <v>18102</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1214.3</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79917</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1791581</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4853</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-5650709</v>
      </c>
      <c r="D45" s="1723" t="s">
        <v>1808</v>
      </c>
      <c r="E45" s="1720"/>
      <c r="F45" s="1720"/>
      <c r="O45" s="1803" t="s">
        <v>1713</v>
      </c>
      <c r="P45" s="1710"/>
      <c r="Q45" s="1710"/>
      <c r="R45" s="1710"/>
    </row>
    <row r="46" spans="1:18" s="731" customFormat="1">
      <c r="A46" s="1724" t="s">
        <v>1714</v>
      </c>
      <c r="C46" s="1725">
        <f ca="1">ROUND(C45/10000,0)</f>
        <v>-565</v>
      </c>
      <c r="D46" s="1726" t="str">
        <f>C2</f>
        <v>万元</v>
      </c>
      <c r="I46" s="1804" t="s">
        <v>1715</v>
      </c>
      <c r="J46" s="1805"/>
      <c r="K46" s="1806"/>
      <c r="L46" s="1807">
        <f ca="1">IF(M47="住宅",0,IF(L48&gt;J51,L60,J60))</f>
        <v>27371</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1791581</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27371</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-1148617</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45.29</v>
      </c>
      <c r="K53" s="3375" t="s">
        <v>1752</v>
      </c>
      <c r="L53" s="3376"/>
      <c r="O53" s="1815" t="s">
        <v>1514</v>
      </c>
      <c r="P53" s="1816" t="s">
        <v>1753</v>
      </c>
      <c r="Q53" s="1851">
        <f ca="1">Q47+Q48</f>
        <v>1818952</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0.22900000000000001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1791581</v>
      </c>
      <c r="R56" s="1851" t="s">
        <v>1723</v>
      </c>
    </row>
    <row r="57" spans="1:18" s="731" customFormat="1" ht="24">
      <c r="A57" s="1758"/>
      <c r="B57" s="1759" t="s">
        <v>1702</v>
      </c>
      <c r="C57" s="191">
        <f ca="1">C29</f>
        <v>1810204</v>
      </c>
      <c r="D57" s="1760"/>
      <c r="E57" s="1761"/>
      <c r="F57" s="1762"/>
      <c r="I57" s="1841" t="s">
        <v>1761</v>
      </c>
      <c r="J57" s="1842">
        <f ca="1">IF(OR(M47="住宅",J51&lt;L48,J56="是"),"——",J51-L48)</f>
        <v>13.71</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172144</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152232</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27371</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IF(项目基本情况!B11="自然人","——",ROUND(F62*F63,0))</f>
        <v>175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1791581</v>
      </c>
      <c r="R62" s="1851" t="s">
        <v>1754</v>
      </c>
    </row>
    <row r="63" spans="1:18" s="731" customFormat="1">
      <c r="A63" s="1680"/>
      <c r="B63" s="1770"/>
      <c r="C63" s="1700"/>
      <c r="D63" s="1771"/>
      <c r="E63" s="1759" t="s">
        <v>1672</v>
      </c>
      <c r="F63" s="1639">
        <f t="shared" si="0"/>
        <v>116.69</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18102</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1791581</v>
      </c>
      <c r="R65" s="1851" t="s">
        <v>1723</v>
      </c>
    </row>
    <row r="66" spans="1:18" s="731" customFormat="1" ht="15.75">
      <c r="A66" s="1667" t="s">
        <v>901</v>
      </c>
      <c r="B66" s="1759" t="s">
        <v>1664</v>
      </c>
      <c r="C66" s="285">
        <f ca="1">ROUND(C48*F66,0)</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-172144</v>
      </c>
      <c r="D67" s="1766" t="s">
        <v>1687</v>
      </c>
      <c r="E67" s="1854"/>
      <c r="F67" s="1855"/>
      <c r="O67" s="1822" t="s">
        <v>1735</v>
      </c>
      <c r="P67" s="1816" t="s">
        <v>1767</v>
      </c>
      <c r="Q67" s="1875">
        <f ca="1">L51</f>
        <v>-1148617</v>
      </c>
      <c r="R67" s="1851" t="s">
        <v>1784</v>
      </c>
    </row>
    <row r="68" spans="1:18" s="731" customFormat="1" ht="15.75">
      <c r="A68" s="1856" t="s">
        <v>1691</v>
      </c>
      <c r="B68" s="1857" t="s">
        <v>1709</v>
      </c>
      <c r="C68" s="1709">
        <f ca="1">ROUND(C67*(1-((1+F70)/(1+F68))^F69)/(F68-F70),0)</f>
        <v>-3859128</v>
      </c>
      <c r="D68" s="1769" t="s">
        <v>1693</v>
      </c>
      <c r="E68" s="1759" t="s">
        <v>1694</v>
      </c>
      <c r="F68" s="1646">
        <f ca="1">F40</f>
        <v>0.05</v>
      </c>
      <c r="O68" s="1822" t="s">
        <v>1739</v>
      </c>
      <c r="P68" s="1874" t="s">
        <v>1785</v>
      </c>
      <c r="Q68" s="1851">
        <f ca="1">ROUND(Q69-Q70*Q71,0)</f>
        <v>-55848</v>
      </c>
      <c r="R68" s="1851" t="s">
        <v>1786</v>
      </c>
    </row>
    <row r="69" spans="1:18" s="731" customFormat="1">
      <c r="A69" s="1858"/>
      <c r="B69" s="1859"/>
      <c r="C69" s="1645"/>
      <c r="D69" s="1860" t="s">
        <v>1697</v>
      </c>
      <c r="E69" s="1759" t="s">
        <v>1698</v>
      </c>
      <c r="F69" s="1713">
        <f ca="1">F41</f>
        <v>45.29</v>
      </c>
      <c r="O69" s="1822" t="s">
        <v>1787</v>
      </c>
      <c r="P69" s="1874" t="s">
        <v>1788</v>
      </c>
      <c r="Q69" s="1851">
        <f ca="1">C39</f>
        <v>79917</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-10453</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1791581</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-0.69900000000000007</v>
      </c>
    </row>
    <row r="80" spans="1:18">
      <c r="B80" s="1868" t="s">
        <v>1800</v>
      </c>
      <c r="C80" s="224">
        <f ca="1">ROUND(C75/C39,3)</f>
        <v>1.6990000000000001</v>
      </c>
    </row>
    <row r="81" spans="2:3">
      <c r="B81" s="221" t="s">
        <v>1801</v>
      </c>
      <c r="C81" s="191"/>
    </row>
    <row r="82" spans="2:3">
      <c r="B82" s="223" t="s">
        <v>1490</v>
      </c>
      <c r="C82" s="225">
        <f ca="1">1-C83</f>
        <v>-1.0000000000000009E-2</v>
      </c>
    </row>
    <row r="83" spans="2:3">
      <c r="B83" s="223" t="s">
        <v>1491</v>
      </c>
      <c r="C83" s="224">
        <f ca="1">ROUND(C13/C40,3)</f>
        <v>1.01</v>
      </c>
    </row>
  </sheetData>
  <sheetProtection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80" t="s">
        <v>1815</v>
      </c>
      <c r="K2" s="3381"/>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82" t="s">
        <v>1823</v>
      </c>
      <c r="K3" s="3383"/>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2" t="s">
        <v>1824</v>
      </c>
      <c r="K4" s="3383"/>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84" t="s">
        <v>1828</v>
      </c>
      <c r="B6" s="3385"/>
      <c r="C6" s="3386"/>
      <c r="D6" s="1461"/>
      <c r="E6" s="1462"/>
      <c r="F6" s="1463"/>
      <c r="G6" s="1464"/>
      <c r="H6" s="1453"/>
      <c r="I6" s="1537"/>
      <c r="J6" s="3393">
        <v>1</v>
      </c>
      <c r="K6" s="3396"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93"/>
      <c r="K7" s="3397"/>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87" t="s">
        <v>1842</v>
      </c>
      <c r="C8" s="3388"/>
      <c r="D8" s="1475" t="s">
        <v>1843</v>
      </c>
      <c r="E8" s="1476" t="s">
        <v>1844</v>
      </c>
      <c r="F8" s="1477" t="s">
        <v>1845</v>
      </c>
      <c r="G8" s="1478"/>
      <c r="H8" s="1453"/>
      <c r="I8" s="1537"/>
      <c r="J8" s="3393"/>
      <c r="K8" s="3397"/>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87" t="s">
        <v>1848</v>
      </c>
      <c r="C9" s="3388"/>
      <c r="D9" s="1475">
        <f>ROUND(D6*E9,0)</f>
        <v>0</v>
      </c>
      <c r="E9" s="1479"/>
      <c r="F9" s="1480" t="s">
        <v>1849</v>
      </c>
      <c r="G9" s="1464"/>
      <c r="H9" s="1453"/>
      <c r="I9" s="1537"/>
      <c r="J9" s="3393"/>
      <c r="K9" s="3397"/>
      <c r="L9" s="1557" t="s">
        <v>1850</v>
      </c>
      <c r="M9" s="1558"/>
      <c r="N9" s="1457"/>
      <c r="O9" s="1559"/>
      <c r="P9" s="1559"/>
      <c r="Q9" s="1490">
        <v>365</v>
      </c>
      <c r="R9" s="1591">
        <f t="shared" si="0"/>
        <v>0</v>
      </c>
      <c r="S9" s="1506"/>
      <c r="T9" s="1506"/>
      <c r="U9" s="1506"/>
      <c r="V9" s="1537"/>
    </row>
    <row r="10" spans="1:22" s="1436" customFormat="1" ht="13.15" customHeight="1">
      <c r="A10" s="1472">
        <v>2</v>
      </c>
      <c r="B10" s="3387" t="s">
        <v>1851</v>
      </c>
      <c r="C10" s="3388"/>
      <c r="D10" s="1475">
        <f>ROUND(D6*E10,0)</f>
        <v>0</v>
      </c>
      <c r="E10" s="1479"/>
      <c r="F10" s="1480" t="s">
        <v>1852</v>
      </c>
      <c r="G10" s="1464"/>
      <c r="H10" s="1453"/>
      <c r="I10" s="1537"/>
      <c r="J10" s="3393"/>
      <c r="K10" s="3397"/>
      <c r="L10" s="1557" t="s">
        <v>1853</v>
      </c>
      <c r="M10" s="1558"/>
      <c r="N10" s="1457"/>
      <c r="O10" s="1559"/>
      <c r="P10" s="1559"/>
      <c r="Q10" s="1490">
        <v>365</v>
      </c>
      <c r="R10" s="1591">
        <f t="shared" si="0"/>
        <v>0</v>
      </c>
      <c r="S10" s="1506"/>
      <c r="T10" s="1506"/>
      <c r="U10" s="1506"/>
      <c r="V10" s="1537"/>
    </row>
    <row r="11" spans="1:22" s="1436" customFormat="1" ht="13.15" customHeight="1">
      <c r="A11" s="1472">
        <v>3</v>
      </c>
      <c r="B11" s="3387" t="s">
        <v>1854</v>
      </c>
      <c r="C11" s="3388"/>
      <c r="D11" s="1475">
        <f>D12+D14+D15+D16</f>
        <v>0</v>
      </c>
      <c r="E11" s="1481" t="e">
        <f>D11/D6</f>
        <v>#DIV/0!</v>
      </c>
      <c r="F11" s="1477"/>
      <c r="G11" s="1478"/>
      <c r="H11" s="1453"/>
      <c r="I11" s="1537"/>
      <c r="J11" s="3393"/>
      <c r="K11" s="3397"/>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89" t="s">
        <v>1857</v>
      </c>
      <c r="C12" s="3390"/>
      <c r="D12" s="1485">
        <f>ROUND(D13*1.2%*(1-30%),0)</f>
        <v>0</v>
      </c>
      <c r="E12" s="1486">
        <v>1.2E-2</v>
      </c>
      <c r="F12" s="1477" t="s">
        <v>1858</v>
      </c>
      <c r="G12" s="1478"/>
      <c r="H12" s="1453"/>
      <c r="I12" s="1537"/>
      <c r="J12" s="3393"/>
      <c r="K12" s="3397"/>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93"/>
      <c r="K13" s="3397"/>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89" t="s">
        <v>1863</v>
      </c>
      <c r="C14" s="3390"/>
      <c r="D14" s="1485">
        <f>ROUND(E14*B5/10000,0)</f>
        <v>0</v>
      </c>
      <c r="E14" s="1490"/>
      <c r="F14" s="1477" t="s">
        <v>1864</v>
      </c>
      <c r="G14" s="1478"/>
      <c r="H14" s="1453"/>
      <c r="I14" s="1537"/>
      <c r="J14" s="3393"/>
      <c r="K14" s="3398"/>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89" t="s">
        <v>1867</v>
      </c>
      <c r="C15" s="3390"/>
      <c r="D15" s="1485">
        <f>ROUND(D6*E15,0)</f>
        <v>0</v>
      </c>
      <c r="E15" s="1486">
        <v>5.5E-2</v>
      </c>
      <c r="F15" s="1477" t="s">
        <v>1868</v>
      </c>
      <c r="G15" s="1464"/>
      <c r="H15" s="1453"/>
      <c r="I15" s="1537"/>
      <c r="J15" s="3393">
        <v>2</v>
      </c>
      <c r="K15" s="3396"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89" t="s">
        <v>1875</v>
      </c>
      <c r="C16" s="3390"/>
      <c r="D16" s="1491">
        <f>D6*E16</f>
        <v>0</v>
      </c>
      <c r="E16" s="1492"/>
      <c r="F16" s="1480" t="s">
        <v>1876</v>
      </c>
      <c r="G16" s="1464"/>
      <c r="H16" s="1453"/>
      <c r="I16" s="1537"/>
      <c r="J16" s="3393"/>
      <c r="K16" s="3397"/>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91" t="s">
        <v>1878</v>
      </c>
      <c r="C17" s="3392"/>
      <c r="D17" s="1494">
        <f>ROUND(D6*E17,0)</f>
        <v>0</v>
      </c>
      <c r="E17" s="1495"/>
      <c r="F17" s="1496" t="s">
        <v>1879</v>
      </c>
      <c r="G17" s="1464"/>
      <c r="H17" s="1453"/>
      <c r="I17" s="1537"/>
      <c r="J17" s="3393"/>
      <c r="K17" s="3397"/>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93"/>
      <c r="K18" s="3397"/>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93"/>
      <c r="K19" s="3398"/>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93">
        <v>3</v>
      </c>
      <c r="K20" s="3396"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93"/>
      <c r="K21" s="3397"/>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93"/>
      <c r="K22" s="3397"/>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93"/>
      <c r="K23" s="3397"/>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93"/>
      <c r="K24" s="3398"/>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94">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95"/>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80" t="s">
        <v>1815</v>
      </c>
      <c r="K32" s="3381"/>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82" t="s">
        <v>1823</v>
      </c>
      <c r="K33" s="3383"/>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82" t="s">
        <v>1824</v>
      </c>
      <c r="K34" s="3383"/>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93">
        <v>1</v>
      </c>
      <c r="K36" s="3396"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93"/>
      <c r="K37" s="3397"/>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93"/>
      <c r="K38" s="3397"/>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93"/>
      <c r="K39" s="3397"/>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93"/>
      <c r="K40" s="3398"/>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94">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95"/>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11853</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3306</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399" t="s">
        <v>1929</v>
      </c>
      <c r="C5" s="3400"/>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4081</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182</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7590</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11" t="s">
        <v>945</v>
      </c>
      <c r="D4" s="3312"/>
      <c r="E4" s="3313" t="s">
        <v>946</v>
      </c>
      <c r="F4" s="3314"/>
      <c r="G4" s="3311" t="s">
        <v>947</v>
      </c>
      <c r="H4" s="3312"/>
      <c r="I4" s="3311" t="s">
        <v>948</v>
      </c>
      <c r="J4" s="3312"/>
      <c r="K4" s="1021" t="s">
        <v>949</v>
      </c>
      <c r="L4" s="1022"/>
      <c r="M4" s="972"/>
      <c r="N4" s="972"/>
      <c r="O4" s="972"/>
      <c r="P4" s="3337" t="s">
        <v>950</v>
      </c>
      <c r="Q4" s="3338"/>
      <c r="R4" s="3343" t="s">
        <v>946</v>
      </c>
      <c r="S4" s="3344"/>
      <c r="T4" s="3343" t="s">
        <v>947</v>
      </c>
      <c r="U4" s="3344"/>
      <c r="V4" s="3327" t="s">
        <v>948</v>
      </c>
      <c r="W4" s="3327"/>
      <c r="X4" s="1070"/>
      <c r="Y4" s="3343" t="s">
        <v>950</v>
      </c>
      <c r="Z4" s="3344"/>
      <c r="AA4" s="3332" t="s">
        <v>946</v>
      </c>
      <c r="AB4" s="3327" t="s">
        <v>947</v>
      </c>
      <c r="AC4" s="3332" t="s">
        <v>948</v>
      </c>
    </row>
    <row r="5" spans="1:29" ht="15">
      <c r="A5" s="879"/>
      <c r="B5" s="880"/>
      <c r="C5" s="3315" t="s">
        <v>951</v>
      </c>
      <c r="D5" s="3316"/>
      <c r="E5" s="3317" t="s">
        <v>1934</v>
      </c>
      <c r="F5" s="3318"/>
      <c r="G5" s="3315" t="s">
        <v>1935</v>
      </c>
      <c r="H5" s="3316"/>
      <c r="I5" s="3315" t="s">
        <v>1936</v>
      </c>
      <c r="J5" s="3316"/>
      <c r="K5" s="1021"/>
      <c r="L5" s="1022"/>
      <c r="M5" s="972"/>
      <c r="N5" s="972"/>
      <c r="O5" s="972"/>
      <c r="P5" s="3339"/>
      <c r="Q5" s="3340"/>
      <c r="R5" s="3345"/>
      <c r="S5" s="3346"/>
      <c r="T5" s="3345"/>
      <c r="U5" s="3346"/>
      <c r="V5" s="3327"/>
      <c r="W5" s="3327"/>
      <c r="X5" s="1070"/>
      <c r="Y5" s="3345"/>
      <c r="Z5" s="3346"/>
      <c r="AA5" s="3333"/>
      <c r="AB5" s="3327"/>
      <c r="AC5" s="3333"/>
    </row>
    <row r="6" spans="1:29" ht="15">
      <c r="A6" s="881"/>
      <c r="B6" s="882"/>
      <c r="C6" s="3319" t="s">
        <v>952</v>
      </c>
      <c r="D6" s="3320"/>
      <c r="E6" s="3321" t="s">
        <v>952</v>
      </c>
      <c r="F6" s="3322"/>
      <c r="G6" s="3319" t="s">
        <v>952</v>
      </c>
      <c r="H6" s="3320"/>
      <c r="I6" s="3319" t="s">
        <v>952</v>
      </c>
      <c r="J6" s="3320"/>
      <c r="K6" s="1021" t="s">
        <v>953</v>
      </c>
      <c r="L6" s="1022"/>
      <c r="M6" s="972"/>
      <c r="N6" s="972"/>
      <c r="O6" s="972"/>
      <c r="P6" s="3341"/>
      <c r="Q6" s="3342"/>
      <c r="R6" s="3345"/>
      <c r="S6" s="3346"/>
      <c r="T6" s="3347"/>
      <c r="U6" s="3348"/>
      <c r="V6" s="3327"/>
      <c r="W6" s="3327"/>
      <c r="X6" s="1070"/>
      <c r="Y6" s="3347"/>
      <c r="Z6" s="3348"/>
      <c r="AA6" s="3334"/>
      <c r="AB6" s="3327"/>
      <c r="AC6" s="3334"/>
    </row>
    <row r="7" spans="1:29" s="856" customFormat="1" ht="15">
      <c r="A7" s="884" t="s">
        <v>954</v>
      </c>
      <c r="B7" s="885"/>
      <c r="C7" s="886">
        <f>'数据-取费表'!B2</f>
        <v>45475</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23" t="s">
        <v>955</v>
      </c>
      <c r="Q7" s="3324"/>
      <c r="R7" s="1071" t="s">
        <v>956</v>
      </c>
      <c r="S7" s="1072">
        <f t="shared" ref="S7:S15" si="0">F7</f>
        <v>0</v>
      </c>
      <c r="T7" s="1071" t="s">
        <v>956</v>
      </c>
      <c r="U7" s="1072">
        <f t="shared" ref="U7:U15" si="1">H7</f>
        <v>0</v>
      </c>
      <c r="V7" s="1071" t="s">
        <v>956</v>
      </c>
      <c r="W7" s="1072">
        <f t="shared" ref="W7:W15" si="2">J7</f>
        <v>0</v>
      </c>
      <c r="X7" s="1073"/>
      <c r="Y7" s="3323" t="s">
        <v>955</v>
      </c>
      <c r="Z7" s="3325"/>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23" t="s">
        <v>959</v>
      </c>
      <c r="Q8" s="3325"/>
      <c r="R8" s="1071" t="s">
        <v>956</v>
      </c>
      <c r="S8" s="1072">
        <f t="shared" si="0"/>
        <v>0</v>
      </c>
      <c r="T8" s="1071" t="s">
        <v>956</v>
      </c>
      <c r="U8" s="1072">
        <f t="shared" si="1"/>
        <v>0</v>
      </c>
      <c r="V8" s="1071" t="s">
        <v>956</v>
      </c>
      <c r="W8" s="1072">
        <f t="shared" si="2"/>
        <v>0</v>
      </c>
      <c r="X8" s="1073"/>
      <c r="Y8" s="3323" t="s">
        <v>959</v>
      </c>
      <c r="Z8" s="3325"/>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3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3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36"/>
      <c r="Q11" s="796" t="str">
        <f t="shared" si="6"/>
        <v>容积率</v>
      </c>
      <c r="R11" s="1071" t="s">
        <v>956</v>
      </c>
      <c r="S11" s="1072" t="e">
        <f t="shared" si="0"/>
        <v>#N/A</v>
      </c>
      <c r="T11" s="1071" t="s">
        <v>956</v>
      </c>
      <c r="U11" s="1072" t="e">
        <f t="shared" si="1"/>
        <v>#N/A</v>
      </c>
      <c r="V11" s="1071" t="s">
        <v>956</v>
      </c>
      <c r="W11" s="1072" t="e">
        <f t="shared" si="2"/>
        <v>#N/A</v>
      </c>
      <c r="X11" s="1073"/>
      <c r="Y11" s="330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3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3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3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62" t="s">
        <v>969</v>
      </c>
      <c r="Q15" s="642" t="str">
        <f t="shared" si="6"/>
        <v>商业繁华度</v>
      </c>
      <c r="R15" s="1075" t="s">
        <v>956</v>
      </c>
      <c r="S15" s="1076">
        <f t="shared" si="0"/>
        <v>100</v>
      </c>
      <c r="T15" s="1075" t="s">
        <v>956</v>
      </c>
      <c r="U15" s="1076">
        <f t="shared" si="1"/>
        <v>100</v>
      </c>
      <c r="V15" s="1075" t="s">
        <v>956</v>
      </c>
      <c r="W15" s="1076">
        <f t="shared" si="2"/>
        <v>100</v>
      </c>
      <c r="X15" s="1070"/>
      <c r="Y15" s="3328"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63"/>
      <c r="Q16" s="642"/>
      <c r="R16" s="1075"/>
      <c r="S16" s="1076"/>
      <c r="T16" s="1075"/>
      <c r="U16" s="1076"/>
      <c r="V16" s="1075"/>
      <c r="W16" s="1076"/>
      <c r="X16" s="1070"/>
      <c r="Y16" s="3329"/>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63"/>
      <c r="Q17" s="642" t="str">
        <f>B17</f>
        <v>交通便捷度</v>
      </c>
      <c r="R17" s="1075" t="s">
        <v>956</v>
      </c>
      <c r="S17" s="1076">
        <f>F17</f>
        <v>100</v>
      </c>
      <c r="T17" s="1075" t="s">
        <v>956</v>
      </c>
      <c r="U17" s="1076">
        <f>H17</f>
        <v>100</v>
      </c>
      <c r="V17" s="1075" t="s">
        <v>956</v>
      </c>
      <c r="W17" s="1076">
        <f>J17</f>
        <v>100</v>
      </c>
      <c r="X17" s="1070"/>
      <c r="Y17" s="3329"/>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63"/>
      <c r="Q18" s="642"/>
      <c r="R18" s="1075"/>
      <c r="S18" s="1076"/>
      <c r="T18" s="1075"/>
      <c r="U18" s="1076"/>
      <c r="V18" s="1075"/>
      <c r="W18" s="1076"/>
      <c r="X18" s="1070"/>
      <c r="Y18" s="3329"/>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63"/>
      <c r="Q19" s="642" t="str">
        <f>B19</f>
        <v>公共配套设施</v>
      </c>
      <c r="R19" s="1075" t="s">
        <v>956</v>
      </c>
      <c r="S19" s="1076">
        <f>F19</f>
        <v>100</v>
      </c>
      <c r="T19" s="1075" t="s">
        <v>956</v>
      </c>
      <c r="U19" s="1076">
        <f>H19</f>
        <v>100</v>
      </c>
      <c r="V19" s="1075" t="s">
        <v>956</v>
      </c>
      <c r="W19" s="1076">
        <f>J19</f>
        <v>100</v>
      </c>
      <c r="X19" s="1070"/>
      <c r="Y19" s="3329"/>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63"/>
      <c r="Q20" s="642"/>
      <c r="R20" s="1075"/>
      <c r="S20" s="1076"/>
      <c r="T20" s="1075"/>
      <c r="U20" s="1076"/>
      <c r="V20" s="1075"/>
      <c r="W20" s="1076"/>
      <c r="X20" s="1070"/>
      <c r="Y20" s="3329"/>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63"/>
      <c r="Q21" s="642" t="str">
        <f>B21</f>
        <v>基础设施水平</v>
      </c>
      <c r="R21" s="1075" t="s">
        <v>956</v>
      </c>
      <c r="S21" s="1076">
        <f>F21</f>
        <v>100</v>
      </c>
      <c r="T21" s="1075" t="s">
        <v>956</v>
      </c>
      <c r="U21" s="1076">
        <f>H21</f>
        <v>100</v>
      </c>
      <c r="V21" s="1075" t="s">
        <v>956</v>
      </c>
      <c r="W21" s="1076">
        <f>J21</f>
        <v>100</v>
      </c>
      <c r="X21" s="1070"/>
      <c r="Y21" s="3329"/>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63"/>
      <c r="Q22" s="642"/>
      <c r="R22" s="1075"/>
      <c r="S22" s="1076"/>
      <c r="T22" s="1075"/>
      <c r="U22" s="1076"/>
      <c r="V22" s="1075"/>
      <c r="W22" s="1076"/>
      <c r="X22" s="1070"/>
      <c r="Y22" s="3329"/>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63"/>
      <c r="Q23" s="642" t="str">
        <f>B23</f>
        <v>自然及人文环境</v>
      </c>
      <c r="R23" s="1075" t="s">
        <v>956</v>
      </c>
      <c r="S23" s="1076">
        <f>F23</f>
        <v>100</v>
      </c>
      <c r="T23" s="1075" t="s">
        <v>956</v>
      </c>
      <c r="U23" s="1076">
        <f>H23</f>
        <v>100</v>
      </c>
      <c r="V23" s="1075" t="s">
        <v>956</v>
      </c>
      <c r="W23" s="1076">
        <f>J23</f>
        <v>100</v>
      </c>
      <c r="X23" s="1070"/>
      <c r="Y23" s="3329"/>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63"/>
      <c r="Q24" s="642"/>
      <c r="R24" s="1075"/>
      <c r="S24" s="1076"/>
      <c r="T24" s="1075"/>
      <c r="U24" s="1076"/>
      <c r="V24" s="1075"/>
      <c r="W24" s="1076"/>
      <c r="X24" s="1070"/>
      <c r="Y24" s="3329"/>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63"/>
      <c r="Q25" s="642" t="str">
        <f t="shared" ref="Q25:Q46" si="11">B25</f>
        <v>临街状况</v>
      </c>
      <c r="R25" s="1075" t="s">
        <v>956</v>
      </c>
      <c r="S25" s="1076">
        <f>F25</f>
        <v>100</v>
      </c>
      <c r="T25" s="1075" t="s">
        <v>956</v>
      </c>
      <c r="U25" s="1076">
        <f>H25</f>
        <v>100</v>
      </c>
      <c r="V25" s="1075" t="s">
        <v>956</v>
      </c>
      <c r="W25" s="1076">
        <f>J25</f>
        <v>100</v>
      </c>
      <c r="X25" s="1070"/>
      <c r="Y25" s="3329"/>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63"/>
      <c r="Q26" s="642" t="str">
        <f t="shared" si="11"/>
        <v>平面位置/可视性</v>
      </c>
      <c r="R26" s="1075" t="s">
        <v>956</v>
      </c>
      <c r="S26" s="1076">
        <f>F26</f>
        <v>100</v>
      </c>
      <c r="T26" s="1075" t="s">
        <v>956</v>
      </c>
      <c r="U26" s="1076">
        <f>H26</f>
        <v>100</v>
      </c>
      <c r="V26" s="1075" t="s">
        <v>956</v>
      </c>
      <c r="W26" s="1076">
        <f>J26</f>
        <v>100</v>
      </c>
      <c r="X26" s="1070"/>
      <c r="Y26" s="3329"/>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63"/>
      <c r="Q27" s="796" t="str">
        <f t="shared" si="11"/>
        <v>人流量</v>
      </c>
      <c r="R27" s="1071" t="s">
        <v>956</v>
      </c>
      <c r="S27" s="1072">
        <f>F27</f>
        <v>100</v>
      </c>
      <c r="T27" s="1071" t="s">
        <v>956</v>
      </c>
      <c r="U27" s="1072">
        <f>H27</f>
        <v>100</v>
      </c>
      <c r="V27" s="1071" t="s">
        <v>956</v>
      </c>
      <c r="W27" s="1072">
        <f>J27</f>
        <v>100</v>
      </c>
      <c r="X27" s="1073"/>
      <c r="Y27" s="3329"/>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63"/>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29"/>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63"/>
      <c r="Q29" s="642">
        <f t="shared" si="11"/>
        <v>111</v>
      </c>
      <c r="R29" s="1075" t="s">
        <v>956</v>
      </c>
      <c r="S29" s="1076">
        <f t="shared" si="12"/>
        <v>100</v>
      </c>
      <c r="T29" s="1075" t="s">
        <v>956</v>
      </c>
      <c r="U29" s="1076">
        <f t="shared" si="13"/>
        <v>100</v>
      </c>
      <c r="V29" s="1075" t="s">
        <v>956</v>
      </c>
      <c r="W29" s="1076">
        <f t="shared" si="14"/>
        <v>100</v>
      </c>
      <c r="X29" s="1070"/>
      <c r="Y29" s="3329"/>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63"/>
      <c r="Q30" s="642">
        <f t="shared" si="11"/>
        <v>111</v>
      </c>
      <c r="R30" s="1075" t="s">
        <v>956</v>
      </c>
      <c r="S30" s="1076">
        <f t="shared" si="12"/>
        <v>100</v>
      </c>
      <c r="T30" s="1075" t="s">
        <v>956</v>
      </c>
      <c r="U30" s="1076">
        <f t="shared" si="13"/>
        <v>100</v>
      </c>
      <c r="V30" s="1075" t="s">
        <v>956</v>
      </c>
      <c r="W30" s="1076">
        <f t="shared" si="14"/>
        <v>100</v>
      </c>
      <c r="X30" s="1070"/>
      <c r="Y30" s="3329"/>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63"/>
      <c r="Q31" s="642">
        <f t="shared" si="11"/>
        <v>111</v>
      </c>
      <c r="R31" s="1075" t="s">
        <v>956</v>
      </c>
      <c r="S31" s="1076">
        <f t="shared" si="12"/>
        <v>100</v>
      </c>
      <c r="T31" s="1075" t="s">
        <v>956</v>
      </c>
      <c r="U31" s="1076">
        <f t="shared" si="13"/>
        <v>100</v>
      </c>
      <c r="V31" s="1075" t="s">
        <v>956</v>
      </c>
      <c r="W31" s="1076">
        <f t="shared" si="14"/>
        <v>100</v>
      </c>
      <c r="X31" s="1070"/>
      <c r="Y31" s="3329"/>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64" t="s">
        <v>982</v>
      </c>
      <c r="Q32" s="642" t="str">
        <f t="shared" si="11"/>
        <v>商业类型</v>
      </c>
      <c r="R32" s="1075" t="s">
        <v>956</v>
      </c>
      <c r="S32" s="1076">
        <f t="shared" si="12"/>
        <v>100</v>
      </c>
      <c r="T32" s="1075" t="s">
        <v>956</v>
      </c>
      <c r="U32" s="1076">
        <f t="shared" si="13"/>
        <v>100</v>
      </c>
      <c r="V32" s="1075" t="s">
        <v>956</v>
      </c>
      <c r="W32" s="1076">
        <f t="shared" si="14"/>
        <v>100</v>
      </c>
      <c r="X32" s="1070"/>
      <c r="Y32" s="3331"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65"/>
      <c r="Q33" s="1245" t="str">
        <f t="shared" si="11"/>
        <v>项目建筑规模</v>
      </c>
      <c r="R33" s="1077" t="s">
        <v>956</v>
      </c>
      <c r="S33" s="1078" t="e">
        <f t="shared" si="12"/>
        <v>#N/A</v>
      </c>
      <c r="T33" s="1077" t="s">
        <v>956</v>
      </c>
      <c r="U33" s="1078" t="e">
        <f t="shared" si="13"/>
        <v>#N/A</v>
      </c>
      <c r="V33" s="1077" t="s">
        <v>956</v>
      </c>
      <c r="W33" s="1078" t="e">
        <f t="shared" si="14"/>
        <v>#N/A</v>
      </c>
      <c r="X33" s="1079"/>
      <c r="Y33" s="3331"/>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65"/>
      <c r="Q34" s="642" t="str">
        <f t="shared" si="11"/>
        <v>建筑结构</v>
      </c>
      <c r="R34" s="1075" t="s">
        <v>956</v>
      </c>
      <c r="S34" s="1076">
        <f t="shared" si="12"/>
        <v>100</v>
      </c>
      <c r="T34" s="1075" t="s">
        <v>956</v>
      </c>
      <c r="U34" s="1076">
        <f t="shared" si="13"/>
        <v>100</v>
      </c>
      <c r="V34" s="1075" t="s">
        <v>956</v>
      </c>
      <c r="W34" s="1076">
        <f t="shared" si="14"/>
        <v>100</v>
      </c>
      <c r="X34" s="1070"/>
      <c r="Y34" s="3331"/>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65"/>
      <c r="Q35" s="642" t="str">
        <f t="shared" si="11"/>
        <v>公共部分装修</v>
      </c>
      <c r="R35" s="1075" t="s">
        <v>956</v>
      </c>
      <c r="S35" s="1076">
        <f t="shared" si="12"/>
        <v>100</v>
      </c>
      <c r="T35" s="1075" t="s">
        <v>956</v>
      </c>
      <c r="U35" s="1076">
        <f t="shared" si="13"/>
        <v>100</v>
      </c>
      <c r="V35" s="1075" t="s">
        <v>956</v>
      </c>
      <c r="W35" s="1076">
        <f t="shared" si="14"/>
        <v>100</v>
      </c>
      <c r="X35" s="1070"/>
      <c r="Y35" s="3331"/>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65"/>
      <c r="Q36" s="642" t="str">
        <f t="shared" si="11"/>
        <v>成新度</v>
      </c>
      <c r="R36" s="1075" t="s">
        <v>956</v>
      </c>
      <c r="S36" s="1076" t="e">
        <f t="shared" si="12"/>
        <v>#N/A</v>
      </c>
      <c r="T36" s="1075" t="s">
        <v>956</v>
      </c>
      <c r="U36" s="1076" t="e">
        <f t="shared" si="13"/>
        <v>#N/A</v>
      </c>
      <c r="V36" s="1075" t="s">
        <v>956</v>
      </c>
      <c r="W36" s="1076" t="e">
        <f t="shared" si="14"/>
        <v>#N/A</v>
      </c>
      <c r="X36" s="1070"/>
      <c r="Y36" s="3331"/>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65"/>
      <c r="Q37" s="796" t="str">
        <f t="shared" si="11"/>
        <v>市政基础设施</v>
      </c>
      <c r="R37" s="1071" t="s">
        <v>956</v>
      </c>
      <c r="S37" s="1072">
        <f t="shared" si="12"/>
        <v>100</v>
      </c>
      <c r="T37" s="1071" t="s">
        <v>956</v>
      </c>
      <c r="U37" s="1072">
        <f t="shared" si="13"/>
        <v>100</v>
      </c>
      <c r="V37" s="1071" t="s">
        <v>956</v>
      </c>
      <c r="W37" s="1072">
        <f t="shared" si="14"/>
        <v>100</v>
      </c>
      <c r="X37" s="1073"/>
      <c r="Y37" s="3331"/>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65" t="s">
        <v>982</v>
      </c>
      <c r="Q38" s="642" t="str">
        <f t="shared" si="11"/>
        <v>业态</v>
      </c>
      <c r="R38" s="1075" t="s">
        <v>956</v>
      </c>
      <c r="S38" s="1076">
        <f t="shared" si="12"/>
        <v>100</v>
      </c>
      <c r="T38" s="1075" t="s">
        <v>956</v>
      </c>
      <c r="U38" s="1076">
        <f t="shared" si="13"/>
        <v>100</v>
      </c>
      <c r="V38" s="1075" t="s">
        <v>956</v>
      </c>
      <c r="W38" s="1076">
        <f t="shared" si="14"/>
        <v>100</v>
      </c>
      <c r="X38" s="1070"/>
      <c r="Y38" s="3331"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65"/>
      <c r="Q39" s="642" t="str">
        <f t="shared" si="11"/>
        <v>层高</v>
      </c>
      <c r="R39" s="1075" t="s">
        <v>956</v>
      </c>
      <c r="S39" s="1076">
        <f t="shared" si="12"/>
        <v>100</v>
      </c>
      <c r="T39" s="1075" t="s">
        <v>956</v>
      </c>
      <c r="U39" s="1076">
        <f t="shared" si="13"/>
        <v>100</v>
      </c>
      <c r="V39" s="1075" t="s">
        <v>956</v>
      </c>
      <c r="W39" s="1076">
        <f t="shared" si="14"/>
        <v>100</v>
      </c>
      <c r="X39" s="1070"/>
      <c r="Y39" s="3331"/>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65"/>
      <c r="Q40" s="642" t="str">
        <f t="shared" si="11"/>
        <v>单套建筑面积</v>
      </c>
      <c r="R40" s="1075" t="s">
        <v>956</v>
      </c>
      <c r="S40" s="1076">
        <f t="shared" si="12"/>
        <v>100</v>
      </c>
      <c r="T40" s="1075" t="s">
        <v>956</v>
      </c>
      <c r="U40" s="1076">
        <f t="shared" si="13"/>
        <v>100</v>
      </c>
      <c r="V40" s="1075" t="s">
        <v>956</v>
      </c>
      <c r="W40" s="1076">
        <f t="shared" si="14"/>
        <v>100</v>
      </c>
      <c r="X40" s="1070"/>
      <c r="Y40" s="3331"/>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65"/>
      <c r="Q41" s="1245" t="str">
        <f t="shared" si="11"/>
        <v>进深比</v>
      </c>
      <c r="R41" s="1077" t="s">
        <v>956</v>
      </c>
      <c r="S41" s="1078">
        <f t="shared" si="12"/>
        <v>100</v>
      </c>
      <c r="T41" s="1077" t="s">
        <v>956</v>
      </c>
      <c r="U41" s="1078">
        <f t="shared" si="13"/>
        <v>100</v>
      </c>
      <c r="V41" s="1077" t="s">
        <v>956</v>
      </c>
      <c r="W41" s="1078">
        <f t="shared" si="14"/>
        <v>100</v>
      </c>
      <c r="X41" s="1079"/>
      <c r="Y41" s="3331"/>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65"/>
      <c r="Q42" s="642" t="str">
        <f t="shared" si="11"/>
        <v>内部装修</v>
      </c>
      <c r="R42" s="1075" t="s">
        <v>956</v>
      </c>
      <c r="S42" s="1076">
        <f t="shared" si="12"/>
        <v>100</v>
      </c>
      <c r="T42" s="1075" t="s">
        <v>956</v>
      </c>
      <c r="U42" s="1076">
        <f t="shared" si="13"/>
        <v>100</v>
      </c>
      <c r="V42" s="1075" t="s">
        <v>956</v>
      </c>
      <c r="W42" s="1076">
        <f t="shared" si="14"/>
        <v>100</v>
      </c>
      <c r="X42" s="1070"/>
      <c r="Y42" s="3331"/>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65"/>
      <c r="Q43" s="642" t="str">
        <f t="shared" si="11"/>
        <v>内部装修维护情况</v>
      </c>
      <c r="R43" s="1075" t="s">
        <v>956</v>
      </c>
      <c r="S43" s="1076">
        <f t="shared" si="12"/>
        <v>100</v>
      </c>
      <c r="T43" s="1075" t="s">
        <v>956</v>
      </c>
      <c r="U43" s="1076">
        <f t="shared" si="13"/>
        <v>100</v>
      </c>
      <c r="V43" s="1075" t="s">
        <v>956</v>
      </c>
      <c r="W43" s="1076">
        <f t="shared" si="14"/>
        <v>100</v>
      </c>
      <c r="X43" s="1070"/>
      <c r="Y43" s="3331"/>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65"/>
      <c r="Q44" s="796">
        <f t="shared" si="11"/>
        <v>111</v>
      </c>
      <c r="R44" s="1071" t="s">
        <v>956</v>
      </c>
      <c r="S44" s="1072">
        <f t="shared" si="12"/>
        <v>100</v>
      </c>
      <c r="T44" s="1071" t="s">
        <v>956</v>
      </c>
      <c r="U44" s="1072">
        <f t="shared" si="13"/>
        <v>100</v>
      </c>
      <c r="V44" s="1071" t="s">
        <v>956</v>
      </c>
      <c r="W44" s="1072">
        <f t="shared" si="14"/>
        <v>100</v>
      </c>
      <c r="X44" s="1073"/>
      <c r="Y44" s="3331"/>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65"/>
      <c r="Q45" s="642">
        <f t="shared" si="11"/>
        <v>111</v>
      </c>
      <c r="R45" s="1075" t="s">
        <v>956</v>
      </c>
      <c r="S45" s="1076">
        <f t="shared" si="12"/>
        <v>100</v>
      </c>
      <c r="T45" s="1075" t="s">
        <v>956</v>
      </c>
      <c r="U45" s="1076">
        <f t="shared" si="13"/>
        <v>100</v>
      </c>
      <c r="V45" s="1075" t="s">
        <v>956</v>
      </c>
      <c r="W45" s="1076">
        <f t="shared" si="14"/>
        <v>100</v>
      </c>
      <c r="X45" s="1070"/>
      <c r="Y45" s="3331"/>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6"/>
      <c r="Q46" s="642">
        <f t="shared" si="11"/>
        <v>111</v>
      </c>
      <c r="R46" s="1075" t="s">
        <v>956</v>
      </c>
      <c r="S46" s="1076">
        <f t="shared" si="12"/>
        <v>100</v>
      </c>
      <c r="T46" s="1075" t="s">
        <v>956</v>
      </c>
      <c r="U46" s="1076">
        <f t="shared" si="13"/>
        <v>100</v>
      </c>
      <c r="V46" s="1075" t="s">
        <v>956</v>
      </c>
      <c r="W46" s="1076">
        <f t="shared" si="14"/>
        <v>100</v>
      </c>
      <c r="X46" s="1070"/>
      <c r="Y46" s="3367"/>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26" t="str">
        <f>A47</f>
        <v>成交单价（元/平方米）</v>
      </c>
      <c r="Q47" s="3326"/>
      <c r="R47" s="3327">
        <f>E47</f>
        <v>0</v>
      </c>
      <c r="S47" s="3327"/>
      <c r="T47" s="3327">
        <f>G47</f>
        <v>0</v>
      </c>
      <c r="U47" s="3327"/>
      <c r="V47" s="3327">
        <f>I47</f>
        <v>0</v>
      </c>
      <c r="W47" s="3327"/>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50" t="str">
        <f>A49</f>
        <v>估价对象XX用房的比较价值（楼面单价，元/平方米）</v>
      </c>
      <c r="Q49" s="3351"/>
      <c r="R49" s="3368" t="e">
        <f>IF(F1="售价",ROUND(IF(D48="简单平均",AVERAGE(R48:V48),R48*F48+T48*H48+V48*J48),0),ROUND(IF(D48="简单平均",AVERAGE(R48:V48),R48*F48+T48*H48+V48*J48),1))</f>
        <v>#DIV/0!</v>
      </c>
      <c r="S49" s="3368"/>
      <c r="T49" s="3368"/>
      <c r="U49" s="3368"/>
      <c r="V49" s="3368"/>
      <c r="W49" s="3368"/>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2024-7</v>
      </c>
      <c r="D58" s="1236">
        <f>EDATE(C58,-1)</f>
        <v>45444</v>
      </c>
      <c r="E58" s="1236">
        <f t="shared" ref="E58:O58" si="16">EDATE(D58,-1)</f>
        <v>45413</v>
      </c>
      <c r="F58" s="1236">
        <f t="shared" si="16"/>
        <v>45383</v>
      </c>
      <c r="G58" s="1236">
        <f t="shared" si="16"/>
        <v>45352</v>
      </c>
      <c r="H58" s="1236">
        <f t="shared" si="16"/>
        <v>45323</v>
      </c>
      <c r="I58" s="1236">
        <f t="shared" si="16"/>
        <v>45292</v>
      </c>
      <c r="J58" s="1236">
        <f t="shared" si="16"/>
        <v>45261</v>
      </c>
      <c r="K58" s="1236">
        <f t="shared" si="16"/>
        <v>45231</v>
      </c>
      <c r="L58" s="1236">
        <f t="shared" si="16"/>
        <v>45200</v>
      </c>
      <c r="M58" s="1236">
        <f t="shared" si="16"/>
        <v>45170</v>
      </c>
      <c r="N58" s="1236">
        <f t="shared" si="16"/>
        <v>45139</v>
      </c>
      <c r="O58" s="1236">
        <f t="shared" si="16"/>
        <v>45108</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11" t="s">
        <v>945</v>
      </c>
      <c r="D4" s="3312"/>
      <c r="E4" s="3313" t="s">
        <v>946</v>
      </c>
      <c r="F4" s="3314"/>
      <c r="G4" s="3311" t="s">
        <v>947</v>
      </c>
      <c r="H4" s="3312"/>
      <c r="I4" s="3311" t="s">
        <v>948</v>
      </c>
      <c r="J4" s="3312"/>
      <c r="K4" s="1021" t="s">
        <v>949</v>
      </c>
      <c r="L4" s="1022"/>
      <c r="M4" s="972"/>
      <c r="N4" s="972"/>
      <c r="O4" s="972"/>
      <c r="P4" s="3409" t="s">
        <v>950</v>
      </c>
      <c r="Q4" s="3410"/>
      <c r="R4" s="3413" t="s">
        <v>946</v>
      </c>
      <c r="S4" s="3414"/>
      <c r="T4" s="3413" t="s">
        <v>947</v>
      </c>
      <c r="U4" s="3414"/>
      <c r="V4" s="3415" t="s">
        <v>948</v>
      </c>
      <c r="W4" s="3415"/>
      <c r="X4" s="1386"/>
      <c r="Y4" s="3413" t="s">
        <v>950</v>
      </c>
      <c r="Z4" s="3414"/>
      <c r="AA4" s="3405" t="s">
        <v>946</v>
      </c>
      <c r="AB4" s="3405" t="s">
        <v>947</v>
      </c>
      <c r="AC4" s="3406" t="s">
        <v>948</v>
      </c>
    </row>
    <row r="5" spans="1:29" ht="15">
      <c r="A5" s="879"/>
      <c r="B5" s="880"/>
      <c r="C5" s="3315" t="s">
        <v>951</v>
      </c>
      <c r="D5" s="3316"/>
      <c r="E5" s="3317" t="s">
        <v>1934</v>
      </c>
      <c r="F5" s="3318"/>
      <c r="G5" s="3315" t="s">
        <v>1935</v>
      </c>
      <c r="H5" s="3316"/>
      <c r="I5" s="3315" t="s">
        <v>1936</v>
      </c>
      <c r="J5" s="3316"/>
      <c r="K5" s="1021"/>
      <c r="L5" s="1022"/>
      <c r="M5" s="972"/>
      <c r="N5" s="972"/>
      <c r="O5" s="972"/>
      <c r="P5" s="3411"/>
      <c r="Q5" s="3340"/>
      <c r="R5" s="3345"/>
      <c r="S5" s="3346"/>
      <c r="T5" s="3345"/>
      <c r="U5" s="3346"/>
      <c r="V5" s="3327"/>
      <c r="W5" s="3327"/>
      <c r="X5" s="1070"/>
      <c r="Y5" s="3345"/>
      <c r="Z5" s="3346"/>
      <c r="AA5" s="3333"/>
      <c r="AB5" s="3333"/>
      <c r="AC5" s="3407"/>
    </row>
    <row r="6" spans="1:29" ht="15">
      <c r="A6" s="881"/>
      <c r="B6" s="882"/>
      <c r="C6" s="3319" t="s">
        <v>952</v>
      </c>
      <c r="D6" s="3320"/>
      <c r="E6" s="3321" t="s">
        <v>952</v>
      </c>
      <c r="F6" s="3322"/>
      <c r="G6" s="3319" t="s">
        <v>952</v>
      </c>
      <c r="H6" s="3320"/>
      <c r="I6" s="3319" t="s">
        <v>952</v>
      </c>
      <c r="J6" s="3320"/>
      <c r="K6" s="1021" t="s">
        <v>953</v>
      </c>
      <c r="L6" s="1022"/>
      <c r="M6" s="972"/>
      <c r="N6" s="972"/>
      <c r="O6" s="972"/>
      <c r="P6" s="3412"/>
      <c r="Q6" s="3342"/>
      <c r="R6" s="3345"/>
      <c r="S6" s="3346"/>
      <c r="T6" s="3347"/>
      <c r="U6" s="3348"/>
      <c r="V6" s="3327"/>
      <c r="W6" s="3327"/>
      <c r="X6" s="1070"/>
      <c r="Y6" s="3347"/>
      <c r="Z6" s="3348"/>
      <c r="AA6" s="3334"/>
      <c r="AB6" s="3334"/>
      <c r="AC6" s="3408"/>
    </row>
    <row r="7" spans="1:29" s="856" customFormat="1" ht="15">
      <c r="A7" s="884" t="s">
        <v>954</v>
      </c>
      <c r="B7" s="885"/>
      <c r="C7" s="886">
        <f>'数据-取费表'!B2</f>
        <v>45475</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401" t="s">
        <v>955</v>
      </c>
      <c r="Q7" s="3324"/>
      <c r="R7" s="1071" t="s">
        <v>956</v>
      </c>
      <c r="S7" s="1072">
        <f t="shared" ref="S7:S15" si="0">F7</f>
        <v>0</v>
      </c>
      <c r="T7" s="1071" t="s">
        <v>956</v>
      </c>
      <c r="U7" s="1072">
        <f t="shared" ref="U7:U15" si="1">H7</f>
        <v>0</v>
      </c>
      <c r="V7" s="1071" t="s">
        <v>956</v>
      </c>
      <c r="W7" s="1072">
        <f t="shared" ref="W7:W15" si="2">J7</f>
        <v>0</v>
      </c>
      <c r="X7" s="1073"/>
      <c r="Y7" s="3323" t="s">
        <v>955</v>
      </c>
      <c r="Z7" s="3325"/>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401" t="s">
        <v>959</v>
      </c>
      <c r="Q8" s="3325"/>
      <c r="R8" s="1071" t="s">
        <v>956</v>
      </c>
      <c r="S8" s="1072">
        <f t="shared" si="0"/>
        <v>0</v>
      </c>
      <c r="T8" s="1071" t="s">
        <v>956</v>
      </c>
      <c r="U8" s="1072">
        <f t="shared" si="1"/>
        <v>0</v>
      </c>
      <c r="V8" s="1071" t="s">
        <v>956</v>
      </c>
      <c r="W8" s="1072">
        <f t="shared" si="2"/>
        <v>0</v>
      </c>
      <c r="X8" s="1073"/>
      <c r="Y8" s="3323" t="s">
        <v>959</v>
      </c>
      <c r="Z8" s="3325"/>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3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3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36"/>
      <c r="Q11" s="796" t="str">
        <f t="shared" si="6"/>
        <v>容积率</v>
      </c>
      <c r="R11" s="1071" t="s">
        <v>956</v>
      </c>
      <c r="S11" s="1072" t="e">
        <f t="shared" si="0"/>
        <v>#N/A</v>
      </c>
      <c r="T11" s="1071" t="s">
        <v>956</v>
      </c>
      <c r="U11" s="1072" t="e">
        <f t="shared" si="1"/>
        <v>#N/A</v>
      </c>
      <c r="V11" s="1071" t="s">
        <v>956</v>
      </c>
      <c r="W11" s="1072" t="e">
        <f t="shared" si="2"/>
        <v>#N/A</v>
      </c>
      <c r="X11" s="1073"/>
      <c r="Y11" s="3302"/>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3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3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3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62" t="s">
        <v>969</v>
      </c>
      <c r="Q15" s="642" t="str">
        <f t="shared" si="6"/>
        <v>办公集聚程度</v>
      </c>
      <c r="R15" s="1075" t="s">
        <v>956</v>
      </c>
      <c r="S15" s="1076">
        <f t="shared" si="0"/>
        <v>100</v>
      </c>
      <c r="T15" s="1075" t="s">
        <v>956</v>
      </c>
      <c r="U15" s="1076">
        <f t="shared" si="1"/>
        <v>100</v>
      </c>
      <c r="V15" s="1075" t="s">
        <v>956</v>
      </c>
      <c r="W15" s="1076">
        <f t="shared" si="2"/>
        <v>100</v>
      </c>
      <c r="X15" s="1070"/>
      <c r="Y15" s="3328"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63"/>
      <c r="Q16" s="642"/>
      <c r="R16" s="1075"/>
      <c r="S16" s="1076"/>
      <c r="T16" s="1075"/>
      <c r="U16" s="1076"/>
      <c r="V16" s="1075"/>
      <c r="W16" s="1076"/>
      <c r="X16" s="1070"/>
      <c r="Y16" s="3329"/>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63"/>
      <c r="Q17" s="642" t="str">
        <f>B17</f>
        <v>交通便捷度</v>
      </c>
      <c r="R17" s="1075" t="s">
        <v>956</v>
      </c>
      <c r="S17" s="1076">
        <f>F17</f>
        <v>100</v>
      </c>
      <c r="T17" s="1075" t="s">
        <v>956</v>
      </c>
      <c r="U17" s="1076">
        <f>H17</f>
        <v>100</v>
      </c>
      <c r="V17" s="1075" t="s">
        <v>956</v>
      </c>
      <c r="W17" s="1076">
        <f>J17</f>
        <v>100</v>
      </c>
      <c r="X17" s="1070"/>
      <c r="Y17" s="3329"/>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63"/>
      <c r="Q18" s="642"/>
      <c r="R18" s="1075"/>
      <c r="S18" s="1076"/>
      <c r="T18" s="1075"/>
      <c r="U18" s="1076"/>
      <c r="V18" s="1075"/>
      <c r="W18" s="1076"/>
      <c r="X18" s="1070"/>
      <c r="Y18" s="3329"/>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63"/>
      <c r="Q19" s="642" t="str">
        <f>B19</f>
        <v>公共配套设施</v>
      </c>
      <c r="R19" s="1075" t="s">
        <v>956</v>
      </c>
      <c r="S19" s="1076">
        <f>F19</f>
        <v>100</v>
      </c>
      <c r="T19" s="1075" t="s">
        <v>956</v>
      </c>
      <c r="U19" s="1076">
        <f>H19</f>
        <v>100</v>
      </c>
      <c r="V19" s="1075" t="s">
        <v>956</v>
      </c>
      <c r="W19" s="1076">
        <f>J19</f>
        <v>100</v>
      </c>
      <c r="X19" s="1070"/>
      <c r="Y19" s="3329"/>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63"/>
      <c r="Q20" s="642"/>
      <c r="R20" s="1075"/>
      <c r="S20" s="1076"/>
      <c r="T20" s="1075"/>
      <c r="U20" s="1076"/>
      <c r="V20" s="1075"/>
      <c r="W20" s="1076"/>
      <c r="X20" s="1070"/>
      <c r="Y20" s="3329"/>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63"/>
      <c r="Q21" s="642" t="str">
        <f>B21</f>
        <v>基础设施水平</v>
      </c>
      <c r="R21" s="1075" t="s">
        <v>956</v>
      </c>
      <c r="S21" s="1076">
        <f>F21</f>
        <v>100</v>
      </c>
      <c r="T21" s="1075" t="s">
        <v>956</v>
      </c>
      <c r="U21" s="1076">
        <f>H21</f>
        <v>100</v>
      </c>
      <c r="V21" s="1075" t="s">
        <v>956</v>
      </c>
      <c r="W21" s="1076">
        <f>J21</f>
        <v>100</v>
      </c>
      <c r="X21" s="1070"/>
      <c r="Y21" s="3329"/>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63"/>
      <c r="Q22" s="642"/>
      <c r="R22" s="1075"/>
      <c r="S22" s="1076"/>
      <c r="T22" s="1075"/>
      <c r="U22" s="1076"/>
      <c r="V22" s="1075"/>
      <c r="W22" s="1076"/>
      <c r="X22" s="1070"/>
      <c r="Y22" s="3329"/>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63"/>
      <c r="Q23" s="642" t="str">
        <f>B23</f>
        <v>环境质量</v>
      </c>
      <c r="R23" s="1075" t="s">
        <v>956</v>
      </c>
      <c r="S23" s="1076">
        <f>F23</f>
        <v>100</v>
      </c>
      <c r="T23" s="1075" t="s">
        <v>956</v>
      </c>
      <c r="U23" s="1076">
        <f>H23</f>
        <v>100</v>
      </c>
      <c r="V23" s="1075" t="s">
        <v>956</v>
      </c>
      <c r="W23" s="1076">
        <f>J23</f>
        <v>100</v>
      </c>
      <c r="X23" s="1070"/>
      <c r="Y23" s="3329"/>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63"/>
      <c r="Q24" s="642"/>
      <c r="R24" s="1075"/>
      <c r="S24" s="1076"/>
      <c r="T24" s="1075"/>
      <c r="U24" s="1076"/>
      <c r="V24" s="1075"/>
      <c r="W24" s="1076"/>
      <c r="X24" s="1070"/>
      <c r="Y24" s="3329"/>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63"/>
      <c r="Q25" s="642" t="str">
        <f>B25</f>
        <v>毗邻道路的类型与等级</v>
      </c>
      <c r="R25" s="1075" t="s">
        <v>956</v>
      </c>
      <c r="S25" s="1076">
        <f>F25</f>
        <v>100</v>
      </c>
      <c r="T25" s="1075" t="s">
        <v>956</v>
      </c>
      <c r="U25" s="1076">
        <f>H25</f>
        <v>100</v>
      </c>
      <c r="V25" s="1075" t="s">
        <v>956</v>
      </c>
      <c r="W25" s="1076">
        <f>J25</f>
        <v>100</v>
      </c>
      <c r="X25" s="1070"/>
      <c r="Y25" s="3329"/>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63"/>
      <c r="Q26" s="642"/>
      <c r="R26" s="1075"/>
      <c r="S26" s="1076"/>
      <c r="T26" s="1075"/>
      <c r="U26" s="1076"/>
      <c r="V26" s="1075"/>
      <c r="W26" s="1076"/>
      <c r="X26" s="1070"/>
      <c r="Y26" s="3329"/>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63"/>
      <c r="Q27" s="642" t="str">
        <f t="shared" ref="Q27:Q47" si="11">B27</f>
        <v>楼层</v>
      </c>
      <c r="R27" s="1075" t="s">
        <v>956</v>
      </c>
      <c r="S27" s="1076">
        <f>F27</f>
        <v>100</v>
      </c>
      <c r="T27" s="1075" t="s">
        <v>956</v>
      </c>
      <c r="U27" s="1076">
        <f>H27</f>
        <v>100</v>
      </c>
      <c r="V27" s="1075" t="s">
        <v>956</v>
      </c>
      <c r="W27" s="1076">
        <f>J27</f>
        <v>100</v>
      </c>
      <c r="X27" s="1070"/>
      <c r="Y27" s="3329"/>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63"/>
      <c r="Q28" s="796" t="str">
        <f t="shared" si="11"/>
        <v>朝向</v>
      </c>
      <c r="R28" s="1071" t="s">
        <v>956</v>
      </c>
      <c r="S28" s="1072">
        <f>F28</f>
        <v>100</v>
      </c>
      <c r="T28" s="1071" t="s">
        <v>956</v>
      </c>
      <c r="U28" s="1072">
        <f>H28</f>
        <v>100</v>
      </c>
      <c r="V28" s="1071" t="s">
        <v>956</v>
      </c>
      <c r="W28" s="1072">
        <f>J28</f>
        <v>100</v>
      </c>
      <c r="X28" s="1073"/>
      <c r="Y28" s="3329"/>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63"/>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29"/>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63"/>
      <c r="Q30" s="642">
        <f t="shared" si="11"/>
        <v>111</v>
      </c>
      <c r="R30" s="1075" t="s">
        <v>956</v>
      </c>
      <c r="S30" s="1076">
        <f t="shared" si="12"/>
        <v>100</v>
      </c>
      <c r="T30" s="1075" t="s">
        <v>956</v>
      </c>
      <c r="U30" s="1076">
        <f t="shared" si="13"/>
        <v>100</v>
      </c>
      <c r="V30" s="1075" t="s">
        <v>956</v>
      </c>
      <c r="W30" s="1076">
        <f t="shared" si="14"/>
        <v>100</v>
      </c>
      <c r="X30" s="1070"/>
      <c r="Y30" s="3329"/>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63"/>
      <c r="Q31" s="642">
        <f t="shared" si="11"/>
        <v>111</v>
      </c>
      <c r="R31" s="1075" t="s">
        <v>956</v>
      </c>
      <c r="S31" s="1076">
        <f t="shared" si="12"/>
        <v>100</v>
      </c>
      <c r="T31" s="1075" t="s">
        <v>956</v>
      </c>
      <c r="U31" s="1076">
        <f t="shared" si="13"/>
        <v>100</v>
      </c>
      <c r="V31" s="1075" t="s">
        <v>956</v>
      </c>
      <c r="W31" s="1076">
        <f t="shared" si="14"/>
        <v>100</v>
      </c>
      <c r="X31" s="1070"/>
      <c r="Y31" s="3329"/>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63"/>
      <c r="Q32" s="642">
        <f t="shared" si="11"/>
        <v>111</v>
      </c>
      <c r="R32" s="1075" t="s">
        <v>956</v>
      </c>
      <c r="S32" s="1076">
        <f t="shared" si="12"/>
        <v>100</v>
      </c>
      <c r="T32" s="1075" t="s">
        <v>956</v>
      </c>
      <c r="U32" s="1076">
        <f t="shared" si="13"/>
        <v>100</v>
      </c>
      <c r="V32" s="1075" t="s">
        <v>956</v>
      </c>
      <c r="W32" s="1076">
        <f t="shared" si="14"/>
        <v>100</v>
      </c>
      <c r="X32" s="1070"/>
      <c r="Y32" s="3329"/>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64" t="s">
        <v>982</v>
      </c>
      <c r="Q33" s="642" t="str">
        <f t="shared" si="11"/>
        <v>建筑类型</v>
      </c>
      <c r="R33" s="1075" t="s">
        <v>956</v>
      </c>
      <c r="S33" s="1076">
        <f t="shared" si="12"/>
        <v>100</v>
      </c>
      <c r="T33" s="1075" t="s">
        <v>956</v>
      </c>
      <c r="U33" s="1076">
        <f t="shared" si="13"/>
        <v>100</v>
      </c>
      <c r="V33" s="1075" t="s">
        <v>956</v>
      </c>
      <c r="W33" s="1076">
        <f t="shared" si="14"/>
        <v>100</v>
      </c>
      <c r="X33" s="1070"/>
      <c r="Y33" s="3331"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65"/>
      <c r="Q34" s="1245" t="str">
        <f t="shared" si="11"/>
        <v>项目建筑规模</v>
      </c>
      <c r="R34" s="1077" t="s">
        <v>956</v>
      </c>
      <c r="S34" s="1078" t="e">
        <f t="shared" si="12"/>
        <v>#N/A</v>
      </c>
      <c r="T34" s="1077" t="s">
        <v>956</v>
      </c>
      <c r="U34" s="1078" t="e">
        <f t="shared" si="13"/>
        <v>#N/A</v>
      </c>
      <c r="V34" s="1077" t="s">
        <v>956</v>
      </c>
      <c r="W34" s="1078" t="e">
        <f t="shared" si="14"/>
        <v>#N/A</v>
      </c>
      <c r="X34" s="1079"/>
      <c r="Y34" s="3331"/>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65"/>
      <c r="Q35" s="642" t="str">
        <f t="shared" si="11"/>
        <v>建筑结构</v>
      </c>
      <c r="R35" s="1075" t="s">
        <v>956</v>
      </c>
      <c r="S35" s="1076">
        <f t="shared" si="12"/>
        <v>100</v>
      </c>
      <c r="T35" s="1075" t="s">
        <v>956</v>
      </c>
      <c r="U35" s="1076">
        <f t="shared" si="13"/>
        <v>100</v>
      </c>
      <c r="V35" s="1075" t="s">
        <v>956</v>
      </c>
      <c r="W35" s="1076">
        <f t="shared" si="14"/>
        <v>100</v>
      </c>
      <c r="X35" s="1070"/>
      <c r="Y35" s="3331"/>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65"/>
      <c r="Q36" s="642" t="str">
        <f t="shared" si="11"/>
        <v>公共部分装修</v>
      </c>
      <c r="R36" s="1075" t="s">
        <v>956</v>
      </c>
      <c r="S36" s="1076">
        <f t="shared" si="12"/>
        <v>100</v>
      </c>
      <c r="T36" s="1075" t="s">
        <v>956</v>
      </c>
      <c r="U36" s="1076">
        <f t="shared" si="13"/>
        <v>100</v>
      </c>
      <c r="V36" s="1075" t="s">
        <v>956</v>
      </c>
      <c r="W36" s="1076">
        <f t="shared" si="14"/>
        <v>100</v>
      </c>
      <c r="X36" s="1070"/>
      <c r="Y36" s="3331"/>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65"/>
      <c r="Q37" s="642" t="str">
        <f t="shared" si="11"/>
        <v>成新度</v>
      </c>
      <c r="R37" s="1075" t="s">
        <v>956</v>
      </c>
      <c r="S37" s="1076" t="e">
        <f t="shared" si="12"/>
        <v>#N/A</v>
      </c>
      <c r="T37" s="1075" t="s">
        <v>956</v>
      </c>
      <c r="U37" s="1076" t="e">
        <f t="shared" si="13"/>
        <v>#N/A</v>
      </c>
      <c r="V37" s="1075" t="s">
        <v>956</v>
      </c>
      <c r="W37" s="1076" t="e">
        <f t="shared" si="14"/>
        <v>#N/A</v>
      </c>
      <c r="X37" s="1070"/>
      <c r="Y37" s="3331"/>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65"/>
      <c r="Q38" s="796" t="str">
        <f t="shared" si="11"/>
        <v>写字楼等级</v>
      </c>
      <c r="R38" s="1071" t="s">
        <v>956</v>
      </c>
      <c r="S38" s="1072">
        <f t="shared" si="12"/>
        <v>100</v>
      </c>
      <c r="T38" s="1071" t="s">
        <v>956</v>
      </c>
      <c r="U38" s="1072">
        <f t="shared" si="13"/>
        <v>100</v>
      </c>
      <c r="V38" s="1071" t="s">
        <v>956</v>
      </c>
      <c r="W38" s="1072">
        <f t="shared" si="14"/>
        <v>100</v>
      </c>
      <c r="X38" s="1073"/>
      <c r="Y38" s="3331"/>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65" t="s">
        <v>982</v>
      </c>
      <c r="Q39" s="642" t="str">
        <f t="shared" si="11"/>
        <v>物业管理</v>
      </c>
      <c r="R39" s="1075" t="s">
        <v>956</v>
      </c>
      <c r="S39" s="1076">
        <f t="shared" si="12"/>
        <v>100</v>
      </c>
      <c r="T39" s="1075" t="s">
        <v>956</v>
      </c>
      <c r="U39" s="1076">
        <f t="shared" si="13"/>
        <v>100</v>
      </c>
      <c r="V39" s="1075" t="s">
        <v>956</v>
      </c>
      <c r="W39" s="1076">
        <f t="shared" si="14"/>
        <v>100</v>
      </c>
      <c r="X39" s="1070"/>
      <c r="Y39" s="3331"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65"/>
      <c r="Q40" s="642" t="str">
        <f t="shared" si="11"/>
        <v>市政基础设施</v>
      </c>
      <c r="R40" s="1075" t="s">
        <v>956</v>
      </c>
      <c r="S40" s="1076">
        <f t="shared" si="12"/>
        <v>100</v>
      </c>
      <c r="T40" s="1075" t="s">
        <v>956</v>
      </c>
      <c r="U40" s="1076">
        <f t="shared" si="13"/>
        <v>100</v>
      </c>
      <c r="V40" s="1075" t="s">
        <v>956</v>
      </c>
      <c r="W40" s="1076">
        <f t="shared" si="14"/>
        <v>100</v>
      </c>
      <c r="X40" s="1070"/>
      <c r="Y40" s="3331"/>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65"/>
      <c r="Q41" s="642" t="str">
        <f t="shared" si="11"/>
        <v>层高</v>
      </c>
      <c r="R41" s="1075" t="s">
        <v>956</v>
      </c>
      <c r="S41" s="1076">
        <f t="shared" si="12"/>
        <v>100</v>
      </c>
      <c r="T41" s="1075" t="s">
        <v>956</v>
      </c>
      <c r="U41" s="1076">
        <f t="shared" si="13"/>
        <v>100</v>
      </c>
      <c r="V41" s="1075" t="s">
        <v>956</v>
      </c>
      <c r="W41" s="1076">
        <f t="shared" si="14"/>
        <v>100</v>
      </c>
      <c r="X41" s="1070"/>
      <c r="Y41" s="3331"/>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65"/>
      <c r="Q42" s="1245" t="str">
        <f t="shared" si="11"/>
        <v>单套建筑面积</v>
      </c>
      <c r="R42" s="1077" t="s">
        <v>956</v>
      </c>
      <c r="S42" s="1078">
        <f t="shared" si="12"/>
        <v>100</v>
      </c>
      <c r="T42" s="1077" t="s">
        <v>956</v>
      </c>
      <c r="U42" s="1078">
        <f t="shared" si="13"/>
        <v>100</v>
      </c>
      <c r="V42" s="1077" t="s">
        <v>956</v>
      </c>
      <c r="W42" s="1078">
        <f t="shared" si="14"/>
        <v>100</v>
      </c>
      <c r="X42" s="1079"/>
      <c r="Y42" s="3331"/>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65"/>
      <c r="Q43" s="642" t="str">
        <f t="shared" si="11"/>
        <v>内部装修</v>
      </c>
      <c r="R43" s="1075" t="s">
        <v>956</v>
      </c>
      <c r="S43" s="1076">
        <f t="shared" si="12"/>
        <v>100</v>
      </c>
      <c r="T43" s="1075" t="s">
        <v>956</v>
      </c>
      <c r="U43" s="1076">
        <f t="shared" si="13"/>
        <v>100</v>
      </c>
      <c r="V43" s="1075" t="s">
        <v>956</v>
      </c>
      <c r="W43" s="1076">
        <f t="shared" si="14"/>
        <v>100</v>
      </c>
      <c r="X43" s="1070"/>
      <c r="Y43" s="3331"/>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65"/>
      <c r="Q44" s="642" t="str">
        <f t="shared" si="11"/>
        <v>内部装修维护情况</v>
      </c>
      <c r="R44" s="1075" t="s">
        <v>956</v>
      </c>
      <c r="S44" s="1076">
        <f t="shared" si="12"/>
        <v>100</v>
      </c>
      <c r="T44" s="1075" t="s">
        <v>956</v>
      </c>
      <c r="U44" s="1076">
        <f t="shared" si="13"/>
        <v>100</v>
      </c>
      <c r="V44" s="1075" t="s">
        <v>956</v>
      </c>
      <c r="W44" s="1076">
        <f t="shared" si="14"/>
        <v>100</v>
      </c>
      <c r="X44" s="1070"/>
      <c r="Y44" s="3331"/>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65"/>
      <c r="Q45" s="796">
        <f t="shared" si="11"/>
        <v>111</v>
      </c>
      <c r="R45" s="1071" t="s">
        <v>956</v>
      </c>
      <c r="S45" s="1072">
        <f t="shared" si="12"/>
        <v>100</v>
      </c>
      <c r="T45" s="1071" t="s">
        <v>956</v>
      </c>
      <c r="U45" s="1072">
        <f t="shared" si="13"/>
        <v>100</v>
      </c>
      <c r="V45" s="1071" t="s">
        <v>956</v>
      </c>
      <c r="W45" s="1072">
        <f t="shared" si="14"/>
        <v>100</v>
      </c>
      <c r="X45" s="1073"/>
      <c r="Y45" s="3331"/>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65"/>
      <c r="Q46" s="642">
        <f t="shared" si="11"/>
        <v>111</v>
      </c>
      <c r="R46" s="1075" t="s">
        <v>956</v>
      </c>
      <c r="S46" s="1076">
        <f t="shared" si="12"/>
        <v>100</v>
      </c>
      <c r="T46" s="1075" t="s">
        <v>956</v>
      </c>
      <c r="U46" s="1076">
        <f t="shared" si="13"/>
        <v>100</v>
      </c>
      <c r="V46" s="1075" t="s">
        <v>956</v>
      </c>
      <c r="W46" s="1076">
        <f t="shared" si="14"/>
        <v>100</v>
      </c>
      <c r="X46" s="1070"/>
      <c r="Y46" s="3331"/>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6"/>
      <c r="Q47" s="642">
        <f t="shared" si="11"/>
        <v>111</v>
      </c>
      <c r="R47" s="1075" t="s">
        <v>956</v>
      </c>
      <c r="S47" s="1076">
        <f t="shared" si="12"/>
        <v>100</v>
      </c>
      <c r="T47" s="1075" t="s">
        <v>956</v>
      </c>
      <c r="U47" s="1076">
        <f t="shared" si="13"/>
        <v>100</v>
      </c>
      <c r="V47" s="1075" t="s">
        <v>956</v>
      </c>
      <c r="W47" s="1076">
        <f t="shared" si="14"/>
        <v>100</v>
      </c>
      <c r="X47" s="1070"/>
      <c r="Y47" s="3367"/>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36" t="str">
        <f>A48</f>
        <v>成交单价（元/平方米）</v>
      </c>
      <c r="Q48" s="3326"/>
      <c r="R48" s="3327">
        <f>E48</f>
        <v>0</v>
      </c>
      <c r="S48" s="3327"/>
      <c r="T48" s="3327">
        <f>G48</f>
        <v>0</v>
      </c>
      <c r="U48" s="3327"/>
      <c r="V48" s="3327">
        <f>I48</f>
        <v>0</v>
      </c>
      <c r="W48" s="3327"/>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36"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2024-7</v>
      </c>
      <c r="D59" s="1236">
        <f>EDATE(C59,-1)</f>
        <v>45444</v>
      </c>
      <c r="E59" s="1236">
        <f>EDATE(D59,-1)</f>
        <v>45413</v>
      </c>
      <c r="F59" s="1236">
        <f t="shared" ref="F59:O59" si="16">EDATE(E59,-1)</f>
        <v>45383</v>
      </c>
      <c r="G59" s="1236">
        <f t="shared" si="16"/>
        <v>45352</v>
      </c>
      <c r="H59" s="1236">
        <f t="shared" si="16"/>
        <v>45323</v>
      </c>
      <c r="I59" s="1236">
        <f t="shared" si="16"/>
        <v>45292</v>
      </c>
      <c r="J59" s="1236">
        <f t="shared" si="16"/>
        <v>45261</v>
      </c>
      <c r="K59" s="1236">
        <f t="shared" si="16"/>
        <v>45231</v>
      </c>
      <c r="L59" s="1236">
        <f t="shared" si="16"/>
        <v>45200</v>
      </c>
      <c r="M59" s="1236">
        <f t="shared" si="16"/>
        <v>45170</v>
      </c>
      <c r="N59" s="1236">
        <f t="shared" si="16"/>
        <v>45139</v>
      </c>
      <c r="O59" s="1236">
        <f t="shared" si="16"/>
        <v>45108</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11" t="s">
        <v>945</v>
      </c>
      <c r="D4" s="3312"/>
      <c r="E4" s="3313" t="s">
        <v>946</v>
      </c>
      <c r="F4" s="3314"/>
      <c r="G4" s="3311" t="s">
        <v>947</v>
      </c>
      <c r="H4" s="3312"/>
      <c r="I4" s="3311" t="s">
        <v>948</v>
      </c>
      <c r="J4" s="3312"/>
      <c r="K4" s="1021" t="s">
        <v>949</v>
      </c>
      <c r="L4" s="1344"/>
      <c r="M4" s="1007"/>
      <c r="N4" s="1007"/>
      <c r="O4" s="1007"/>
      <c r="P4" s="3337" t="s">
        <v>950</v>
      </c>
      <c r="Q4" s="3338"/>
      <c r="R4" s="3343" t="s">
        <v>946</v>
      </c>
      <c r="S4" s="3344"/>
      <c r="T4" s="3343" t="s">
        <v>947</v>
      </c>
      <c r="U4" s="3344"/>
      <c r="V4" s="3327" t="s">
        <v>948</v>
      </c>
      <c r="W4" s="3327"/>
      <c r="X4" s="1070"/>
      <c r="Y4" s="3343" t="s">
        <v>950</v>
      </c>
      <c r="Z4" s="3344"/>
      <c r="AA4" s="3332" t="s">
        <v>946</v>
      </c>
      <c r="AB4" s="3333" t="s">
        <v>947</v>
      </c>
      <c r="AC4" s="3332" t="s">
        <v>948</v>
      </c>
    </row>
    <row r="5" spans="1:29" ht="15">
      <c r="A5" s="879"/>
      <c r="B5" s="880"/>
      <c r="C5" s="3315" t="s">
        <v>951</v>
      </c>
      <c r="D5" s="3316"/>
      <c r="E5" s="3317" t="s">
        <v>1934</v>
      </c>
      <c r="F5" s="3318"/>
      <c r="G5" s="3315" t="s">
        <v>1935</v>
      </c>
      <c r="H5" s="3316"/>
      <c r="I5" s="3315" t="s">
        <v>1936</v>
      </c>
      <c r="J5" s="3316"/>
      <c r="K5" s="1021"/>
      <c r="L5" s="1344"/>
      <c r="M5" s="1007"/>
      <c r="N5" s="1007"/>
      <c r="O5" s="1007"/>
      <c r="P5" s="3339"/>
      <c r="Q5" s="3340"/>
      <c r="R5" s="3345"/>
      <c r="S5" s="3346"/>
      <c r="T5" s="3345"/>
      <c r="U5" s="3346"/>
      <c r="V5" s="3327"/>
      <c r="W5" s="3327"/>
      <c r="X5" s="1070"/>
      <c r="Y5" s="3345"/>
      <c r="Z5" s="3346"/>
      <c r="AA5" s="3333"/>
      <c r="AB5" s="3333"/>
      <c r="AC5" s="3333"/>
    </row>
    <row r="6" spans="1:29" ht="15">
      <c r="A6" s="881"/>
      <c r="B6" s="882"/>
      <c r="C6" s="3319" t="s">
        <v>952</v>
      </c>
      <c r="D6" s="3320"/>
      <c r="E6" s="3321" t="s">
        <v>952</v>
      </c>
      <c r="F6" s="3322"/>
      <c r="G6" s="3319" t="s">
        <v>952</v>
      </c>
      <c r="H6" s="3320"/>
      <c r="I6" s="3319" t="s">
        <v>952</v>
      </c>
      <c r="J6" s="3320"/>
      <c r="K6" s="1021" t="s">
        <v>953</v>
      </c>
      <c r="L6" s="1344"/>
      <c r="M6" s="1007"/>
      <c r="N6" s="1007"/>
      <c r="O6" s="1007"/>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23" t="s">
        <v>955</v>
      </c>
      <c r="Q7" s="3324"/>
      <c r="R7" s="1071" t="s">
        <v>956</v>
      </c>
      <c r="S7" s="1072">
        <f t="shared" ref="S7:S15" si="0">F7</f>
        <v>0</v>
      </c>
      <c r="T7" s="1071" t="s">
        <v>956</v>
      </c>
      <c r="U7" s="1072">
        <f t="shared" ref="U7:U15" si="1">H7</f>
        <v>0</v>
      </c>
      <c r="V7" s="1071" t="s">
        <v>956</v>
      </c>
      <c r="W7" s="1072">
        <f t="shared" ref="W7:W15" si="2">J7</f>
        <v>0</v>
      </c>
      <c r="X7" s="1073"/>
      <c r="Y7" s="3323" t="s">
        <v>955</v>
      </c>
      <c r="Z7" s="3325"/>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23" t="s">
        <v>959</v>
      </c>
      <c r="Q8" s="3325"/>
      <c r="R8" s="1071" t="s">
        <v>956</v>
      </c>
      <c r="S8" s="1072">
        <f t="shared" si="0"/>
        <v>0</v>
      </c>
      <c r="T8" s="1071" t="s">
        <v>956</v>
      </c>
      <c r="U8" s="1072">
        <f t="shared" si="1"/>
        <v>0</v>
      </c>
      <c r="V8" s="1071" t="s">
        <v>956</v>
      </c>
      <c r="W8" s="1072">
        <f t="shared" si="2"/>
        <v>0</v>
      </c>
      <c r="X8" s="1073"/>
      <c r="Y8" s="3323" t="s">
        <v>959</v>
      </c>
      <c r="Z8" s="3325"/>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2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2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26"/>
      <c r="Q11" s="796" t="str">
        <f t="shared" si="6"/>
        <v>容积率</v>
      </c>
      <c r="R11" s="1071" t="s">
        <v>956</v>
      </c>
      <c r="S11" s="1072" t="e">
        <f t="shared" si="0"/>
        <v>#N/A</v>
      </c>
      <c r="T11" s="1071" t="s">
        <v>956</v>
      </c>
      <c r="U11" s="1072" t="e">
        <f t="shared" si="1"/>
        <v>#N/A</v>
      </c>
      <c r="V11" s="1071" t="s">
        <v>956</v>
      </c>
      <c r="W11" s="1072" t="e">
        <f t="shared" si="2"/>
        <v>#N/A</v>
      </c>
      <c r="X11" s="1073"/>
      <c r="Y11" s="330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2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2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2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28" t="s">
        <v>969</v>
      </c>
      <c r="Q15" s="642" t="str">
        <f t="shared" si="6"/>
        <v>产业集聚程度</v>
      </c>
      <c r="R15" s="1075" t="s">
        <v>956</v>
      </c>
      <c r="S15" s="1076">
        <f t="shared" si="0"/>
        <v>100</v>
      </c>
      <c r="T15" s="1075" t="s">
        <v>956</v>
      </c>
      <c r="U15" s="1076">
        <f t="shared" si="1"/>
        <v>100</v>
      </c>
      <c r="V15" s="1075" t="s">
        <v>956</v>
      </c>
      <c r="W15" s="1076">
        <f t="shared" si="2"/>
        <v>100</v>
      </c>
      <c r="X15" s="1070"/>
      <c r="Y15" s="3328"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29"/>
      <c r="Q16" s="642"/>
      <c r="R16" s="1075"/>
      <c r="S16" s="1076"/>
      <c r="T16" s="1075"/>
      <c r="U16" s="1076"/>
      <c r="V16" s="1075"/>
      <c r="W16" s="1076"/>
      <c r="X16" s="1070"/>
      <c r="Y16" s="3329"/>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29"/>
      <c r="Q17" s="642" t="str">
        <f>B17</f>
        <v>交通便捷度</v>
      </c>
      <c r="R17" s="1075" t="s">
        <v>956</v>
      </c>
      <c r="S17" s="1076">
        <f>F17</f>
        <v>100</v>
      </c>
      <c r="T17" s="1075" t="s">
        <v>956</v>
      </c>
      <c r="U17" s="1076">
        <f>H17</f>
        <v>100</v>
      </c>
      <c r="V17" s="1075" t="s">
        <v>956</v>
      </c>
      <c r="W17" s="1076">
        <f>J17</f>
        <v>100</v>
      </c>
      <c r="X17" s="1070"/>
      <c r="Y17" s="3329"/>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29"/>
      <c r="Q18" s="642"/>
      <c r="R18" s="1075"/>
      <c r="S18" s="1076"/>
      <c r="T18" s="1075"/>
      <c r="U18" s="1076"/>
      <c r="V18" s="1075"/>
      <c r="W18" s="1076"/>
      <c r="X18" s="1070"/>
      <c r="Y18" s="3329"/>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29"/>
      <c r="Q19" s="642" t="str">
        <f>B19</f>
        <v>公共配套设施</v>
      </c>
      <c r="R19" s="1075" t="s">
        <v>956</v>
      </c>
      <c r="S19" s="1076">
        <f>F19</f>
        <v>100</v>
      </c>
      <c r="T19" s="1075" t="s">
        <v>956</v>
      </c>
      <c r="U19" s="1076">
        <f>H19</f>
        <v>100</v>
      </c>
      <c r="V19" s="1075" t="s">
        <v>956</v>
      </c>
      <c r="W19" s="1076">
        <f>J19</f>
        <v>100</v>
      </c>
      <c r="X19" s="1070"/>
      <c r="Y19" s="3329"/>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29"/>
      <c r="Q20" s="642"/>
      <c r="R20" s="1075"/>
      <c r="S20" s="1076"/>
      <c r="T20" s="1075"/>
      <c r="U20" s="1076"/>
      <c r="V20" s="1075"/>
      <c r="W20" s="1076"/>
      <c r="X20" s="1070"/>
      <c r="Y20" s="3329"/>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29"/>
      <c r="Q21" s="642" t="str">
        <f>B21</f>
        <v>基础设施水平</v>
      </c>
      <c r="R21" s="1075" t="s">
        <v>956</v>
      </c>
      <c r="S21" s="1076">
        <f>F21</f>
        <v>100</v>
      </c>
      <c r="T21" s="1075" t="s">
        <v>956</v>
      </c>
      <c r="U21" s="1076">
        <f>H21</f>
        <v>100</v>
      </c>
      <c r="V21" s="1075" t="s">
        <v>956</v>
      </c>
      <c r="W21" s="1076">
        <f>J21</f>
        <v>100</v>
      </c>
      <c r="X21" s="1070"/>
      <c r="Y21" s="3329"/>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29"/>
      <c r="Q22" s="642"/>
      <c r="R22" s="1075"/>
      <c r="S22" s="1076"/>
      <c r="T22" s="1075"/>
      <c r="U22" s="1076"/>
      <c r="V22" s="1075"/>
      <c r="W22" s="1076"/>
      <c r="X22" s="1070"/>
      <c r="Y22" s="3329"/>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29"/>
      <c r="Q23" s="642" t="str">
        <f>B23</f>
        <v>环境质量</v>
      </c>
      <c r="R23" s="1075" t="s">
        <v>956</v>
      </c>
      <c r="S23" s="1076">
        <f>F23</f>
        <v>100</v>
      </c>
      <c r="T23" s="1075" t="s">
        <v>956</v>
      </c>
      <c r="U23" s="1076">
        <f>H23</f>
        <v>100</v>
      </c>
      <c r="V23" s="1075" t="s">
        <v>956</v>
      </c>
      <c r="W23" s="1076">
        <f>J23</f>
        <v>100</v>
      </c>
      <c r="X23" s="1070"/>
      <c r="Y23" s="3329"/>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29"/>
      <c r="Q24" s="642"/>
      <c r="R24" s="1075"/>
      <c r="S24" s="1076"/>
      <c r="T24" s="1075"/>
      <c r="U24" s="1076"/>
      <c r="V24" s="1075"/>
      <c r="W24" s="1076"/>
      <c r="X24" s="1070"/>
      <c r="Y24" s="3329"/>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29"/>
      <c r="Q25" s="642">
        <f>B25</f>
        <v>111</v>
      </c>
      <c r="R25" s="1075" t="s">
        <v>956</v>
      </c>
      <c r="S25" s="1076">
        <f>F25</f>
        <v>100</v>
      </c>
      <c r="T25" s="1075" t="s">
        <v>956</v>
      </c>
      <c r="U25" s="1076">
        <f>H25</f>
        <v>100</v>
      </c>
      <c r="V25" s="1075" t="s">
        <v>956</v>
      </c>
      <c r="W25" s="1076">
        <f>J25</f>
        <v>100</v>
      </c>
      <c r="X25" s="1070"/>
      <c r="Y25" s="3329"/>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29"/>
      <c r="Q26" s="642">
        <f t="shared" ref="Q26:Q40" si="11">B26</f>
        <v>111</v>
      </c>
      <c r="R26" s="1075" t="s">
        <v>956</v>
      </c>
      <c r="S26" s="1076">
        <f>F26</f>
        <v>100</v>
      </c>
      <c r="T26" s="1075" t="s">
        <v>956</v>
      </c>
      <c r="U26" s="1076">
        <f>H26</f>
        <v>100</v>
      </c>
      <c r="V26" s="1075" t="s">
        <v>956</v>
      </c>
      <c r="W26" s="1076">
        <f>J26</f>
        <v>100</v>
      </c>
      <c r="X26" s="1070"/>
      <c r="Y26" s="3329"/>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29"/>
      <c r="Q27" s="796">
        <f t="shared" si="11"/>
        <v>111</v>
      </c>
      <c r="R27" s="1071" t="s">
        <v>956</v>
      </c>
      <c r="S27" s="1072">
        <f>F27</f>
        <v>100</v>
      </c>
      <c r="T27" s="1071" t="s">
        <v>956</v>
      </c>
      <c r="U27" s="1072">
        <f>H27</f>
        <v>100</v>
      </c>
      <c r="V27" s="1071" t="s">
        <v>956</v>
      </c>
      <c r="W27" s="1072">
        <f>J27</f>
        <v>100</v>
      </c>
      <c r="X27" s="1073"/>
      <c r="Y27" s="3329"/>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29"/>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29"/>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30" t="s">
        <v>982</v>
      </c>
      <c r="Q29" s="642" t="str">
        <f t="shared" si="11"/>
        <v>建筑类型</v>
      </c>
      <c r="R29" s="1075" t="s">
        <v>956</v>
      </c>
      <c r="S29" s="1076">
        <f t="shared" si="12"/>
        <v>100</v>
      </c>
      <c r="T29" s="1075" t="s">
        <v>956</v>
      </c>
      <c r="U29" s="1076">
        <f t="shared" si="13"/>
        <v>100</v>
      </c>
      <c r="V29" s="1075" t="s">
        <v>956</v>
      </c>
      <c r="W29" s="1076">
        <f t="shared" si="14"/>
        <v>100</v>
      </c>
      <c r="X29" s="1070"/>
      <c r="Y29" s="3331"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31"/>
      <c r="Q30" s="1245" t="str">
        <f t="shared" si="11"/>
        <v>项目建筑规模</v>
      </c>
      <c r="R30" s="1077" t="s">
        <v>956</v>
      </c>
      <c r="S30" s="1078" t="e">
        <f t="shared" si="12"/>
        <v>#N/A</v>
      </c>
      <c r="T30" s="1077" t="s">
        <v>956</v>
      </c>
      <c r="U30" s="1078" t="e">
        <f t="shared" si="13"/>
        <v>#N/A</v>
      </c>
      <c r="V30" s="1077" t="s">
        <v>956</v>
      </c>
      <c r="W30" s="1078" t="e">
        <f t="shared" si="14"/>
        <v>#N/A</v>
      </c>
      <c r="X30" s="1079"/>
      <c r="Y30" s="3331"/>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31"/>
      <c r="Q31" s="642" t="str">
        <f t="shared" si="11"/>
        <v>建筑结构</v>
      </c>
      <c r="R31" s="1075" t="s">
        <v>956</v>
      </c>
      <c r="S31" s="1076">
        <f t="shared" si="12"/>
        <v>100</v>
      </c>
      <c r="T31" s="1075" t="s">
        <v>956</v>
      </c>
      <c r="U31" s="1076">
        <f t="shared" si="13"/>
        <v>100</v>
      </c>
      <c r="V31" s="1075" t="s">
        <v>956</v>
      </c>
      <c r="W31" s="1076">
        <f t="shared" si="14"/>
        <v>100</v>
      </c>
      <c r="X31" s="1070"/>
      <c r="Y31" s="3331"/>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31"/>
      <c r="Q32" s="642" t="str">
        <f t="shared" si="11"/>
        <v>公共部分装修</v>
      </c>
      <c r="R32" s="1075" t="s">
        <v>956</v>
      </c>
      <c r="S32" s="1076">
        <f t="shared" si="12"/>
        <v>100</v>
      </c>
      <c r="T32" s="1075" t="s">
        <v>956</v>
      </c>
      <c r="U32" s="1076">
        <f t="shared" si="13"/>
        <v>100</v>
      </c>
      <c r="V32" s="1075" t="s">
        <v>956</v>
      </c>
      <c r="W32" s="1076">
        <f t="shared" si="14"/>
        <v>100</v>
      </c>
      <c r="X32" s="1070"/>
      <c r="Y32" s="3331"/>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31"/>
      <c r="Q33" s="642" t="str">
        <f t="shared" si="11"/>
        <v>成新度</v>
      </c>
      <c r="R33" s="1075" t="s">
        <v>956</v>
      </c>
      <c r="S33" s="1076" t="e">
        <f t="shared" si="12"/>
        <v>#N/A</v>
      </c>
      <c r="T33" s="1075" t="s">
        <v>956</v>
      </c>
      <c r="U33" s="1076" t="e">
        <f t="shared" si="13"/>
        <v>#N/A</v>
      </c>
      <c r="V33" s="1075" t="s">
        <v>956</v>
      </c>
      <c r="W33" s="1076" t="e">
        <f t="shared" si="14"/>
        <v>#N/A</v>
      </c>
      <c r="X33" s="1070"/>
      <c r="Y33" s="3331"/>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31"/>
      <c r="Q34" s="796" t="str">
        <f t="shared" si="11"/>
        <v>物业管理</v>
      </c>
      <c r="R34" s="1071" t="s">
        <v>956</v>
      </c>
      <c r="S34" s="1072">
        <f t="shared" si="12"/>
        <v>100</v>
      </c>
      <c r="T34" s="1071" t="s">
        <v>956</v>
      </c>
      <c r="U34" s="1072">
        <f t="shared" si="13"/>
        <v>100</v>
      </c>
      <c r="V34" s="1071" t="s">
        <v>956</v>
      </c>
      <c r="W34" s="1072">
        <f t="shared" si="14"/>
        <v>100</v>
      </c>
      <c r="X34" s="1073"/>
      <c r="Y34" s="3331"/>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31" t="s">
        <v>982</v>
      </c>
      <c r="Q35" s="642" t="str">
        <f t="shared" si="11"/>
        <v>市政基础设施</v>
      </c>
      <c r="R35" s="1075" t="s">
        <v>956</v>
      </c>
      <c r="S35" s="1076">
        <f t="shared" si="12"/>
        <v>100</v>
      </c>
      <c r="T35" s="1075" t="s">
        <v>956</v>
      </c>
      <c r="U35" s="1076">
        <f t="shared" si="13"/>
        <v>100</v>
      </c>
      <c r="V35" s="1075" t="s">
        <v>956</v>
      </c>
      <c r="W35" s="1076">
        <f t="shared" si="14"/>
        <v>100</v>
      </c>
      <c r="X35" s="1070"/>
      <c r="Y35" s="3331"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31"/>
      <c r="Q36" s="642" t="str">
        <f t="shared" si="11"/>
        <v>内部装修</v>
      </c>
      <c r="R36" s="1075" t="s">
        <v>956</v>
      </c>
      <c r="S36" s="1076">
        <f t="shared" si="12"/>
        <v>100</v>
      </c>
      <c r="T36" s="1075" t="s">
        <v>956</v>
      </c>
      <c r="U36" s="1076">
        <f t="shared" si="13"/>
        <v>100</v>
      </c>
      <c r="V36" s="1075" t="s">
        <v>956</v>
      </c>
      <c r="W36" s="1076">
        <f t="shared" si="14"/>
        <v>100</v>
      </c>
      <c r="X36" s="1070"/>
      <c r="Y36" s="3331"/>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31"/>
      <c r="Q37" s="642" t="str">
        <f t="shared" si="11"/>
        <v>内部装修状况</v>
      </c>
      <c r="R37" s="1075" t="s">
        <v>956</v>
      </c>
      <c r="S37" s="1076">
        <f t="shared" si="12"/>
        <v>100</v>
      </c>
      <c r="T37" s="1075" t="s">
        <v>956</v>
      </c>
      <c r="U37" s="1076">
        <f t="shared" si="13"/>
        <v>100</v>
      </c>
      <c r="V37" s="1075" t="s">
        <v>956</v>
      </c>
      <c r="W37" s="1076">
        <f t="shared" si="14"/>
        <v>100</v>
      </c>
      <c r="X37" s="1070"/>
      <c r="Y37" s="3331"/>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31"/>
      <c r="Q38" s="1245">
        <f t="shared" si="11"/>
        <v>111</v>
      </c>
      <c r="R38" s="1077" t="s">
        <v>956</v>
      </c>
      <c r="S38" s="1078">
        <f t="shared" si="12"/>
        <v>100</v>
      </c>
      <c r="T38" s="1077" t="s">
        <v>956</v>
      </c>
      <c r="U38" s="1078">
        <f t="shared" si="13"/>
        <v>100</v>
      </c>
      <c r="V38" s="1077" t="s">
        <v>956</v>
      </c>
      <c r="W38" s="1078">
        <f t="shared" si="14"/>
        <v>100</v>
      </c>
      <c r="X38" s="1079"/>
      <c r="Y38" s="3331"/>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31"/>
      <c r="Q39" s="642">
        <f t="shared" si="11"/>
        <v>111</v>
      </c>
      <c r="R39" s="1075" t="s">
        <v>956</v>
      </c>
      <c r="S39" s="1076">
        <f t="shared" si="12"/>
        <v>100</v>
      </c>
      <c r="T39" s="1075" t="s">
        <v>956</v>
      </c>
      <c r="U39" s="1076">
        <f t="shared" si="13"/>
        <v>100</v>
      </c>
      <c r="V39" s="1075" t="s">
        <v>956</v>
      </c>
      <c r="W39" s="1076">
        <f t="shared" si="14"/>
        <v>100</v>
      </c>
      <c r="X39" s="1070"/>
      <c r="Y39" s="3331"/>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7"/>
      <c r="Q40" s="642">
        <f t="shared" si="11"/>
        <v>111</v>
      </c>
      <c r="R40" s="1075" t="s">
        <v>956</v>
      </c>
      <c r="S40" s="1076">
        <f t="shared" si="12"/>
        <v>100</v>
      </c>
      <c r="T40" s="1075" t="s">
        <v>956</v>
      </c>
      <c r="U40" s="1076">
        <f t="shared" si="13"/>
        <v>100</v>
      </c>
      <c r="V40" s="1075" t="s">
        <v>956</v>
      </c>
      <c r="W40" s="1076">
        <f t="shared" si="14"/>
        <v>100</v>
      </c>
      <c r="X40" s="1070"/>
      <c r="Y40" s="3367"/>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26" t="str">
        <f>A41</f>
        <v>成交单价（元/平方米）</v>
      </c>
      <c r="Q41" s="3326"/>
      <c r="R41" s="3327">
        <f>E41</f>
        <v>0</v>
      </c>
      <c r="S41" s="3327"/>
      <c r="T41" s="3327">
        <f>G41</f>
        <v>0</v>
      </c>
      <c r="U41" s="3327"/>
      <c r="V41" s="3327">
        <f>I41</f>
        <v>0</v>
      </c>
      <c r="W41" s="3327"/>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50" t="str">
        <f>A43</f>
        <v>估价对象XX用房的比较价值（楼面单价，元/平方米）</v>
      </c>
      <c r="Q43" s="3351"/>
      <c r="R43" s="3368" t="e">
        <f>IF(F1="售价",ROUND(IF(D42="简单平均",AVERAGE(R42:V42),R42*F42+T42*H42+V42*J42),0),ROUND(IF(D42="简单平均",AVERAGE(R42:V42),R42*F42+T42*H42+V42*J42),1))</f>
        <v>#DIV/0!</v>
      </c>
      <c r="S43" s="3368"/>
      <c r="T43" s="3368"/>
      <c r="U43" s="3368"/>
      <c r="V43" s="3368"/>
      <c r="W43" s="3368"/>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2024-7</v>
      </c>
      <c r="D52" s="1236">
        <f>EDATE(C52,-1)</f>
        <v>45444</v>
      </c>
      <c r="E52" s="1236">
        <f t="shared" ref="E52:O52" si="16">EDATE(D52,-1)</f>
        <v>45413</v>
      </c>
      <c r="F52" s="1236">
        <f t="shared" si="16"/>
        <v>45383</v>
      </c>
      <c r="G52" s="1236">
        <f t="shared" si="16"/>
        <v>45352</v>
      </c>
      <c r="H52" s="1236">
        <f t="shared" si="16"/>
        <v>45323</v>
      </c>
      <c r="I52" s="1236">
        <f t="shared" si="16"/>
        <v>45292</v>
      </c>
      <c r="J52" s="1236">
        <f t="shared" si="16"/>
        <v>45261</v>
      </c>
      <c r="K52" s="1236">
        <f t="shared" si="16"/>
        <v>45231</v>
      </c>
      <c r="L52" s="1236">
        <f t="shared" si="16"/>
        <v>45200</v>
      </c>
      <c r="M52" s="1236">
        <f t="shared" si="16"/>
        <v>45170</v>
      </c>
      <c r="N52" s="1236">
        <f t="shared" si="16"/>
        <v>45139</v>
      </c>
      <c r="O52" s="1236">
        <f t="shared" si="16"/>
        <v>45108</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491</v>
      </c>
      <c r="D1" s="1780"/>
      <c r="E1" s="1780"/>
      <c r="F1" s="2135" t="s">
        <v>716</v>
      </c>
      <c r="G1" s="2136" t="s">
        <v>3175</v>
      </c>
      <c r="H1" s="2135" t="str">
        <f>IF(G1="现房","——","估价对象范围")</f>
        <v>——</v>
      </c>
      <c r="I1" s="2265" t="s">
        <v>717</v>
      </c>
    </row>
    <row r="2" spans="1:12" ht="21.75" customHeight="1" thickBot="1">
      <c r="A2" s="3211" t="str">
        <f>项目基本情况!S2</f>
        <v>北京市顺义区北小营镇顺义新城第30街区30-01-02地块R2二类居住用地出让国有建设用地使用权及在建建筑物房地产</v>
      </c>
      <c r="B2" s="3212"/>
      <c r="C2" s="3212"/>
      <c r="D2" s="3212"/>
      <c r="E2" s="3212"/>
      <c r="F2" s="3212"/>
      <c r="G2" s="3212"/>
      <c r="H2" s="3212"/>
      <c r="I2" s="3213"/>
    </row>
    <row r="3" spans="1:12" ht="12.75">
      <c r="A3" s="3214" t="s">
        <v>718</v>
      </c>
      <c r="B3" s="3215"/>
      <c r="C3" s="3215"/>
      <c r="D3" s="3215"/>
      <c r="E3" s="3215"/>
      <c r="F3" s="3215"/>
      <c r="G3" s="3215"/>
      <c r="H3" s="3215"/>
      <c r="I3" s="3215"/>
    </row>
    <row r="4" spans="1:12" ht="14.25">
      <c r="A4" s="2137" t="s">
        <v>719</v>
      </c>
      <c r="B4" s="2138" t="s">
        <v>720</v>
      </c>
      <c r="C4" s="2139" t="s">
        <v>3025</v>
      </c>
      <c r="D4" s="2139" t="s">
        <v>3026</v>
      </c>
      <c r="E4" s="3216" t="s">
        <v>722</v>
      </c>
      <c r="F4" s="3217"/>
      <c r="G4" s="3217"/>
      <c r="H4" s="3217"/>
      <c r="I4" s="3218"/>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61" t="s">
        <v>723</v>
      </c>
      <c r="B5" s="3302">
        <v>25</v>
      </c>
      <c r="C5" s="3231"/>
      <c r="D5" s="3230"/>
      <c r="E5" s="1678" t="s">
        <v>724</v>
      </c>
      <c r="F5" s="2144"/>
      <c r="G5" s="2144"/>
      <c r="H5" s="2144"/>
      <c r="I5" s="1880"/>
    </row>
    <row r="6" spans="1:12" ht="12.75">
      <c r="A6" s="3261"/>
      <c r="B6" s="3302"/>
      <c r="C6" s="3232"/>
      <c r="D6" s="3230"/>
      <c r="E6" s="1678" t="s">
        <v>725</v>
      </c>
      <c r="F6" s="2144"/>
      <c r="G6" s="2144"/>
      <c r="H6" s="2144"/>
      <c r="I6" s="1880"/>
    </row>
    <row r="7" spans="1:12" ht="12.75">
      <c r="A7" s="3261"/>
      <c r="B7" s="3302"/>
      <c r="C7" s="3233"/>
      <c r="D7" s="3230"/>
      <c r="E7" s="1678" t="s">
        <v>726</v>
      </c>
      <c r="F7" s="2144"/>
      <c r="G7" s="2144"/>
      <c r="H7" s="2144"/>
      <c r="I7" s="1880"/>
    </row>
    <row r="8" spans="1:12" ht="12.75">
      <c r="A8" s="3261" t="s">
        <v>727</v>
      </c>
      <c r="B8" s="3302">
        <v>15</v>
      </c>
      <c r="C8" s="3231"/>
      <c r="D8" s="3230"/>
      <c r="E8" s="1678" t="s">
        <v>728</v>
      </c>
      <c r="F8" s="2144"/>
      <c r="G8" s="2144"/>
      <c r="H8" s="2144"/>
      <c r="I8" s="1880"/>
    </row>
    <row r="9" spans="1:12" ht="12.75">
      <c r="A9" s="3261"/>
      <c r="B9" s="3302"/>
      <c r="C9" s="3233"/>
      <c r="D9" s="3230"/>
      <c r="E9" s="1678" t="s">
        <v>729</v>
      </c>
      <c r="F9" s="2144"/>
      <c r="G9" s="2144"/>
      <c r="H9" s="2144"/>
      <c r="I9" s="1880"/>
    </row>
    <row r="10" spans="1:12" ht="12.75">
      <c r="A10" s="3261" t="s">
        <v>730</v>
      </c>
      <c r="B10" s="3302">
        <v>15</v>
      </c>
      <c r="C10" s="3231"/>
      <c r="D10" s="3230"/>
      <c r="E10" s="1678" t="s">
        <v>731</v>
      </c>
      <c r="F10" s="2144"/>
      <c r="G10" s="2144"/>
      <c r="H10" s="2144"/>
      <c r="I10" s="1880"/>
    </row>
    <row r="11" spans="1:12" ht="12.75">
      <c r="A11" s="3261"/>
      <c r="B11" s="3302"/>
      <c r="C11" s="3233"/>
      <c r="D11" s="3230"/>
      <c r="E11" s="1678" t="s">
        <v>732</v>
      </c>
      <c r="F11" s="2144"/>
      <c r="G11" s="2144"/>
      <c r="H11" s="2144"/>
      <c r="I11" s="1880"/>
    </row>
    <row r="12" spans="1:12" ht="12.75">
      <c r="A12" s="3261" t="s">
        <v>733</v>
      </c>
      <c r="B12" s="3302">
        <v>15</v>
      </c>
      <c r="C12" s="3231"/>
      <c r="D12" s="3230"/>
      <c r="E12" s="1678" t="s">
        <v>734</v>
      </c>
      <c r="F12" s="2144"/>
      <c r="G12" s="2144"/>
      <c r="H12" s="2144"/>
      <c r="I12" s="1880"/>
    </row>
    <row r="13" spans="1:12" ht="12.75">
      <c r="A13" s="3261"/>
      <c r="B13" s="3302"/>
      <c r="C13" s="3233"/>
      <c r="D13" s="3230"/>
      <c r="E13" s="1678" t="s">
        <v>735</v>
      </c>
      <c r="F13" s="2144"/>
      <c r="G13" s="2144"/>
      <c r="H13" s="2144"/>
      <c r="I13" s="1880"/>
    </row>
    <row r="14" spans="1:12" ht="12.75">
      <c r="A14" s="3261" t="s">
        <v>736</v>
      </c>
      <c r="B14" s="3302">
        <v>30</v>
      </c>
      <c r="C14" s="3231">
        <v>5</v>
      </c>
      <c r="D14" s="3230">
        <v>5</v>
      </c>
      <c r="E14" s="1678" t="s">
        <v>737</v>
      </c>
      <c r="F14" s="2144"/>
      <c r="G14" s="2144"/>
      <c r="H14" s="2144"/>
      <c r="I14" s="1880"/>
    </row>
    <row r="15" spans="1:12" ht="12.75">
      <c r="A15" s="3261"/>
      <c r="B15" s="3302"/>
      <c r="C15" s="3232"/>
      <c r="D15" s="3230"/>
      <c r="E15" s="1678" t="s">
        <v>738</v>
      </c>
      <c r="F15" s="2144"/>
      <c r="G15" s="2144"/>
      <c r="H15" s="2144"/>
      <c r="I15" s="1880"/>
    </row>
    <row r="16" spans="1:12" ht="12.75">
      <c r="A16" s="3261"/>
      <c r="B16" s="3302"/>
      <c r="C16" s="3233"/>
      <c r="D16" s="3230"/>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19" t="s">
        <v>744</v>
      </c>
      <c r="F18" s="3220"/>
      <c r="G18" s="3220"/>
      <c r="H18" s="3220"/>
      <c r="I18" s="3220"/>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1" t="s">
        <v>746</v>
      </c>
      <c r="C19" s="2152">
        <f ca="1">SUMIF(INDIRECT("'"&amp;C4&amp;"'"&amp;"!A:A"),结果表车!B19,INDIRECT("'"&amp;C4&amp;"'"&amp;"!B:B"))</f>
        <v>9574</v>
      </c>
      <c r="D19" s="2116">
        <f ca="1">SUMIF(INDIRECT("'"&amp;D4&amp;"'"&amp;"!A:A"),结果表车!B19,INDIRECT("'"&amp;D4&amp;"'"&amp;"!B:B"))</f>
        <v>7590</v>
      </c>
      <c r="E19" s="1086" t="s">
        <v>747</v>
      </c>
      <c r="F19" s="2151" t="s">
        <v>746</v>
      </c>
      <c r="G19" s="2153">
        <f ca="1">ROUND(C19*$C$18+D19*$D$18,0)</f>
        <v>8582</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SUMIF(INDIRECT("'"&amp;C4&amp;"'"&amp;"!A:A"),结果表车!B20,INDIRECT("'"&amp;C4&amp;"'"&amp;"!B:B"))</f>
        <v>2921</v>
      </c>
      <c r="D20" s="1969">
        <f ca="1">SUMIF(INDIRECT("'"&amp;D4&amp;"'"&amp;"!A:A"),结果表车!B20,INDIRECT("'"&amp;D4&amp;"'"&amp;"!B:B"))</f>
        <v>2316</v>
      </c>
      <c r="E20" s="2155"/>
      <c r="F20" s="2156" t="s">
        <v>749</v>
      </c>
      <c r="G20" s="2157">
        <f ca="1">ROUND(C20*$C$18+D20*$D$18,0)</f>
        <v>2619</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0.2613965744400526</v>
      </c>
      <c r="E22" s="274"/>
      <c r="F22" s="274"/>
      <c r="G22" s="274"/>
      <c r="H22" s="274"/>
      <c r="I22" s="274"/>
      <c r="K22" s="232">
        <f ca="1">G19</f>
        <v>8582</v>
      </c>
      <c r="L22" s="232">
        <f ca="1">N59</f>
        <v>8328</v>
      </c>
    </row>
    <row r="23" spans="1:36" ht="13.5" thickBot="1">
      <c r="A23" s="1780"/>
      <c r="B23" s="1780"/>
      <c r="C23" s="1780"/>
      <c r="D23" s="1780"/>
      <c r="E23" s="274"/>
      <c r="F23" s="274"/>
      <c r="G23" s="274"/>
      <c r="H23" s="274"/>
      <c r="I23" s="274"/>
      <c r="K23" s="232">
        <f ca="1">K21-K22</f>
        <v>403923</v>
      </c>
      <c r="L23" s="232">
        <f ca="1">L21-L22</f>
        <v>391961</v>
      </c>
    </row>
    <row r="24" spans="1:36" ht="14.25">
      <c r="A24" s="3295" t="s">
        <v>753</v>
      </c>
      <c r="B24" s="2151" t="s">
        <v>746</v>
      </c>
      <c r="C24" s="2153">
        <f>IF(B30=0,0,D30)</f>
        <v>0</v>
      </c>
      <c r="D24" s="2167"/>
      <c r="E24" s="274"/>
      <c r="F24" s="274"/>
      <c r="G24" s="274"/>
      <c r="H24" s="274"/>
      <c r="I24" s="274"/>
    </row>
    <row r="25" spans="1:36" ht="14.25">
      <c r="A25" s="3296"/>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8582</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4583</v>
      </c>
      <c r="D34" s="2187">
        <f ca="1">IF(C33="自定义",ROUND(C34/C32,3),IF(C33="收益比率",SUMIF(INDIRECT("'"&amp;D33&amp;"'"&amp;"!b:b"),"土地收益比率",INDIRECT("'"&amp;D33&amp;"'"&amp;"!c:c")),SUMIF(INDIRECT("'"&amp;D33&amp;"'"&amp;"!b:b"),"土地成本比率",INDIRECT("'"&amp;D33&amp;"'"&amp;"!c:c"))))</f>
        <v>0.53400000000000003</v>
      </c>
      <c r="E34" s="2188" t="s">
        <v>767</v>
      </c>
      <c r="F34" s="2189"/>
      <c r="G34" s="274"/>
      <c r="H34" s="274"/>
      <c r="I34" s="274"/>
    </row>
    <row r="35" spans="1:15" ht="15.75" thickBot="1">
      <c r="A35" s="2190"/>
      <c r="B35" s="2191" t="s">
        <v>768</v>
      </c>
      <c r="C35" s="2192">
        <f ca="1">IF(C33="自定义",F35,ROUND(C32*D35,0))</f>
        <v>3999</v>
      </c>
      <c r="D35" s="2193">
        <f ca="1">IF(C33="自定义",ROUND(C35/C32,3),IF(C33="收益比率",SUMIF(INDIRECT("'"&amp;D33&amp;"'"&amp;"!b:b"),"建筑物收益比率",INDIRECT("'"&amp;D33&amp;"'"&amp;"!c:c")),SUMIF(INDIRECT("'"&amp;D33&amp;"'"&amp;"!b:b"),"建筑物成本比率",INDIRECT("'"&amp;D33&amp;"'"&amp;"!c:c"))))</f>
        <v>0.46600000000000003</v>
      </c>
      <c r="E35" s="2194" t="s">
        <v>769</v>
      </c>
      <c r="F35" s="2195"/>
      <c r="G35" s="274"/>
      <c r="H35" s="274"/>
      <c r="I35" s="274"/>
    </row>
    <row r="36" spans="1:15" ht="15.75" thickBot="1">
      <c r="A36" s="3297" t="s">
        <v>770</v>
      </c>
      <c r="B36" s="2196" t="s">
        <v>771</v>
      </c>
      <c r="C36" s="2197"/>
      <c r="D36" s="2198"/>
      <c r="E36" s="2199"/>
      <c r="F36" s="2200"/>
      <c r="G36" s="274"/>
      <c r="H36" s="274"/>
      <c r="I36" s="274"/>
    </row>
    <row r="37" spans="1:15" ht="15.75" thickBot="1">
      <c r="A37" s="3298"/>
      <c r="B37" s="2201" t="s">
        <v>772</v>
      </c>
      <c r="C37" s="2202"/>
      <c r="D37" s="2203"/>
      <c r="E37" s="2203"/>
      <c r="F37" s="2200"/>
      <c r="G37" s="274"/>
      <c r="H37" s="274"/>
      <c r="I37" s="274"/>
    </row>
    <row r="38" spans="1:15" ht="15.75" thickBot="1">
      <c r="A38" s="3299"/>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21" t="s">
        <v>781</v>
      </c>
      <c r="B45" s="3222"/>
      <c r="C45" s="3223"/>
      <c r="D45" s="1637">
        <f ca="1">ROUND(H101*F45,0)</f>
        <v>4806</v>
      </c>
      <c r="E45" s="2222" t="s">
        <v>782</v>
      </c>
      <c r="F45" s="2223">
        <v>0.56000000000000005</v>
      </c>
      <c r="G45" s="1648" t="s">
        <v>783</v>
      </c>
      <c r="H45" s="274"/>
      <c r="I45" s="274"/>
      <c r="J45" s="3224" t="s">
        <v>784</v>
      </c>
      <c r="K45" s="3224"/>
      <c r="L45" s="3224"/>
      <c r="M45" s="3224"/>
      <c r="N45" s="3224"/>
      <c r="O45" s="3224"/>
    </row>
    <row r="46" spans="1:15" ht="14.25" customHeight="1">
      <c r="A46" s="3225" t="s">
        <v>785</v>
      </c>
      <c r="B46" s="3226"/>
      <c r="C46" s="3226"/>
      <c r="D46" s="3226"/>
      <c r="E46" s="3226"/>
      <c r="F46" s="3226"/>
      <c r="G46" s="3227"/>
      <c r="H46" s="2224"/>
      <c r="I46" s="275"/>
      <c r="J46" s="3058">
        <v>1</v>
      </c>
      <c r="K46" s="3228" t="s">
        <v>786</v>
      </c>
      <c r="L46" s="3228"/>
      <c r="M46" s="3229"/>
      <c r="N46" s="3229"/>
      <c r="O46" s="3229"/>
    </row>
    <row r="47" spans="1:15" ht="12" customHeight="1">
      <c r="A47" s="2225" t="s">
        <v>787</v>
      </c>
      <c r="B47" s="2226"/>
      <c r="C47" s="2227"/>
      <c r="D47" s="1687" t="s">
        <v>788</v>
      </c>
      <c r="E47" s="1638" t="s">
        <v>789</v>
      </c>
      <c r="F47" s="2228" t="s">
        <v>790</v>
      </c>
      <c r="G47" s="2229" t="s">
        <v>791</v>
      </c>
      <c r="H47" s="2230"/>
      <c r="I47" s="275"/>
      <c r="J47" s="3058">
        <v>2</v>
      </c>
      <c r="K47" s="3228" t="s">
        <v>792</v>
      </c>
      <c r="L47" s="3228"/>
      <c r="M47" s="3234">
        <f>'数据-取费表'!B2</f>
        <v>45475</v>
      </c>
      <c r="N47" s="3234"/>
      <c r="O47" s="3234"/>
    </row>
    <row r="48" spans="1:15" ht="25.5">
      <c r="A48" s="3235" t="s">
        <v>793</v>
      </c>
      <c r="B48" s="3236"/>
      <c r="C48" s="3236"/>
      <c r="D48" s="3061">
        <f ca="1">IF(H48="情况1",0,IF(H48="情况2",D52,IF(H48="情况3",D53,IF(H48="情况4",D54))))</f>
        <v>252</v>
      </c>
      <c r="E48" s="3055" t="str">
        <f>IF(H48="情况4","(销售额-原购置价)×税（费）率","销售额×税（费）率")</f>
        <v>销售额×税（费）率</v>
      </c>
      <c r="F48" s="2232">
        <f>IF(H48="情况1","免征",'数据-取费表'!B41)</f>
        <v>5.5E-2</v>
      </c>
      <c r="G48" s="2233" t="s">
        <v>794</v>
      </c>
      <c r="H48" s="2234" t="s">
        <v>795</v>
      </c>
      <c r="I48" s="2224"/>
      <c r="J48" s="3058">
        <v>3</v>
      </c>
      <c r="K48" s="3228" t="s">
        <v>796</v>
      </c>
      <c r="L48" s="3228"/>
      <c r="M48" s="3237">
        <f ca="1">H101</f>
        <v>8582</v>
      </c>
      <c r="N48" s="3237"/>
      <c r="O48" s="3237"/>
    </row>
    <row r="49" spans="1:35" ht="25.5" customHeight="1">
      <c r="A49" s="3054" t="s">
        <v>797</v>
      </c>
      <c r="B49" s="3238" t="s">
        <v>798</v>
      </c>
      <c r="C49" s="3238"/>
      <c r="D49" s="2235">
        <v>0</v>
      </c>
      <c r="E49" s="1697" t="s">
        <v>799</v>
      </c>
      <c r="F49" s="3051" t="s">
        <v>124</v>
      </c>
      <c r="G49" s="3244"/>
      <c r="H49" s="2237" t="s">
        <v>800</v>
      </c>
      <c r="I49" s="2274"/>
      <c r="J49" s="3058">
        <v>4</v>
      </c>
      <c r="K49" s="3228" t="str">
        <f>IF(项目基本情况!E8="房地产抵押价值","房地产抵押价值","抵押担保权已注销时的房地产抵押价值")</f>
        <v>房地产抵押价值</v>
      </c>
      <c r="L49" s="3228"/>
      <c r="M49" s="3237">
        <f ca="1">IF(项目基本情况!E8="房地产抵押价值",H107,H109)</f>
        <v>8582</v>
      </c>
      <c r="N49" s="3237"/>
      <c r="O49" s="3237"/>
    </row>
    <row r="50" spans="1:35" ht="25.5" customHeight="1">
      <c r="A50" s="2238"/>
      <c r="B50" s="3238" t="s">
        <v>801</v>
      </c>
      <c r="C50" s="3238"/>
      <c r="D50" s="2239"/>
      <c r="E50" s="1712"/>
      <c r="F50" s="3051"/>
      <c r="G50" s="3245"/>
      <c r="H50" s="2240" t="s">
        <v>802</v>
      </c>
      <c r="I50" s="2274"/>
      <c r="J50" s="3224" t="s">
        <v>803</v>
      </c>
      <c r="K50" s="3224"/>
      <c r="L50" s="3224"/>
      <c r="M50" s="3224"/>
      <c r="N50" s="3224"/>
      <c r="O50" s="3224"/>
    </row>
    <row r="51" spans="1:35" ht="20.45" customHeight="1">
      <c r="A51" s="2241"/>
      <c r="B51" s="3238" t="s">
        <v>804</v>
      </c>
      <c r="C51" s="3238"/>
      <c r="D51" s="1687"/>
      <c r="E51" s="1701"/>
      <c r="F51" s="3051"/>
      <c r="G51" s="3246"/>
      <c r="H51" s="2240" t="s">
        <v>805</v>
      </c>
      <c r="I51" s="2274"/>
      <c r="J51" s="3053" t="s">
        <v>806</v>
      </c>
      <c r="K51" s="3228" t="s">
        <v>807</v>
      </c>
      <c r="L51" s="3228"/>
      <c r="M51" s="3053" t="s">
        <v>808</v>
      </c>
      <c r="N51" s="3053" t="s">
        <v>809</v>
      </c>
      <c r="O51" s="3053" t="s">
        <v>810</v>
      </c>
    </row>
    <row r="52" spans="1:35" ht="24" customHeight="1">
      <c r="A52" s="3060" t="s">
        <v>811</v>
      </c>
      <c r="B52" s="3238" t="s">
        <v>812</v>
      </c>
      <c r="C52" s="3238"/>
      <c r="D52" s="1687">
        <f ca="1">ROUND(D45*'数据-取费表'!B41/(1+'数据-取费表'!C42),0)</f>
        <v>252</v>
      </c>
      <c r="E52" s="3055" t="s">
        <v>813</v>
      </c>
      <c r="F52" s="2243">
        <f>'数据-取费表'!B41</f>
        <v>5.5E-2</v>
      </c>
      <c r="G52" s="2244"/>
      <c r="H52" s="1801"/>
      <c r="I52" s="2275"/>
      <c r="J52" s="3058">
        <v>1</v>
      </c>
      <c r="K52" s="3240" t="s">
        <v>814</v>
      </c>
      <c r="L52" s="3240"/>
      <c r="M52" s="2276">
        <f ca="1">D48</f>
        <v>252</v>
      </c>
      <c r="N52" s="3058" t="str">
        <f>E48</f>
        <v>销售额×税（费）率</v>
      </c>
      <c r="O52" s="2277">
        <f>F48</f>
        <v>5.5E-2</v>
      </c>
    </row>
    <row r="53" spans="1:35" ht="12" customHeight="1">
      <c r="A53" s="3060" t="s">
        <v>815</v>
      </c>
      <c r="B53" s="3241" t="s">
        <v>816</v>
      </c>
      <c r="C53" s="3242"/>
      <c r="D53" s="1687">
        <f ca="1">ROUND(D45*'数据-取费表'!B41/(1+'数据-取费表'!C42),0)</f>
        <v>252</v>
      </c>
      <c r="E53" s="3055" t="s">
        <v>813</v>
      </c>
      <c r="F53" s="2243">
        <f>'数据-取费表'!B41</f>
        <v>5.5E-2</v>
      </c>
      <c r="G53" s="2244"/>
      <c r="H53" s="1801"/>
      <c r="I53" s="2275"/>
      <c r="J53" s="3058">
        <v>2</v>
      </c>
      <c r="K53" s="3240" t="s">
        <v>817</v>
      </c>
      <c r="L53" s="3240"/>
      <c r="M53" s="2276">
        <f t="shared" ref="M53:O54" ca="1" si="0">D55</f>
        <v>2</v>
      </c>
      <c r="N53" s="3058" t="str">
        <f t="shared" si="0"/>
        <v>销售额×税（费）率</v>
      </c>
      <c r="O53" s="2277">
        <f t="shared" si="0"/>
        <v>5.0000000000000001E-4</v>
      </c>
    </row>
    <row r="54" spans="1:35" ht="12" customHeight="1">
      <c r="A54" s="3060" t="s">
        <v>818</v>
      </c>
      <c r="B54" s="3241" t="s">
        <v>819</v>
      </c>
      <c r="C54" s="3242"/>
      <c r="D54" s="1687">
        <f ca="1">C68</f>
        <v>252</v>
      </c>
      <c r="E54" s="1701" t="s">
        <v>820</v>
      </c>
      <c r="F54" s="2243">
        <f>'数据-取费表'!B41</f>
        <v>5.5E-2</v>
      </c>
      <c r="G54" s="2244"/>
      <c r="H54" s="2245"/>
      <c r="I54" s="2275"/>
      <c r="J54" s="3058">
        <v>3</v>
      </c>
      <c r="K54" s="3240" t="s">
        <v>821</v>
      </c>
      <c r="L54" s="3240"/>
      <c r="M54" s="2276">
        <f t="shared" ca="1" si="0"/>
        <v>0</v>
      </c>
      <c r="N54" s="3058" t="str">
        <f t="shared" si="0"/>
        <v>增值额×税（费）率</v>
      </c>
      <c r="O54" s="2278" t="str">
        <f t="shared" si="0"/>
        <v>——</v>
      </c>
    </row>
    <row r="55" spans="1:35" ht="24" customHeight="1">
      <c r="A55" s="3243" t="s">
        <v>822</v>
      </c>
      <c r="B55" s="3236"/>
      <c r="C55" s="3236"/>
      <c r="D55" s="3061">
        <f ca="1">IF(H55="个人住宅",0,ROUND(D45*I55,0))</f>
        <v>2</v>
      </c>
      <c r="E55" s="3055" t="s">
        <v>823</v>
      </c>
      <c r="F55" s="2243">
        <f>IF(H55="正常",I55,"免征")</f>
        <v>5.0000000000000001E-4</v>
      </c>
      <c r="G55" s="2244"/>
      <c r="H55" s="2234" t="s">
        <v>824</v>
      </c>
      <c r="I55" s="2279">
        <f>'数据-取费表'!B49</f>
        <v>5.0000000000000001E-4</v>
      </c>
      <c r="J55" s="3058" t="str">
        <f>IF(H59="非个人房产","",4)</f>
        <v/>
      </c>
      <c r="K55" s="3240" t="str">
        <f>IF(H59="非个人房产","——","个人所得税")</f>
        <v>——</v>
      </c>
      <c r="L55" s="3240"/>
      <c r="M55" s="2280" t="str">
        <f>D59</f>
        <v>——</v>
      </c>
      <c r="N55" s="3064" t="str">
        <f>E59</f>
        <v>——</v>
      </c>
      <c r="O55" s="2281" t="str">
        <f>F59</f>
        <v>——</v>
      </c>
    </row>
    <row r="56" spans="1:35" ht="24.75">
      <c r="A56" s="3243" t="s">
        <v>825</v>
      </c>
      <c r="B56" s="3236"/>
      <c r="C56" s="3236"/>
      <c r="D56" s="3061">
        <f ca="1">IF(H56="个人住宅",D57,D58)</f>
        <v>0</v>
      </c>
      <c r="E56" s="3055" t="s">
        <v>826</v>
      </c>
      <c r="F56" s="2243" t="str">
        <f>IF(H56="正常",F58,"免征")</f>
        <v>——</v>
      </c>
      <c r="G56" s="2246" t="s">
        <v>827</v>
      </c>
      <c r="H56" s="2247" t="s">
        <v>824</v>
      </c>
      <c r="I56" s="2256"/>
      <c r="J56" s="3058" t="str">
        <f>IF(项目基本情况!K6="上海银行",IF(J55="",4,J55+1),"")</f>
        <v/>
      </c>
      <c r="K56" s="3247" t="str">
        <f>IF(项目基本情况!K6="上海银行","其他处置费用","")</f>
        <v/>
      </c>
      <c r="L56" s="3248"/>
      <c r="M56" s="2276" t="str">
        <f>IF(项目基本情况!K6="上海银行",M69,"")</f>
        <v/>
      </c>
      <c r="N56" s="3247" t="str">
        <f>IF(项目基本情况!K6="上海银行","包含处置中涉及的律师、诉讼、拍卖、评估等费用","")</f>
        <v/>
      </c>
      <c r="O56" s="3249"/>
    </row>
    <row r="57" spans="1:35" ht="12.75">
      <c r="A57" s="3060" t="s">
        <v>797</v>
      </c>
      <c r="B57" s="3241" t="s">
        <v>828</v>
      </c>
      <c r="C57" s="3242"/>
      <c r="D57" s="2235">
        <v>0</v>
      </c>
      <c r="E57" s="1697" t="s">
        <v>799</v>
      </c>
      <c r="F57" s="1638"/>
      <c r="G57" s="2244"/>
      <c r="H57" s="2248"/>
      <c r="I57" s="2256"/>
      <c r="J57" s="3240">
        <f>IF(AND(J55="",J56=""),4,IF(项目基本情况!K6="上海银行",结果表车!J56+1,结果表车!J55+1))</f>
        <v>4</v>
      </c>
      <c r="K57" s="3240" t="s">
        <v>829</v>
      </c>
      <c r="L57" s="2282" t="s">
        <v>830</v>
      </c>
      <c r="M57" s="2283"/>
      <c r="N57" s="2284">
        <f ca="1">SUMIF(M52:M56,"&lt;9e307")</f>
        <v>254</v>
      </c>
      <c r="O57" s="2285"/>
      <c r="P57" s="2286">
        <f ca="1">N57/M49</f>
        <v>2.9596830575623397E-2</v>
      </c>
    </row>
    <row r="58" spans="1:35" ht="24.75">
      <c r="A58" s="3060" t="s">
        <v>811</v>
      </c>
      <c r="B58" s="3241" t="s">
        <v>831</v>
      </c>
      <c r="C58" s="3238"/>
      <c r="D58" s="3061">
        <f ca="1">IF(H58="转让取得",C81,C97)</f>
        <v>0</v>
      </c>
      <c r="E58" s="3055" t="s">
        <v>826</v>
      </c>
      <c r="F58" s="1638" t="s">
        <v>124</v>
      </c>
      <c r="G58" s="2244"/>
      <c r="H58" s="2247" t="s">
        <v>832</v>
      </c>
      <c r="I58" s="2256"/>
      <c r="J58" s="3240"/>
      <c r="K58" s="3240"/>
      <c r="L58" s="2282" t="s">
        <v>833</v>
      </c>
      <c r="M58" s="2287"/>
      <c r="N58" s="2288" t="str">
        <f ca="1">NUMBERSTRING(INT(N57*10000),2)&amp;"元整"</f>
        <v>贰佰伍拾肆万元整</v>
      </c>
      <c r="O58" s="2289"/>
    </row>
    <row r="59" spans="1:35" ht="24.75" thickBot="1">
      <c r="A59" s="3250" t="s">
        <v>834</v>
      </c>
      <c r="B59" s="3251"/>
      <c r="C59" s="3251"/>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5">
        <f>J57+1</f>
        <v>5</v>
      </c>
      <c r="K59" s="3240" t="s">
        <v>837</v>
      </c>
      <c r="L59" s="3058" t="s">
        <v>830</v>
      </c>
      <c r="M59" s="2291"/>
      <c r="N59" s="2292">
        <f ca="1">M49-N57</f>
        <v>8328</v>
      </c>
      <c r="O59" s="2293"/>
    </row>
    <row r="60" spans="1:35" ht="12" customHeight="1">
      <c r="A60" s="2254"/>
      <c r="B60" s="1780"/>
      <c r="C60" s="1780"/>
      <c r="D60" s="1780"/>
      <c r="E60" s="2255"/>
      <c r="F60" s="2256"/>
      <c r="G60" s="2256"/>
      <c r="H60" s="275"/>
      <c r="I60" s="274"/>
      <c r="J60" s="3256"/>
      <c r="K60" s="3240"/>
      <c r="L60" s="2282" t="s">
        <v>833</v>
      </c>
      <c r="M60" s="2287"/>
      <c r="N60" s="2288" t="str">
        <f ca="1">NUMBERSTRING(INT(N59*10000),2)&amp;"元整"</f>
        <v>捌仟叁佰贰拾捌万元整</v>
      </c>
      <c r="O60" s="2289"/>
    </row>
    <row r="61" spans="1:35" ht="13.5" thickBot="1">
      <c r="A61" s="3252" t="s">
        <v>838</v>
      </c>
      <c r="B61" s="3252"/>
      <c r="C61" s="3252"/>
      <c r="D61" s="3252"/>
      <c r="E61" s="3252"/>
      <c r="F61" s="2256"/>
      <c r="G61" s="2256"/>
      <c r="H61" s="275"/>
      <c r="I61" s="274"/>
      <c r="J61" s="3058">
        <f>J59+1</f>
        <v>6</v>
      </c>
      <c r="K61" s="3240" t="s">
        <v>839</v>
      </c>
      <c r="L61" s="3240"/>
      <c r="M61" s="2294"/>
      <c r="N61" s="2295">
        <f ca="1">ROUND(N59*10000/'数据-汇总表'!E3,0)</f>
        <v>1686</v>
      </c>
      <c r="O61" s="2296"/>
    </row>
    <row r="62" spans="1:35" ht="12.75">
      <c r="A62" s="3253" t="s">
        <v>840</v>
      </c>
      <c r="B62" s="3254"/>
      <c r="C62" s="3063"/>
      <c r="D62" s="3063" t="s">
        <v>841</v>
      </c>
      <c r="E62" s="2257" t="s">
        <v>791</v>
      </c>
      <c r="F62" s="2256"/>
      <c r="G62" s="2256"/>
      <c r="H62" s="275"/>
      <c r="I62" s="274"/>
    </row>
    <row r="63" spans="1:35" ht="12.75">
      <c r="A63" s="2258" t="s">
        <v>842</v>
      </c>
      <c r="B63" s="2259" t="s">
        <v>843</v>
      </c>
      <c r="C63" s="2260">
        <f ca="1">ROUND((C64+C65)/(1+'数据-取费表'!C42),0)</f>
        <v>4577</v>
      </c>
      <c r="D63" s="2259"/>
      <c r="E63" s="2261"/>
      <c r="F63" s="2256"/>
      <c r="G63" s="2256"/>
      <c r="H63" s="275"/>
      <c r="I63" s="274"/>
      <c r="J63" s="3239" t="s">
        <v>844</v>
      </c>
      <c r="K63" s="3057" t="s">
        <v>845</v>
      </c>
      <c r="L63" s="3057">
        <f ca="1">IF(M49&gt;10000,M49*0.5%,IF(AND(M49&gt;1000,M49&lt;=10000),M49*1%,IF(AND(M49&gt;100,M49&lt;=1000),M49*3%,IF(AND(M49&gt;10,M49&lt;=100),M49*5%,M49*8%))))</f>
        <v>85.820000000000007</v>
      </c>
      <c r="M63" s="1638">
        <f ca="1">ROUND(L63,1)</f>
        <v>85.8</v>
      </c>
      <c r="N63" s="2298"/>
      <c r="Z63" s="2131"/>
      <c r="AI63" s="2132"/>
    </row>
    <row r="64" spans="1:35" ht="14.25" customHeight="1">
      <c r="A64" s="2262" t="s">
        <v>846</v>
      </c>
      <c r="B64" s="561" t="s">
        <v>847</v>
      </c>
      <c r="C64" s="2263">
        <f ca="1">D45</f>
        <v>4806</v>
      </c>
      <c r="D64" s="561" t="s">
        <v>124</v>
      </c>
      <c r="E64" s="2264"/>
      <c r="F64" s="2256"/>
      <c r="G64" s="2256"/>
      <c r="H64" s="275"/>
      <c r="I64" s="274"/>
      <c r="J64" s="3239"/>
      <c r="K64" s="3057" t="s">
        <v>848</v>
      </c>
      <c r="L64" s="3057">
        <f ca="1">IF(M49&gt;2000,M49*0.5%,IF(AND(M49&gt;1000,M49&lt;=2000),M49*0.6%,IF(AND(M49&gt;500,M49&lt;=1000),M49*0.7%,IF(AND(M49&gt;200,M49&lt;=500),M49*0.8%,IF(AND(M49&gt;100,M49&lt;=200),M49*0.9%,IF(AND(M49&gt;50,M49&lt;=100),M49*1%,IF(AND(M49&gt;20,M49&lt;=50),M49*1.5%,IF(AND(M49&gt;10,M49&lt;=20),M49*2%,IF(AND(M49&gt;1,M49&lt;=10),M49*2.5%)))))))))</f>
        <v>42.910000000000004</v>
      </c>
      <c r="M64" s="1638">
        <f t="shared" ref="M64:M65" ca="1" si="1">ROUND(L64,1)</f>
        <v>42.9</v>
      </c>
      <c r="N64" s="1801" t="s">
        <v>849</v>
      </c>
      <c r="Z64" s="2131"/>
      <c r="AI64" s="2132"/>
    </row>
    <row r="65" spans="1:35" ht="14.25" customHeight="1">
      <c r="A65" s="2262" t="s">
        <v>850</v>
      </c>
      <c r="B65" s="561" t="s">
        <v>851</v>
      </c>
      <c r="C65" s="2300"/>
      <c r="D65" s="561"/>
      <c r="E65" s="2264"/>
      <c r="F65" s="2256"/>
      <c r="G65" s="2256"/>
      <c r="H65" s="275"/>
      <c r="I65" s="274"/>
      <c r="J65" s="3239"/>
      <c r="K65" s="3057" t="s">
        <v>852</v>
      </c>
      <c r="L65" s="3057">
        <f ca="1">IF(M49&gt;1000,M49*0.1%,IF(AND(M49&gt;500,M49&lt;=1000),M49*0.5%,IF(AND(M49&gt;50,M49&lt;=500),M49*1%,IF(AND(M49&gt;1,M49&lt;=50),M49*1.5%))))</f>
        <v>8.5820000000000007</v>
      </c>
      <c r="M65" s="1638">
        <f t="shared" ca="1" si="1"/>
        <v>8.6</v>
      </c>
      <c r="N65" s="1801" t="s">
        <v>849</v>
      </c>
      <c r="Z65" s="2131"/>
      <c r="AI65" s="2132"/>
    </row>
    <row r="66" spans="1:35" ht="14.25" customHeight="1">
      <c r="A66" s="2258" t="s">
        <v>853</v>
      </c>
      <c r="B66" s="2301" t="s">
        <v>854</v>
      </c>
      <c r="C66" s="2302"/>
      <c r="D66" s="2301" t="s">
        <v>124</v>
      </c>
      <c r="E66" s="2303" t="s">
        <v>855</v>
      </c>
      <c r="F66" s="2256"/>
      <c r="G66" s="2256"/>
      <c r="H66" s="275"/>
      <c r="I66" s="274"/>
      <c r="J66" s="3239"/>
      <c r="K66" s="3057" t="s">
        <v>856</v>
      </c>
      <c r="L66" s="3057">
        <f ca="1">M49*0.5%</f>
        <v>42.910000000000004</v>
      </c>
      <c r="M66" s="1638">
        <f ca="1">IF(L66&gt;0.5,0.5,ROUND(L66,0))</f>
        <v>0.5</v>
      </c>
      <c r="N66" s="1801" t="s">
        <v>857</v>
      </c>
      <c r="Z66" s="2131"/>
      <c r="AI66" s="2132"/>
    </row>
    <row r="67" spans="1:35" ht="14.25" customHeight="1">
      <c r="A67" s="2258" t="s">
        <v>858</v>
      </c>
      <c r="B67" s="2301" t="s">
        <v>859</v>
      </c>
      <c r="C67" s="2304">
        <f ca="1">C63-C66</f>
        <v>4577</v>
      </c>
      <c r="D67" s="561" t="s">
        <v>124</v>
      </c>
      <c r="E67" s="2264"/>
      <c r="F67" s="2256"/>
      <c r="G67" s="2256"/>
      <c r="H67" s="275"/>
      <c r="I67" s="274"/>
      <c r="J67" s="3239"/>
      <c r="K67" s="3057" t="s">
        <v>860</v>
      </c>
      <c r="L67" s="3057">
        <f ca="1">IF(M49&gt;=10000,(8.25+(M49-10000)*0.01%),IF(AND(M49&gt;=8000,M49&lt;10000),(7.85+(M49-8000)*0.02%),IF(AND(M49&gt;=5000,M49&lt;8000),(6.65+(M49-5000)*0.04%),IF(AND(M49&gt;=2000,M49&lt;5000),(4.25+(PM49-2000)*0.08%),IF(AND(M49&gt;=1000,M49&lt;2000),(2.75+(M49-1000)*0.15%),IF(AND(M49&gt;=100,M49&lt;1000),(0.5+(M49-100)*0.25%),IF(AND(M49&gt;0,M49&lt;100),M49*0.5%)))))))</f>
        <v>7.9663999999999993</v>
      </c>
      <c r="M67" s="1638">
        <f ca="1">ROUND(L67*0.9,1)</f>
        <v>7.2</v>
      </c>
      <c r="N67" s="2298"/>
      <c r="Z67" s="2131"/>
      <c r="AI67" s="2132"/>
    </row>
    <row r="68" spans="1:35" ht="14.25" customHeight="1" thickBot="1">
      <c r="A68" s="2305" t="s">
        <v>861</v>
      </c>
      <c r="B68" s="2306" t="s">
        <v>862</v>
      </c>
      <c r="C68" s="2307">
        <f ca="1">IF(C67&lt;=0,0,ROUND(C67*D68,0))</f>
        <v>252</v>
      </c>
      <c r="D68" s="2308">
        <f>'数据-取费表'!B41</f>
        <v>5.5E-2</v>
      </c>
      <c r="E68" s="2309"/>
      <c r="F68" s="2256"/>
      <c r="G68" s="2256"/>
      <c r="H68" s="275"/>
      <c r="I68" s="274"/>
      <c r="J68" s="3239"/>
      <c r="K68" s="3057" t="s">
        <v>863</v>
      </c>
      <c r="L68" s="3057">
        <f ca="1">IF(M49&gt;10000,M49*0.5%,IF(AND(M49&gt;5000,M49&lt;=10000),M49*1%,IF(AND(M49&gt;1000,M49&lt;=5000),M49*2%,IF(AND(M49&gt;200,M49&lt;=1000),M49*3%,M49*5%))))</f>
        <v>85.820000000000007</v>
      </c>
      <c r="M68" s="1638">
        <f ca="1">ROUND(L68,1)</f>
        <v>85.8</v>
      </c>
      <c r="N68" s="2298"/>
      <c r="Z68" s="2131"/>
      <c r="AI68" s="2132"/>
    </row>
    <row r="69" spans="1:35" ht="16.5" customHeight="1">
      <c r="A69" s="2310"/>
      <c r="B69" s="2311"/>
      <c r="C69" s="2312"/>
      <c r="D69" s="712"/>
      <c r="E69" s="2313"/>
      <c r="F69" s="2255"/>
      <c r="G69" s="2255"/>
      <c r="H69" s="2216"/>
      <c r="I69" s="1780"/>
      <c r="J69" s="3239"/>
      <c r="K69" s="3057" t="s">
        <v>864</v>
      </c>
      <c r="L69" s="3057"/>
      <c r="M69" s="1638">
        <f ca="1">ROUND(SUM(M63:M68),0)</f>
        <v>231</v>
      </c>
      <c r="N69" s="2375">
        <f ca="1">M69/M49</f>
        <v>2.6916802610114192E-2</v>
      </c>
      <c r="Z69" s="2131"/>
      <c r="AI69" s="2132"/>
    </row>
    <row r="70" spans="1:35" s="464" customFormat="1" ht="15" thickBot="1">
      <c r="A70" s="3280" t="s">
        <v>865</v>
      </c>
      <c r="B70" s="3281"/>
      <c r="C70" s="3281"/>
      <c r="D70" s="3281"/>
      <c r="E70" s="3281"/>
      <c r="F70" s="3281"/>
      <c r="G70" s="3281"/>
      <c r="H70" s="3281"/>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3" t="s">
        <v>840</v>
      </c>
      <c r="B71" s="3254"/>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4577</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23</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41" t="s">
        <v>875</v>
      </c>
      <c r="F76" s="3238"/>
      <c r="G76" s="3238"/>
      <c r="H76" s="3282"/>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23</v>
      </c>
      <c r="D78" s="2329">
        <f>'数据-取费表'!B43</f>
        <v>5.0000000000000001E-3</v>
      </c>
      <c r="E78" s="3283" t="s">
        <v>882</v>
      </c>
      <c r="F78" s="3284"/>
      <c r="G78" s="3284"/>
      <c r="H78" s="3285"/>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4554</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2724</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80" t="s">
        <v>887</v>
      </c>
      <c r="B83" s="3281"/>
      <c r="C83" s="3281"/>
      <c r="D83" s="3281"/>
      <c r="E83" s="3281"/>
      <c r="F83" s="3281"/>
      <c r="G83" s="3281"/>
      <c r="H83" s="3281"/>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3" t="s">
        <v>840</v>
      </c>
      <c r="B84" s="3254"/>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4577</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57384</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92" t="s">
        <v>896</v>
      </c>
      <c r="H90" s="3293"/>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3" t="s">
        <v>900</v>
      </c>
      <c r="F91" s="3284"/>
      <c r="G91" s="3284"/>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3" t="s">
        <v>903</v>
      </c>
      <c r="F92" s="3284"/>
      <c r="G92" s="3284"/>
      <c r="H92" s="3285"/>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23</v>
      </c>
      <c r="D93" s="2329">
        <f>'数据-取费表'!B43</f>
        <v>5.0000000000000001E-3</v>
      </c>
      <c r="E93" s="3283" t="s">
        <v>882</v>
      </c>
      <c r="F93" s="3284"/>
      <c r="G93" s="3284"/>
      <c r="H93" s="3285"/>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5" t="s">
        <v>908</v>
      </c>
      <c r="F94" s="3306"/>
      <c r="G94" s="3306"/>
      <c r="H94" s="3307"/>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-52807</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9" t="s">
        <v>910</v>
      </c>
      <c r="B100" s="3200"/>
      <c r="C100" s="3200"/>
      <c r="D100" s="3268"/>
      <c r="E100" s="3200" t="s">
        <v>911</v>
      </c>
      <c r="F100" s="3200"/>
      <c r="G100" s="3200"/>
      <c r="H100" s="3268"/>
      <c r="I100" s="274"/>
    </row>
    <row r="101" spans="1:35" ht="18.75" customHeight="1">
      <c r="A101" s="3269" t="s">
        <v>912</v>
      </c>
      <c r="B101" s="3270"/>
      <c r="C101" s="2352" t="str">
        <f>C4</f>
        <v>比较法-车位</v>
      </c>
      <c r="D101" s="2353" t="str">
        <f>D4</f>
        <v>收益法车</v>
      </c>
      <c r="E101" s="3291" t="s">
        <v>913</v>
      </c>
      <c r="F101" s="3287"/>
      <c r="G101" s="2355" t="s">
        <v>914</v>
      </c>
      <c r="H101" s="2356">
        <f ca="1">H118</f>
        <v>8582</v>
      </c>
      <c r="I101" s="274"/>
    </row>
    <row r="102" spans="1:35" ht="18.75" customHeight="1">
      <c r="A102" s="3300" t="s">
        <v>915</v>
      </c>
      <c r="B102" s="2357" t="s">
        <v>914</v>
      </c>
      <c r="C102" s="2352">
        <f ca="1">C19</f>
        <v>9574</v>
      </c>
      <c r="D102" s="2353">
        <f ca="1">D19</f>
        <v>7590</v>
      </c>
      <c r="E102" s="3291"/>
      <c r="F102" s="3287"/>
      <c r="G102" s="2355" t="s">
        <v>99</v>
      </c>
      <c r="H102" s="2244">
        <f ca="1">I118</f>
        <v>2618</v>
      </c>
      <c r="I102" s="274"/>
    </row>
    <row r="103" spans="1:35" ht="42.75" customHeight="1">
      <c r="A103" s="3300"/>
      <c r="B103" s="2357" t="s">
        <v>99</v>
      </c>
      <c r="C103" s="2358">
        <f ca="1">C20</f>
        <v>2921</v>
      </c>
      <c r="D103" s="2359">
        <f ca="1">D20</f>
        <v>2316</v>
      </c>
      <c r="E103" s="3271" t="s">
        <v>916</v>
      </c>
      <c r="F103" s="3272"/>
      <c r="G103" s="2360" t="s">
        <v>102</v>
      </c>
      <c r="H103" s="2356">
        <f>IF(D36="正常操作",H104+H105+H106,H105+H106)</f>
        <v>0</v>
      </c>
      <c r="I103" s="274"/>
    </row>
    <row r="104" spans="1:35" ht="18.75" customHeight="1">
      <c r="A104" s="3300" t="s">
        <v>917</v>
      </c>
      <c r="B104" s="2361" t="s">
        <v>914</v>
      </c>
      <c r="C104" s="2362">
        <f ca="1">H118</f>
        <v>8582</v>
      </c>
      <c r="D104" s="2363"/>
      <c r="E104" s="2201" t="s">
        <v>918</v>
      </c>
      <c r="F104" s="2364"/>
      <c r="G104" s="2360" t="s">
        <v>102</v>
      </c>
      <c r="H104" s="2365">
        <f>IF(D36="同一抵押权人同一抵押物续贷",C36&amp;"（续贷，未扣减，详见特别提示）",C36)</f>
        <v>0</v>
      </c>
      <c r="I104" s="274"/>
    </row>
    <row r="105" spans="1:35" ht="18.75" customHeight="1" thickBot="1">
      <c r="A105" s="3301"/>
      <c r="B105" s="2366" t="s">
        <v>99</v>
      </c>
      <c r="C105" s="2367">
        <f ca="1">I118</f>
        <v>2618</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6" t="str">
        <f>IF(项目基本情况!E8="已注销","——","3.房地产抵押价值")</f>
        <v>3.房地产抵押价值</v>
      </c>
      <c r="F107" s="3287"/>
      <c r="G107" s="2355" t="s">
        <v>914</v>
      </c>
      <c r="H107" s="2356">
        <f ca="1">IF(E107="——","——",H101-H103)</f>
        <v>8582</v>
      </c>
      <c r="I107" s="274"/>
    </row>
    <row r="108" spans="1:35" ht="18.75" customHeight="1">
      <c r="A108" s="274"/>
      <c r="B108" s="274"/>
      <c r="C108" s="274"/>
      <c r="D108" s="274"/>
      <c r="E108" s="3286"/>
      <c r="F108" s="3287"/>
      <c r="G108" s="2355" t="s">
        <v>99</v>
      </c>
      <c r="H108" s="2244">
        <f ca="1">ROUND(H107*10000/'数据-汇总表'!E3,0)</f>
        <v>1737</v>
      </c>
      <c r="I108" s="274"/>
    </row>
    <row r="109" spans="1:35" ht="18.75" customHeight="1">
      <c r="A109" s="274"/>
      <c r="B109" s="274"/>
      <c r="C109" s="274"/>
      <c r="D109" s="274"/>
      <c r="E109" s="3286" t="str">
        <f>IF(项目基本情况!E8="已注销及未注销","4.抵押担保权已注销时的房地产抵押价值",IF(项目基本情况!E8="已注销","3.抵押担保权已注销时的房地产抵押价值","——"))</f>
        <v>——</v>
      </c>
      <c r="F109" s="3287"/>
      <c r="G109" s="2355" t="s">
        <v>914</v>
      </c>
      <c r="H109" s="2371" t="str">
        <f>IF(E109="——","——",H101-H105-H106)</f>
        <v>——</v>
      </c>
      <c r="I109" s="274"/>
    </row>
    <row r="110" spans="1:35" ht="18.75" customHeight="1">
      <c r="A110" s="274"/>
      <c r="B110" s="274"/>
      <c r="C110" s="274"/>
      <c r="D110" s="274"/>
      <c r="E110" s="3286"/>
      <c r="F110" s="3287"/>
      <c r="G110" s="2355" t="s">
        <v>99</v>
      </c>
      <c r="H110" s="2244" t="str">
        <f>IF(H109="——","——",ROUND(H109*10000/'数据-汇总表'!E3,0))</f>
        <v>——</v>
      </c>
      <c r="I110" s="274"/>
    </row>
    <row r="111" spans="1:35" ht="18.75" customHeight="1">
      <c r="A111" s="274"/>
      <c r="B111" s="274"/>
      <c r="C111" s="274"/>
      <c r="D111" s="274"/>
      <c r="E111" s="3288" t="str">
        <f>IF(项目基本情况!E9="抵押净值",IF(OR(项目基本情况!E8="已注销",项目基本情况!E8="房地产抵押价值"),"4.抵押净值","5.抵押净值"),"——")</f>
        <v>4.抵押净值</v>
      </c>
      <c r="F111" s="3257"/>
      <c r="G111" s="2355" t="s">
        <v>914</v>
      </c>
      <c r="H111" s="2356">
        <f ca="1">IF(E111="——","——",N59)</f>
        <v>8328</v>
      </c>
      <c r="I111" s="274"/>
    </row>
    <row r="112" spans="1:35" ht="18.75" customHeight="1" thickBot="1">
      <c r="A112" s="274"/>
      <c r="B112" s="274"/>
      <c r="C112" s="274"/>
      <c r="D112" s="274"/>
      <c r="E112" s="3289"/>
      <c r="F112" s="3290"/>
      <c r="G112" s="2372" t="s">
        <v>99</v>
      </c>
      <c r="H112" s="2373">
        <f ca="1">IF(E111="——","——",N61)</f>
        <v>1686</v>
      </c>
      <c r="I112" s="274"/>
    </row>
    <row r="113" spans="1:27" ht="18.75" customHeight="1">
      <c r="A113" s="274"/>
      <c r="B113" s="274"/>
      <c r="C113" s="274"/>
      <c r="D113" s="274"/>
      <c r="E113" s="3273" t="s">
        <v>920</v>
      </c>
      <c r="F113" s="3273"/>
      <c r="G113" s="3273"/>
      <c r="H113" s="3273"/>
      <c r="I113" s="274"/>
    </row>
    <row r="114" spans="1:27" ht="3.75" customHeight="1">
      <c r="A114" s="1780"/>
      <c r="B114" s="1780"/>
      <c r="C114" s="1780"/>
      <c r="D114" s="1780"/>
      <c r="E114" s="2254"/>
      <c r="F114" s="2254"/>
      <c r="G114" s="2254"/>
      <c r="H114" s="2254"/>
      <c r="I114" s="1780"/>
    </row>
    <row r="115" spans="1:27" ht="18.75" customHeight="1">
      <c r="A115" s="3274" t="s">
        <v>922</v>
      </c>
      <c r="B115" s="3275"/>
      <c r="C115" s="3275"/>
      <c r="D115" s="3275"/>
      <c r="E115" s="3275"/>
      <c r="F115" s="3275"/>
      <c r="G115" s="3275"/>
      <c r="H115" s="3275"/>
      <c r="I115" s="3276"/>
    </row>
    <row r="116" spans="1:27" ht="27" customHeight="1">
      <c r="A116" s="3261" t="s">
        <v>923</v>
      </c>
      <c r="B116" s="3303" t="s">
        <v>924</v>
      </c>
      <c r="C116" s="3303" t="s">
        <v>925</v>
      </c>
      <c r="D116" s="3277" t="s">
        <v>926</v>
      </c>
      <c r="E116" s="3278"/>
      <c r="F116" s="3279" t="s">
        <v>927</v>
      </c>
      <c r="G116" s="3279"/>
      <c r="H116" s="3261" t="s">
        <v>928</v>
      </c>
      <c r="I116" s="3261"/>
    </row>
    <row r="117" spans="1:27" ht="18.75" customHeight="1">
      <c r="A117" s="3261"/>
      <c r="B117" s="3304"/>
      <c r="C117" s="3304"/>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32774.76</v>
      </c>
      <c r="C118" s="3065">
        <f>M19</f>
        <v>0</v>
      </c>
      <c r="D118" s="3065">
        <f ca="1">ROUND(IF(D32="总价",C34,E118*B118/10000),0)</f>
        <v>4583</v>
      </c>
      <c r="E118" s="3065">
        <f ca="1">ROUND(IF(C33="自定义",IF(D32="楼面单价",C34,D118*10000/B118),I118-G118),0)</f>
        <v>1398</v>
      </c>
      <c r="F118" s="3065">
        <f ca="1">ROUND(IF(D32="总价",C35,G118*B118/10000),0)</f>
        <v>3999</v>
      </c>
      <c r="G118" s="3065">
        <f ca="1">ROUND(IF(D32="楼面单价",C35,F118*10000/B118),0)</f>
        <v>1220</v>
      </c>
      <c r="H118" s="3065">
        <f ca="1">ROUND(IF(D32="总价",C32,I118*B118/10000),0)</f>
        <v>8582</v>
      </c>
      <c r="I118" s="3065">
        <f ca="1">ROUND(IF(D32="楼面单价",C32,H118*10000/B118),0)</f>
        <v>2618</v>
      </c>
    </row>
    <row r="119" spans="1:27" ht="18.75" customHeight="1">
      <c r="A119" s="3261" t="s">
        <v>930</v>
      </c>
      <c r="B119" s="3261"/>
      <c r="C119" s="3261"/>
      <c r="D119" s="3262" t="str">
        <f ca="1">NUMBERSTRING(INT(D118*10000),2)&amp;"元整"</f>
        <v>肆仟伍佰捌拾叁万元整</v>
      </c>
      <c r="E119" s="3264"/>
      <c r="F119" s="3262" t="str">
        <f ca="1">NUMBERSTRING(INT(F118*10000),2)&amp;"元整"</f>
        <v>叁仟玖佰玖拾玖万元整</v>
      </c>
      <c r="G119" s="3264"/>
      <c r="H119" s="3262" t="str">
        <f ca="1">NUMBERSTRING(INT(H118*10000),2)&amp;"元整"</f>
        <v>捌仟伍佰捌拾贰万元整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5" t="s">
        <v>930</v>
      </c>
      <c r="B121" s="3266"/>
      <c r="C121" s="3267"/>
      <c r="D121" s="3262" t="str">
        <f>IF(D120=0,"零元整",NUMBERSTRING(INT(D120*10000),2)&amp;"元整")</f>
        <v>零元整</v>
      </c>
      <c r="E121" s="3263"/>
      <c r="F121" s="3263"/>
      <c r="G121" s="3263"/>
      <c r="H121" s="3263"/>
      <c r="I121" s="3264"/>
      <c r="AA121" s="232"/>
    </row>
    <row r="122" spans="1:27" ht="18.75" customHeight="1">
      <c r="A122" s="3257" t="str">
        <f>IF(项目基本情况!B9="房地产市场价值","",MID(E107,3,LEN(E107)-2))</f>
        <v>房地产抵押价值</v>
      </c>
      <c r="B122" s="3257"/>
      <c r="C122" s="3257"/>
      <c r="D122" s="3258">
        <f ca="1">H107</f>
        <v>8582</v>
      </c>
      <c r="E122" s="3259"/>
      <c r="F122" s="3259"/>
      <c r="G122" s="3259"/>
      <c r="H122" s="3259"/>
      <c r="I122" s="3260"/>
      <c r="AA122" s="232"/>
    </row>
    <row r="123" spans="1:27" ht="18.75" customHeight="1">
      <c r="A123" s="3261" t="s">
        <v>930</v>
      </c>
      <c r="B123" s="3261"/>
      <c r="C123" s="3261"/>
      <c r="D123" s="3262" t="str">
        <f ca="1">NUMBERSTRING(INT(D122*10000),2)&amp;"元整"</f>
        <v>捌仟伍佰捌拾贰万元整</v>
      </c>
      <c r="E123" s="3263"/>
      <c r="F123" s="3263"/>
      <c r="G123" s="3263"/>
      <c r="H123" s="3263"/>
      <c r="I123" s="3264"/>
      <c r="AA123" s="232"/>
    </row>
    <row r="124" spans="1:27" ht="18.75" customHeight="1">
      <c r="A124" s="3257" t="str">
        <f>IF(项目基本情况!B9="房地产市场价值","",MID(E109,3,LEN(E109)-2))</f>
        <v/>
      </c>
      <c r="B124" s="3257"/>
      <c r="C124" s="3257"/>
      <c r="D124" s="3258" t="str">
        <f>H109</f>
        <v>——</v>
      </c>
      <c r="E124" s="3259"/>
      <c r="F124" s="3259"/>
      <c r="G124" s="3259"/>
      <c r="H124" s="3259"/>
      <c r="I124" s="3260"/>
      <c r="AA124" s="232"/>
    </row>
    <row r="125" spans="1:27" ht="18.75" customHeight="1">
      <c r="A125" s="3261" t="s">
        <v>930</v>
      </c>
      <c r="B125" s="3261"/>
      <c r="C125" s="3261"/>
      <c r="D125" s="3262" t="e">
        <f>NUMBERSTRING(INT(D124*10000),2)&amp;"元整"</f>
        <v>#VALUE!</v>
      </c>
      <c r="E125" s="3263"/>
      <c r="F125" s="3263"/>
      <c r="G125" s="3263"/>
      <c r="H125" s="3263"/>
      <c r="I125" s="3264"/>
      <c r="AA125" s="232"/>
    </row>
    <row r="126" spans="1:27" ht="18.75" customHeight="1">
      <c r="A126" s="3257" t="str">
        <f>IF(项目基本情况!B9="房地产市场价值","",MID(E111,3,LEN(E111)-2))</f>
        <v>抵押净值</v>
      </c>
      <c r="B126" s="3257"/>
      <c r="C126" s="3257"/>
      <c r="D126" s="3258">
        <f ca="1">H111</f>
        <v>8328</v>
      </c>
      <c r="E126" s="3259"/>
      <c r="F126" s="3259"/>
      <c r="G126" s="3259"/>
      <c r="H126" s="3259"/>
      <c r="I126" s="3260"/>
      <c r="AA126" s="232"/>
    </row>
    <row r="127" spans="1:27" ht="18.75" customHeight="1">
      <c r="A127" s="3261" t="s">
        <v>930</v>
      </c>
      <c r="B127" s="3261"/>
      <c r="C127" s="3261"/>
      <c r="D127" s="3262" t="str">
        <f ca="1">NUMBERSTRING(INT(D126*10000),2)&amp;"元整"</f>
        <v>捌仟叁佰贰拾捌万元整</v>
      </c>
      <c r="E127" s="3263"/>
      <c r="F127" s="3263"/>
      <c r="G127" s="3263"/>
      <c r="H127" s="3263"/>
      <c r="I127" s="3264"/>
      <c r="AA127" s="232"/>
    </row>
    <row r="128" spans="1:27" ht="21.75" customHeight="1">
      <c r="A128" s="3294" t="s">
        <v>113</v>
      </c>
      <c r="B128" s="3294"/>
      <c r="C128" s="3294"/>
      <c r="D128" s="3294"/>
      <c r="E128" s="3294"/>
      <c r="F128" s="3294"/>
      <c r="G128" s="3294"/>
      <c r="H128" s="3294"/>
      <c r="I128" s="3294"/>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8">
      <c r="A3" s="3123" t="str">
        <f>IF(项目基本情况!B9="房地产市场价值","估价结果一览表（市场价值不需“结果表-1”）","估价结果一览表")</f>
        <v>估价结果一览表</v>
      </c>
      <c r="B3" s="3123"/>
      <c r="C3" s="3123"/>
      <c r="D3" s="3123"/>
      <c r="E3" s="3123"/>
    </row>
    <row r="4" spans="1:5" ht="18.75">
      <c r="A4" s="3000"/>
      <c r="B4" s="3124" t="s">
        <v>95</v>
      </c>
      <c r="C4" s="3124"/>
      <c r="D4" s="3124"/>
      <c r="E4" s="3000"/>
    </row>
    <row r="5" spans="1:5" ht="15.75">
      <c r="B5" s="3116" t="s">
        <v>96</v>
      </c>
      <c r="C5" s="3001" t="s">
        <v>97</v>
      </c>
      <c r="D5" s="3002">
        <f ca="1">结果表!H101</f>
        <v>251</v>
      </c>
    </row>
    <row r="6" spans="1:5" ht="15.75">
      <c r="B6" s="3116"/>
      <c r="C6" s="3001" t="s">
        <v>98</v>
      </c>
      <c r="D6" s="3002" t="str">
        <f ca="1">NUMBERSTRING(INT(D5*10000),2)&amp;"元整"</f>
        <v>贰佰伍拾壹万元整</v>
      </c>
    </row>
    <row r="7" spans="1:5" ht="15.75">
      <c r="B7" s="3117"/>
      <c r="C7" s="3003" t="s">
        <v>99</v>
      </c>
      <c r="D7" s="3004" t="e">
        <f ca="1">结果表!H102</f>
        <v>#DIV/0!</v>
      </c>
    </row>
    <row r="8" spans="1:5" ht="15.75">
      <c r="B8" s="3118" t="str">
        <f>结果表!E103</f>
        <v>2.估价师知悉的法定优先受偿款</v>
      </c>
      <c r="C8" s="3005" t="s">
        <v>100</v>
      </c>
      <c r="D8" s="3004">
        <f>结果表!H103</f>
        <v>0</v>
      </c>
    </row>
    <row r="9" spans="1:5" ht="15.75">
      <c r="B9" s="3120"/>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5" t="str">
        <f>结果表!E107</f>
        <v>3.房地产抵押价值</v>
      </c>
      <c r="C13" s="3009" t="s">
        <v>97</v>
      </c>
      <c r="D13" s="3010">
        <f ca="1">结果表!H107</f>
        <v>251</v>
      </c>
    </row>
    <row r="14" spans="1:5" ht="15.75">
      <c r="B14" s="3116"/>
      <c r="C14" s="3001" t="s">
        <v>98</v>
      </c>
      <c r="D14" s="3002" t="str">
        <f ca="1">NUMBERSTRING(INT(D13*10000),2)&amp;"元整"</f>
        <v>贰佰伍拾壹万元整</v>
      </c>
    </row>
    <row r="15" spans="1:5" ht="15">
      <c r="B15" s="3117"/>
      <c r="C15" s="3003" t="s">
        <v>99</v>
      </c>
      <c r="D15" s="3011">
        <f ca="1">结果表!H108</f>
        <v>51</v>
      </c>
    </row>
    <row r="16" spans="1:5" ht="15">
      <c r="B16" s="3118" t="str">
        <f>结果表!E109</f>
        <v>——</v>
      </c>
      <c r="C16" s="3009" t="s">
        <v>97</v>
      </c>
      <c r="D16" s="3012" t="str">
        <f>结果表!H109</f>
        <v>——</v>
      </c>
    </row>
    <row r="17" spans="1:5" ht="15.75">
      <c r="B17" s="3119"/>
      <c r="C17" s="3001" t="s">
        <v>98</v>
      </c>
      <c r="D17" s="3002" t="e">
        <f>NUMBERSTRING(INT(D16*10000),2)&amp;"元整"</f>
        <v>#VALUE!</v>
      </c>
    </row>
    <row r="18" spans="1:5" ht="15">
      <c r="B18" s="3120"/>
      <c r="C18" s="3003" t="s">
        <v>99</v>
      </c>
      <c r="D18" s="3011" t="str">
        <f>结果表!H110</f>
        <v>——</v>
      </c>
    </row>
    <row r="19" spans="1:5" ht="15.75">
      <c r="B19" s="3115" t="str">
        <f>结果表!E111</f>
        <v>4.抵押净值</v>
      </c>
      <c r="C19" s="3009" t="s">
        <v>97</v>
      </c>
      <c r="D19" s="3004">
        <f ca="1">结果表!H111</f>
        <v>4277</v>
      </c>
    </row>
    <row r="20" spans="1:5" ht="15.75">
      <c r="B20" s="3116"/>
      <c r="C20" s="3001" t="s">
        <v>98</v>
      </c>
      <c r="D20" s="3002" t="str">
        <f ca="1">NUMBERSTRING(INT(D19*10000),2)&amp;"元整"</f>
        <v>肆仟贰佰柒拾柒万元整</v>
      </c>
    </row>
    <row r="21" spans="1:5" ht="15">
      <c r="B21" s="3121"/>
      <c r="C21" s="3013" t="s">
        <v>99</v>
      </c>
      <c r="D21" s="3014">
        <f ca="1">结果表!H112</f>
        <v>866</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491</v>
      </c>
      <c r="C1" s="146"/>
      <c r="D1" s="146"/>
      <c r="E1" s="146"/>
      <c r="F1" s="146"/>
      <c r="G1" s="2093">
        <f>MATCH(B1,'数据-取费表'!A6:A16,0)+5</f>
        <v>9</v>
      </c>
    </row>
    <row r="2" spans="1:9" s="136" customFormat="1" ht="18" customHeight="1">
      <c r="A2" s="148" t="s">
        <v>941</v>
      </c>
      <c r="B2" s="149">
        <f ca="1">IF(D2="——",C52,C52-E2)</f>
        <v>17029</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5196</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1314</v>
      </c>
      <c r="D5" s="158" t="s">
        <v>1402</v>
      </c>
      <c r="E5" s="159" t="s">
        <v>1403</v>
      </c>
      <c r="F5" s="159" t="s">
        <v>841</v>
      </c>
      <c r="G5" s="160"/>
    </row>
    <row r="6" spans="1:9" s="138" customFormat="1" ht="13.5" customHeight="1">
      <c r="A6" s="161" t="s">
        <v>1404</v>
      </c>
      <c r="B6" s="162" t="s">
        <v>1405</v>
      </c>
      <c r="C6" s="163">
        <f ca="1">ROUND('土地比较法-住宅、综合'!B62*成本法车!D10/10000,0)</f>
        <v>1275</v>
      </c>
      <c r="D6" s="164"/>
      <c r="E6" s="165"/>
      <c r="F6" s="165"/>
      <c r="G6" s="166"/>
    </row>
    <row r="7" spans="1:9" s="138" customFormat="1" ht="13.5" customHeight="1">
      <c r="A7" s="161" t="s">
        <v>1406</v>
      </c>
      <c r="B7" s="162" t="s">
        <v>1407</v>
      </c>
      <c r="C7" s="167">
        <f ca="1">ROUND(C6*F7,0)</f>
        <v>39</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8"/>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c r="H9" s="2103"/>
      <c r="I9" s="2104"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8"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142</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141</v>
      </c>
      <c r="D23" s="191"/>
      <c r="E23" s="191"/>
      <c r="F23" s="192"/>
      <c r="G23" s="193" t="s">
        <v>1444</v>
      </c>
      <c r="J23" s="138">
        <f ca="1">B2/'数据-汇总表'!F31</f>
        <v>1.0473416379343217</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67</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67</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1674</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673</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08" t="s">
        <v>1475</v>
      </c>
    </row>
    <row r="43" spans="1:7" ht="13.5" customHeight="1">
      <c r="A43" s="189" t="s">
        <v>1406</v>
      </c>
      <c r="B43" s="162" t="s">
        <v>1445</v>
      </c>
      <c r="C43" s="191">
        <f ca="1">ROUND(IF('数据-取费表'!B22&lt;=1,C39*F22*'数据-取费表'!B21/2,C39*(POWER((1+F22),'数据-取费表'!B21/2)-1)),0)</f>
        <v>13</v>
      </c>
      <c r="D43" s="191"/>
      <c r="E43" s="191"/>
      <c r="F43" s="192"/>
      <c r="G43" s="3309"/>
    </row>
    <row r="44" spans="1:7" ht="13.5" customHeight="1">
      <c r="A44" s="189" t="s">
        <v>1408</v>
      </c>
      <c r="B44" s="162" t="s">
        <v>1447</v>
      </c>
      <c r="C44" s="191">
        <f>ROUND(IF('数据-取费表'!B22&lt;=1,C40*F22*'数据-取费表'!B21/2,C40*(POWER((1+F22),'数据-取费表'!B21/2)-1)),4)</f>
        <v>1E-3</v>
      </c>
      <c r="D44" s="191"/>
      <c r="E44" s="191"/>
      <c r="F44" s="192"/>
      <c r="G44" s="3310"/>
    </row>
    <row r="45" spans="1:7" s="138" customFormat="1" ht="13.5" customHeight="1">
      <c r="A45" s="156" t="s">
        <v>1441</v>
      </c>
      <c r="B45" s="197" t="s">
        <v>1452</v>
      </c>
      <c r="C45" s="198">
        <f ca="1">C46</f>
        <v>645</v>
      </c>
      <c r="D45" s="184">
        <f ca="1">C47</f>
        <v>1E-3</v>
      </c>
      <c r="E45" s="185" t="s">
        <v>1473</v>
      </c>
      <c r="F45" s="2101">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17029</v>
      </c>
      <c r="D52" s="218"/>
      <c r="E52" s="218"/>
      <c r="F52" s="218"/>
      <c r="G52" s="220"/>
    </row>
    <row r="55" spans="1:7" ht="15">
      <c r="B55" s="221" t="s">
        <v>1489</v>
      </c>
      <c r="C55" s="222"/>
    </row>
    <row r="56" spans="1:7">
      <c r="B56" s="223" t="s">
        <v>1490</v>
      </c>
      <c r="C56" s="225">
        <f ca="1">1-C57</f>
        <v>9.7999999999999976E-2</v>
      </c>
    </row>
    <row r="57" spans="1:7">
      <c r="B57" s="223" t="s">
        <v>1491</v>
      </c>
      <c r="C57" s="224">
        <f ca="1">ROUND(C51/C52,3)</f>
        <v>0.90200000000000002</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workbookViewId="0">
      <selection activeCell="M24" sqref="M24"/>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9574</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2921</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11" t="s">
        <v>945</v>
      </c>
      <c r="D4" s="3312"/>
      <c r="E4" s="3313" t="s">
        <v>946</v>
      </c>
      <c r="F4" s="3314"/>
      <c r="G4" s="3311" t="s">
        <v>947</v>
      </c>
      <c r="H4" s="3312"/>
      <c r="I4" s="3311" t="s">
        <v>948</v>
      </c>
      <c r="J4" s="3312"/>
      <c r="K4" s="1021" t="s">
        <v>949</v>
      </c>
      <c r="L4" s="1022"/>
      <c r="M4" s="972"/>
      <c r="N4" s="972"/>
      <c r="O4" s="972"/>
      <c r="P4" s="3337" t="s">
        <v>950</v>
      </c>
      <c r="Q4" s="3338"/>
      <c r="R4" s="3343" t="s">
        <v>946</v>
      </c>
      <c r="S4" s="3344"/>
      <c r="T4" s="3343" t="s">
        <v>947</v>
      </c>
      <c r="U4" s="3344"/>
      <c r="V4" s="3327" t="s">
        <v>948</v>
      </c>
      <c r="W4" s="3327"/>
      <c r="X4" s="1070"/>
      <c r="Y4" s="3343" t="s">
        <v>950</v>
      </c>
      <c r="Z4" s="3344"/>
      <c r="AA4" s="3332" t="s">
        <v>946</v>
      </c>
      <c r="AB4" s="3333" t="s">
        <v>947</v>
      </c>
      <c r="AC4" s="3332" t="s">
        <v>948</v>
      </c>
    </row>
    <row r="5" spans="1:29" ht="15">
      <c r="A5" s="879"/>
      <c r="B5" s="880"/>
      <c r="C5" s="3315" t="s">
        <v>951</v>
      </c>
      <c r="D5" s="3316"/>
      <c r="E5" s="3416" t="s">
        <v>3172</v>
      </c>
      <c r="F5" s="3417"/>
      <c r="G5" s="3418" t="s">
        <v>4272</v>
      </c>
      <c r="H5" s="3417"/>
      <c r="I5" s="3416" t="s">
        <v>4273</v>
      </c>
      <c r="J5" s="3417"/>
      <c r="K5" s="1021"/>
      <c r="L5" s="1022"/>
      <c r="M5" s="972"/>
      <c r="N5" s="972"/>
      <c r="O5" s="972"/>
      <c r="P5" s="3339"/>
      <c r="Q5" s="3340"/>
      <c r="R5" s="3345"/>
      <c r="S5" s="3346"/>
      <c r="T5" s="3345"/>
      <c r="U5" s="3346"/>
      <c r="V5" s="3327"/>
      <c r="W5" s="3327"/>
      <c r="X5" s="1070"/>
      <c r="Y5" s="3345"/>
      <c r="Z5" s="3346"/>
      <c r="AA5" s="3333"/>
      <c r="AB5" s="3333"/>
      <c r="AC5" s="3333"/>
    </row>
    <row r="6" spans="1:29" ht="15">
      <c r="A6" s="881"/>
      <c r="B6" s="882"/>
      <c r="C6" s="3319" t="s">
        <v>952</v>
      </c>
      <c r="D6" s="3320"/>
      <c r="E6" s="3358" t="s">
        <v>1555</v>
      </c>
      <c r="F6" s="3359"/>
      <c r="G6" s="3360" t="s">
        <v>1555</v>
      </c>
      <c r="H6" s="3361"/>
      <c r="I6" s="3360" t="s">
        <v>1555</v>
      </c>
      <c r="J6" s="3361"/>
      <c r="K6" s="1021" t="s">
        <v>953</v>
      </c>
      <c r="L6" s="1022"/>
      <c r="M6" s="972"/>
      <c r="N6" s="972"/>
      <c r="O6" s="972"/>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1202">
        <v>45474</v>
      </c>
      <c r="F7" s="889">
        <f>SUMIF(48:48,YEAR(E7)&amp;"-"&amp;MONTH(E7),49:49)</f>
        <v>100</v>
      </c>
      <c r="G7" s="1202">
        <v>45474</v>
      </c>
      <c r="H7" s="887">
        <f>SUMIF(48:48,YEAR(G7)&amp;"-"&amp;MONTH(G7),49:49)</f>
        <v>100</v>
      </c>
      <c r="I7" s="1202">
        <v>45474</v>
      </c>
      <c r="J7" s="887">
        <f>SUMIF(48:48,YEAR(I7)&amp;"-"&amp;MONTH(I7),49:49)</f>
        <v>100</v>
      </c>
      <c r="K7" s="1026"/>
      <c r="L7" s="1027"/>
      <c r="M7" s="1028"/>
      <c r="N7" s="1028"/>
      <c r="O7" s="1028"/>
      <c r="P7" s="3323" t="s">
        <v>955</v>
      </c>
      <c r="Q7" s="3324"/>
      <c r="R7" s="1071" t="s">
        <v>956</v>
      </c>
      <c r="S7" s="1072">
        <f t="shared" ref="S7:S14" si="0">F7</f>
        <v>100</v>
      </c>
      <c r="T7" s="1071" t="s">
        <v>956</v>
      </c>
      <c r="U7" s="1072">
        <f t="shared" ref="U7:U14" si="1">H7</f>
        <v>100</v>
      </c>
      <c r="V7" s="1071" t="s">
        <v>956</v>
      </c>
      <c r="W7" s="1072">
        <f t="shared" ref="W7:W14" si="2">J7</f>
        <v>100</v>
      </c>
      <c r="X7" s="1073"/>
      <c r="Y7" s="3323" t="s">
        <v>955</v>
      </c>
      <c r="Z7" s="3325"/>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23" t="s">
        <v>959</v>
      </c>
      <c r="Q8" s="3325"/>
      <c r="R8" s="1071" t="s">
        <v>956</v>
      </c>
      <c r="S8" s="1072">
        <f t="shared" si="0"/>
        <v>100</v>
      </c>
      <c r="T8" s="1071" t="s">
        <v>956</v>
      </c>
      <c r="U8" s="1072">
        <f t="shared" si="1"/>
        <v>100</v>
      </c>
      <c r="V8" s="1071" t="s">
        <v>956</v>
      </c>
      <c r="W8" s="1072">
        <f t="shared" si="2"/>
        <v>100</v>
      </c>
      <c r="X8" s="1073"/>
      <c r="Y8" s="3323" t="s">
        <v>959</v>
      </c>
      <c r="Z8" s="3325"/>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26" t="s">
        <v>962</v>
      </c>
      <c r="Q9" s="796" t="str">
        <f t="shared" ref="Q9:Q14" si="6">B9</f>
        <v>用途</v>
      </c>
      <c r="R9" s="1071" t="s">
        <v>956</v>
      </c>
      <c r="S9" s="1072">
        <f t="shared" si="0"/>
        <v>100</v>
      </c>
      <c r="T9" s="1071" t="s">
        <v>956</v>
      </c>
      <c r="U9" s="1072">
        <f t="shared" si="1"/>
        <v>100</v>
      </c>
      <c r="V9" s="1071" t="s">
        <v>956</v>
      </c>
      <c r="W9" s="1072">
        <f t="shared" si="2"/>
        <v>100</v>
      </c>
      <c r="X9" s="1073"/>
      <c r="Y9" s="3302"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2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26"/>
      <c r="Q11" s="796">
        <f t="shared" si="6"/>
        <v>111</v>
      </c>
      <c r="R11" s="1071" t="s">
        <v>956</v>
      </c>
      <c r="S11" s="1072">
        <f t="shared" si="0"/>
        <v>100</v>
      </c>
      <c r="T11" s="1071" t="s">
        <v>956</v>
      </c>
      <c r="U11" s="1072">
        <f t="shared" si="1"/>
        <v>100</v>
      </c>
      <c r="V11" s="1071" t="s">
        <v>956</v>
      </c>
      <c r="W11" s="1072">
        <f t="shared" si="2"/>
        <v>100</v>
      </c>
      <c r="X11" s="1073"/>
      <c r="Y11" s="3302"/>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2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2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100</v>
      </c>
      <c r="K14" s="1242">
        <v>5</v>
      </c>
      <c r="L14" s="1038"/>
      <c r="M14" s="972"/>
      <c r="N14" s="972"/>
      <c r="O14" s="972"/>
      <c r="P14" s="3328" t="s">
        <v>969</v>
      </c>
      <c r="Q14" s="642" t="str">
        <f t="shared" si="6"/>
        <v>交通便捷度</v>
      </c>
      <c r="R14" s="1075" t="s">
        <v>956</v>
      </c>
      <c r="S14" s="1076">
        <f t="shared" si="0"/>
        <v>100</v>
      </c>
      <c r="T14" s="1075" t="s">
        <v>956</v>
      </c>
      <c r="U14" s="1076">
        <f t="shared" si="1"/>
        <v>100</v>
      </c>
      <c r="V14" s="1075" t="s">
        <v>956</v>
      </c>
      <c r="W14" s="1076">
        <f t="shared" si="2"/>
        <v>100</v>
      </c>
      <c r="X14" s="1070"/>
      <c r="Y14" s="3328" t="s">
        <v>969</v>
      </c>
      <c r="Z14" s="1059" t="str">
        <f t="shared" si="7"/>
        <v>交通便捷度</v>
      </c>
      <c r="AA14" s="1059">
        <f t="shared" si="3"/>
        <v>1</v>
      </c>
      <c r="AB14" s="1059">
        <f t="shared" si="4"/>
        <v>1</v>
      </c>
      <c r="AC14" s="1059">
        <f t="shared" si="5"/>
        <v>1</v>
      </c>
    </row>
    <row r="15" spans="1:29" ht="15">
      <c r="A15" s="879"/>
      <c r="B15" s="1272"/>
      <c r="C15" s="919" t="s">
        <v>667</v>
      </c>
      <c r="D15" s="920"/>
      <c r="E15" s="919" t="s">
        <v>667</v>
      </c>
      <c r="F15" s="1025"/>
      <c r="G15" s="1273" t="s">
        <v>667</v>
      </c>
      <c r="H15" s="922"/>
      <c r="I15" s="1273" t="s">
        <v>667</v>
      </c>
      <c r="J15" s="920"/>
      <c r="K15" s="1243"/>
      <c r="L15" s="1038"/>
      <c r="M15" s="972"/>
      <c r="N15" s="972"/>
      <c r="O15" s="972"/>
      <c r="P15" s="3329"/>
      <c r="Q15" s="642"/>
      <c r="R15" s="1075"/>
      <c r="S15" s="1076"/>
      <c r="T15" s="1075"/>
      <c r="U15" s="1076"/>
      <c r="V15" s="1075"/>
      <c r="W15" s="1076"/>
      <c r="X15" s="1070"/>
      <c r="Y15" s="3329"/>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100</v>
      </c>
      <c r="I16" s="1303"/>
      <c r="J16" s="926">
        <f>SUMIF(65:65,I17,66:66)-SUMIF(65:65,C17,66:66)+100</f>
        <v>100</v>
      </c>
      <c r="K16" s="3113">
        <v>5</v>
      </c>
      <c r="L16" s="1038"/>
      <c r="M16" s="972"/>
      <c r="N16" s="972"/>
      <c r="O16" s="972"/>
      <c r="P16" s="3329"/>
      <c r="Q16" s="642" t="str">
        <f>B16</f>
        <v>公共配套设施</v>
      </c>
      <c r="R16" s="1075" t="s">
        <v>956</v>
      </c>
      <c r="S16" s="1076">
        <f>F16</f>
        <v>105</v>
      </c>
      <c r="T16" s="1075" t="s">
        <v>956</v>
      </c>
      <c r="U16" s="1076">
        <f>H16</f>
        <v>100</v>
      </c>
      <c r="V16" s="1075" t="s">
        <v>956</v>
      </c>
      <c r="W16" s="1076">
        <f>J16</f>
        <v>100</v>
      </c>
      <c r="X16" s="1070"/>
      <c r="Y16" s="3329"/>
      <c r="Z16" s="1059" t="str">
        <f>Q16</f>
        <v>公共配套设施</v>
      </c>
      <c r="AA16" s="1059">
        <f t="shared" si="3"/>
        <v>0.95238095238095233</v>
      </c>
      <c r="AB16" s="1059">
        <f t="shared" si="4"/>
        <v>1</v>
      </c>
      <c r="AC16" s="1059">
        <f t="shared" si="5"/>
        <v>1</v>
      </c>
    </row>
    <row r="17" spans="1:29" ht="15">
      <c r="A17" s="879"/>
      <c r="B17" s="927"/>
      <c r="C17" s="1215" t="s">
        <v>667</v>
      </c>
      <c r="D17" s="920"/>
      <c r="E17" s="1215" t="s">
        <v>970</v>
      </c>
      <c r="F17" s="1025"/>
      <c r="G17" s="1215" t="s">
        <v>667</v>
      </c>
      <c r="H17" s="920"/>
      <c r="I17" s="1215" t="s">
        <v>667</v>
      </c>
      <c r="J17" s="920"/>
      <c r="K17" s="1243"/>
      <c r="L17" s="1038"/>
      <c r="M17" s="972"/>
      <c r="N17" s="972"/>
      <c r="O17" s="972"/>
      <c r="P17" s="3329"/>
      <c r="Q17" s="642"/>
      <c r="R17" s="1075"/>
      <c r="S17" s="1076"/>
      <c r="T17" s="1075"/>
      <c r="U17" s="1076"/>
      <c r="V17" s="1075"/>
      <c r="W17" s="1076"/>
      <c r="X17" s="1070"/>
      <c r="Y17" s="3329"/>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29"/>
      <c r="Q18" s="642" t="str">
        <f>B18</f>
        <v>基础设施水平</v>
      </c>
      <c r="R18" s="1075" t="s">
        <v>956</v>
      </c>
      <c r="S18" s="1076">
        <f>F18</f>
        <v>100</v>
      </c>
      <c r="T18" s="1075" t="s">
        <v>956</v>
      </c>
      <c r="U18" s="1076">
        <f>H18</f>
        <v>100</v>
      </c>
      <c r="V18" s="1075" t="s">
        <v>956</v>
      </c>
      <c r="W18" s="1076">
        <f>J18</f>
        <v>100</v>
      </c>
      <c r="X18" s="1070"/>
      <c r="Y18" s="3329"/>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29"/>
      <c r="Q19" s="642"/>
      <c r="R19" s="1075"/>
      <c r="S19" s="1076"/>
      <c r="T19" s="1075"/>
      <c r="U19" s="1076"/>
      <c r="V19" s="1075"/>
      <c r="W19" s="1076"/>
      <c r="X19" s="1070"/>
      <c r="Y19" s="3329"/>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100</v>
      </c>
      <c r="K20" s="1242">
        <v>5</v>
      </c>
      <c r="L20" s="1038"/>
      <c r="M20" s="972"/>
      <c r="N20" s="972"/>
      <c r="O20" s="972"/>
      <c r="P20" s="3329"/>
      <c r="Q20" s="642" t="str">
        <f>B20</f>
        <v>自然及人文环境</v>
      </c>
      <c r="R20" s="1075" t="s">
        <v>956</v>
      </c>
      <c r="S20" s="1076">
        <f>F20</f>
        <v>105</v>
      </c>
      <c r="T20" s="1075" t="s">
        <v>956</v>
      </c>
      <c r="U20" s="1076">
        <f>H20</f>
        <v>105</v>
      </c>
      <c r="V20" s="1075" t="s">
        <v>956</v>
      </c>
      <c r="W20" s="1076">
        <f>J20</f>
        <v>100</v>
      </c>
      <c r="X20" s="1070"/>
      <c r="Y20" s="3329"/>
      <c r="Z20" s="1059" t="str">
        <f>Q20</f>
        <v>自然及人文环境</v>
      </c>
      <c r="AA20" s="1059">
        <f t="shared" si="3"/>
        <v>0.95238095238095233</v>
      </c>
      <c r="AB20" s="1059">
        <f t="shared" si="4"/>
        <v>0.95238095238095233</v>
      </c>
      <c r="AC20" s="1059">
        <f t="shared" si="5"/>
        <v>1</v>
      </c>
    </row>
    <row r="21" spans="1:29" ht="15">
      <c r="A21" s="879"/>
      <c r="B21" s="927"/>
      <c r="C21" s="919" t="s">
        <v>667</v>
      </c>
      <c r="D21" s="920"/>
      <c r="E21" s="919" t="s">
        <v>970</v>
      </c>
      <c r="F21" s="1025"/>
      <c r="G21" s="1273" t="s">
        <v>970</v>
      </c>
      <c r="H21" s="920"/>
      <c r="I21" s="1273" t="s">
        <v>667</v>
      </c>
      <c r="J21" s="920"/>
      <c r="K21" s="1243"/>
      <c r="L21" s="1038"/>
      <c r="M21" s="972"/>
      <c r="N21" s="972"/>
      <c r="O21" s="972"/>
      <c r="P21" s="3329"/>
      <c r="Q21" s="642"/>
      <c r="R21" s="1075"/>
      <c r="S21" s="1076"/>
      <c r="T21" s="1075"/>
      <c r="U21" s="1076"/>
      <c r="V21" s="1075"/>
      <c r="W21" s="1076"/>
      <c r="X21" s="1070"/>
      <c r="Y21" s="3329"/>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29"/>
      <c r="Q22" s="642" t="str">
        <f>B22</f>
        <v>楼层</v>
      </c>
      <c r="R22" s="1075" t="s">
        <v>956</v>
      </c>
      <c r="S22" s="1076">
        <f>F22</f>
        <v>100</v>
      </c>
      <c r="T22" s="1075" t="s">
        <v>956</v>
      </c>
      <c r="U22" s="1076">
        <f>H22</f>
        <v>100</v>
      </c>
      <c r="V22" s="1075" t="s">
        <v>956</v>
      </c>
      <c r="W22" s="1076">
        <f>J22</f>
        <v>100</v>
      </c>
      <c r="X22" s="1070"/>
      <c r="Y22" s="3329"/>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29"/>
      <c r="Q23" s="642">
        <f>B23</f>
        <v>111</v>
      </c>
      <c r="R23" s="1075" t="s">
        <v>956</v>
      </c>
      <c r="S23" s="1076">
        <f>F23</f>
        <v>100</v>
      </c>
      <c r="T23" s="1075" t="s">
        <v>956</v>
      </c>
      <c r="U23" s="1076">
        <f>H23</f>
        <v>100</v>
      </c>
      <c r="V23" s="1075" t="s">
        <v>956</v>
      </c>
      <c r="W23" s="1076">
        <f>J23</f>
        <v>100</v>
      </c>
      <c r="X23" s="1070"/>
      <c r="Y23" s="3329"/>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29"/>
      <c r="Q24" s="642">
        <f t="shared" ref="Q24:Q36" si="11">B24</f>
        <v>111</v>
      </c>
      <c r="R24" s="1075" t="s">
        <v>956</v>
      </c>
      <c r="S24" s="1076">
        <f>F24</f>
        <v>100</v>
      </c>
      <c r="T24" s="1075" t="s">
        <v>956</v>
      </c>
      <c r="U24" s="1076">
        <f>H24</f>
        <v>100</v>
      </c>
      <c r="V24" s="1075" t="s">
        <v>956</v>
      </c>
      <c r="W24" s="1076">
        <f>J24</f>
        <v>100</v>
      </c>
      <c r="X24" s="1070"/>
      <c r="Y24" s="3329"/>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29"/>
      <c r="Q25" s="796">
        <f t="shared" si="11"/>
        <v>111</v>
      </c>
      <c r="R25" s="1071" t="s">
        <v>956</v>
      </c>
      <c r="S25" s="1072">
        <f>F25</f>
        <v>100</v>
      </c>
      <c r="T25" s="1071" t="s">
        <v>956</v>
      </c>
      <c r="U25" s="1072">
        <f>H25</f>
        <v>100</v>
      </c>
      <c r="V25" s="1071" t="s">
        <v>956</v>
      </c>
      <c r="W25" s="1072">
        <f>J25</f>
        <v>100</v>
      </c>
      <c r="X25" s="1073"/>
      <c r="Y25" s="3329"/>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30"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31"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31"/>
      <c r="Q27" s="1245" t="str">
        <f t="shared" si="11"/>
        <v>项目停车位配比</v>
      </c>
      <c r="R27" s="1077" t="s">
        <v>956</v>
      </c>
      <c r="S27" s="1078">
        <f t="shared" si="12"/>
        <v>100</v>
      </c>
      <c r="T27" s="1077" t="s">
        <v>956</v>
      </c>
      <c r="U27" s="1078">
        <f t="shared" si="13"/>
        <v>100</v>
      </c>
      <c r="V27" s="1077" t="s">
        <v>956</v>
      </c>
      <c r="W27" s="1078">
        <f t="shared" si="14"/>
        <v>100</v>
      </c>
      <c r="X27" s="1079"/>
      <c r="Y27" s="3331"/>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31"/>
      <c r="Q28" s="642" t="str">
        <f t="shared" si="11"/>
        <v>公共部分装修</v>
      </c>
      <c r="R28" s="1075" t="s">
        <v>956</v>
      </c>
      <c r="S28" s="1076">
        <f t="shared" si="12"/>
        <v>100</v>
      </c>
      <c r="T28" s="1075" t="s">
        <v>956</v>
      </c>
      <c r="U28" s="1076">
        <f t="shared" si="13"/>
        <v>100</v>
      </c>
      <c r="V28" s="1075" t="s">
        <v>956</v>
      </c>
      <c r="W28" s="1076">
        <f t="shared" si="14"/>
        <v>100</v>
      </c>
      <c r="X28" s="1070"/>
      <c r="Y28" s="3331"/>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31"/>
      <c r="Q29" s="642" t="str">
        <f t="shared" si="11"/>
        <v>成新率</v>
      </c>
      <c r="R29" s="1075" t="s">
        <v>956</v>
      </c>
      <c r="S29" s="1076">
        <f t="shared" si="12"/>
        <v>100</v>
      </c>
      <c r="T29" s="1075" t="s">
        <v>956</v>
      </c>
      <c r="U29" s="1076">
        <f t="shared" si="13"/>
        <v>100</v>
      </c>
      <c r="V29" s="1075" t="s">
        <v>956</v>
      </c>
      <c r="W29" s="1076">
        <f t="shared" si="14"/>
        <v>100</v>
      </c>
      <c r="X29" s="1070"/>
      <c r="Y29" s="3331"/>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31"/>
      <c r="Q30" s="642" t="str">
        <f t="shared" si="11"/>
        <v>物业等级</v>
      </c>
      <c r="R30" s="1075" t="s">
        <v>956</v>
      </c>
      <c r="S30" s="1076">
        <f t="shared" si="12"/>
        <v>100</v>
      </c>
      <c r="T30" s="1075" t="s">
        <v>956</v>
      </c>
      <c r="U30" s="1076">
        <f t="shared" si="13"/>
        <v>100</v>
      </c>
      <c r="V30" s="1075" t="s">
        <v>956</v>
      </c>
      <c r="W30" s="1076">
        <f t="shared" si="14"/>
        <v>100</v>
      </c>
      <c r="X30" s="1070"/>
      <c r="Y30" s="3331"/>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32.700000000000003</v>
      </c>
      <c r="J31" s="766">
        <f>LOOKUP(I31,91:91,92:92)-LOOKUP(C31,91:91,92:92)+100</f>
        <v>102</v>
      </c>
      <c r="K31" s="1045"/>
      <c r="L31" s="1027"/>
      <c r="M31" s="1028"/>
      <c r="N31" s="1028"/>
      <c r="O31" s="1028"/>
      <c r="P31" s="3331"/>
      <c r="Q31" s="796" t="str">
        <f t="shared" si="11"/>
        <v>停车位面积</v>
      </c>
      <c r="R31" s="1071" t="s">
        <v>956</v>
      </c>
      <c r="S31" s="1072">
        <f t="shared" si="12"/>
        <v>102</v>
      </c>
      <c r="T31" s="1071" t="s">
        <v>956</v>
      </c>
      <c r="U31" s="1072">
        <f t="shared" si="13"/>
        <v>104</v>
      </c>
      <c r="V31" s="1071" t="s">
        <v>956</v>
      </c>
      <c r="W31" s="1072">
        <f t="shared" si="14"/>
        <v>102</v>
      </c>
      <c r="X31" s="1073"/>
      <c r="Y31" s="3331"/>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31" t="s">
        <v>982</v>
      </c>
      <c r="Q32" s="642" t="str">
        <f t="shared" si="11"/>
        <v>车位类型</v>
      </c>
      <c r="R32" s="1075" t="s">
        <v>956</v>
      </c>
      <c r="S32" s="1076">
        <f t="shared" si="12"/>
        <v>100</v>
      </c>
      <c r="T32" s="1075" t="s">
        <v>956</v>
      </c>
      <c r="U32" s="1076">
        <f t="shared" si="13"/>
        <v>100</v>
      </c>
      <c r="V32" s="1075" t="s">
        <v>956</v>
      </c>
      <c r="W32" s="1076">
        <f t="shared" si="14"/>
        <v>100</v>
      </c>
      <c r="X32" s="1070"/>
      <c r="Y32" s="3331"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31"/>
      <c r="Q33" s="642" t="str">
        <f t="shared" si="11"/>
        <v>是否直接入户</v>
      </c>
      <c r="R33" s="1075" t="s">
        <v>956</v>
      </c>
      <c r="S33" s="1076">
        <f t="shared" si="12"/>
        <v>100</v>
      </c>
      <c r="T33" s="1075" t="s">
        <v>956</v>
      </c>
      <c r="U33" s="1076">
        <f t="shared" si="13"/>
        <v>100</v>
      </c>
      <c r="V33" s="1075" t="s">
        <v>956</v>
      </c>
      <c r="W33" s="1076">
        <f t="shared" si="14"/>
        <v>100</v>
      </c>
      <c r="X33" s="1070"/>
      <c r="Y33" s="3331"/>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31"/>
      <c r="Q34" s="642">
        <f t="shared" si="11"/>
        <v>111</v>
      </c>
      <c r="R34" s="1075" t="s">
        <v>956</v>
      </c>
      <c r="S34" s="1076">
        <f t="shared" si="12"/>
        <v>100</v>
      </c>
      <c r="T34" s="1075" t="s">
        <v>956</v>
      </c>
      <c r="U34" s="1076">
        <f t="shared" si="13"/>
        <v>100</v>
      </c>
      <c r="V34" s="1075" t="s">
        <v>956</v>
      </c>
      <c r="W34" s="1076">
        <f t="shared" si="14"/>
        <v>100</v>
      </c>
      <c r="X34" s="1070"/>
      <c r="Y34" s="3331"/>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31"/>
      <c r="Q35" s="1245">
        <f t="shared" si="11"/>
        <v>111</v>
      </c>
      <c r="R35" s="1077" t="s">
        <v>956</v>
      </c>
      <c r="S35" s="1078">
        <f t="shared" si="12"/>
        <v>100</v>
      </c>
      <c r="T35" s="1077" t="s">
        <v>956</v>
      </c>
      <c r="U35" s="1078">
        <f t="shared" si="13"/>
        <v>100</v>
      </c>
      <c r="V35" s="1077" t="s">
        <v>956</v>
      </c>
      <c r="W35" s="1078">
        <f t="shared" si="14"/>
        <v>100</v>
      </c>
      <c r="X35" s="1079"/>
      <c r="Y35" s="3331"/>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31"/>
      <c r="Q36" s="642">
        <f t="shared" si="11"/>
        <v>111</v>
      </c>
      <c r="R36" s="1075" t="s">
        <v>956</v>
      </c>
      <c r="S36" s="1076">
        <f t="shared" si="12"/>
        <v>100</v>
      </c>
      <c r="T36" s="1075" t="s">
        <v>956</v>
      </c>
      <c r="U36" s="1076">
        <f t="shared" si="13"/>
        <v>100</v>
      </c>
      <c r="V36" s="1075" t="s">
        <v>956</v>
      </c>
      <c r="W36" s="1076">
        <f t="shared" si="14"/>
        <v>100</v>
      </c>
      <c r="X36" s="1070"/>
      <c r="Y36" s="3331"/>
      <c r="Z36" s="1059">
        <f t="shared" si="15"/>
        <v>111</v>
      </c>
      <c r="AA36" s="1059">
        <f t="shared" si="3"/>
        <v>1</v>
      </c>
      <c r="AB36" s="1059">
        <f t="shared" si="4"/>
        <v>1</v>
      </c>
      <c r="AC36" s="1059">
        <f t="shared" si="5"/>
        <v>1</v>
      </c>
    </row>
    <row r="37" spans="1:29" ht="15">
      <c r="A37" s="955" t="s">
        <v>991</v>
      </c>
      <c r="B37" s="1293" t="s">
        <v>2537</v>
      </c>
      <c r="C37" s="1228" t="s">
        <v>124</v>
      </c>
      <c r="D37" s="958"/>
      <c r="E37" s="1294">
        <v>3584</v>
      </c>
      <c r="F37" s="960"/>
      <c r="G37" s="961">
        <v>3015</v>
      </c>
      <c r="H37" s="962"/>
      <c r="I37" s="1294">
        <v>2870</v>
      </c>
      <c r="J37" s="962"/>
      <c r="K37" s="1304"/>
      <c r="L37" s="1051"/>
      <c r="M37" s="972"/>
      <c r="N37" s="972"/>
      <c r="O37" s="972"/>
      <c r="P37" s="3326" t="str">
        <f>A37</f>
        <v>成交单价</v>
      </c>
      <c r="Q37" s="3326"/>
      <c r="R37" s="3327">
        <f>E37</f>
        <v>3584</v>
      </c>
      <c r="S37" s="3327"/>
      <c r="T37" s="3327">
        <f>G37</f>
        <v>3015</v>
      </c>
      <c r="U37" s="3327"/>
      <c r="V37" s="3327">
        <f>I37</f>
        <v>2870</v>
      </c>
      <c r="W37" s="3327"/>
      <c r="X37" s="1012"/>
      <c r="Y37" s="1085"/>
      <c r="Z37" s="1012"/>
      <c r="AA37" s="1012"/>
      <c r="AB37" s="1012"/>
      <c r="AC37" s="1012"/>
    </row>
    <row r="38" spans="1:29" ht="15">
      <c r="A38" s="963" t="s">
        <v>993</v>
      </c>
      <c r="B38" s="1229" t="str">
        <f>B37</f>
        <v>元/平方米</v>
      </c>
      <c r="C38" s="1230">
        <f>R39</f>
        <v>2921</v>
      </c>
      <c r="D38" s="966" t="s">
        <v>994</v>
      </c>
      <c r="E38" s="1231">
        <f>R38</f>
        <v>3187</v>
      </c>
      <c r="F38" s="967"/>
      <c r="G38" s="1230">
        <f>T38</f>
        <v>2761</v>
      </c>
      <c r="H38" s="967"/>
      <c r="I38" s="1231">
        <f>V38</f>
        <v>2814</v>
      </c>
      <c r="J38" s="967"/>
      <c r="K38" s="1052">
        <f>F38+H38+J38</f>
        <v>0</v>
      </c>
      <c r="L38" s="1051"/>
      <c r="M38" s="972"/>
      <c r="N38" s="972"/>
      <c r="O38" s="972"/>
      <c r="P38" s="3326" t="str">
        <f>A38</f>
        <v>比较价值（元/平方米）</v>
      </c>
      <c r="Q38" s="3326"/>
      <c r="R38" s="3327">
        <f>IF(F1="售价",ROUND(PRODUCT(R37,AA7:AA36),0),ROUND(PRODUCT(R37,AA7:AA36),1))</f>
        <v>3187</v>
      </c>
      <c r="S38" s="3327"/>
      <c r="T38" s="3327">
        <f>IF(F1="售价",ROUND(PRODUCT(T37,AB7:AB36),0),ROUND(PRODUCT(T37,AB7:AB36),1))</f>
        <v>2761</v>
      </c>
      <c r="U38" s="3327"/>
      <c r="V38" s="3327">
        <f>IF(F1="售价",ROUND(PRODUCT(V37,AC7:AC36),0),ROUND(PRODUCT(V37,AC7:AC36),1))</f>
        <v>2814</v>
      </c>
      <c r="W38" s="3327"/>
      <c r="X38" s="1012"/>
      <c r="Y38" s="1012"/>
      <c r="Z38" s="1012"/>
      <c r="AA38" s="1012"/>
      <c r="AB38" s="1012"/>
      <c r="AC38" s="1012"/>
    </row>
    <row r="39" spans="1:29" ht="15">
      <c r="A39" s="969" t="s">
        <v>1967</v>
      </c>
      <c r="B39" s="970"/>
      <c r="C39" s="882">
        <f>R39</f>
        <v>2921</v>
      </c>
      <c r="D39" s="882"/>
      <c r="E39" s="882"/>
      <c r="F39" s="882"/>
      <c r="G39" s="882"/>
      <c r="H39" s="882"/>
      <c r="I39" s="882"/>
      <c r="J39" s="882"/>
      <c r="K39" s="1305"/>
      <c r="L39" s="1051"/>
      <c r="M39" s="972"/>
      <c r="N39" s="972"/>
      <c r="O39" s="972"/>
      <c r="P39" s="3350" t="str">
        <f>A39</f>
        <v>估价对象XX用房的比较价值（楼面单价，元/平方米）</v>
      </c>
      <c r="Q39" s="3351"/>
      <c r="R39" s="3419">
        <f>IF(F1="售价",ROUND(IF(D38="简单平均",AVERAGE(R38:W38),R38*F38+T38*H38+V38*J38),0),ROUND(IF(D38="简单平均",AVERAGE(R38:V38),R38*F38+T38*H38+V38*J38),1))</f>
        <v>2921</v>
      </c>
      <c r="S39" s="3419"/>
      <c r="T39" s="3419"/>
      <c r="U39" s="3419"/>
      <c r="V39" s="3419"/>
      <c r="W39" s="3419"/>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0.12456855977408221</v>
      </c>
      <c r="F42" s="976" t="str">
        <f>IF(OR(E42&gt;=0.3,E42&lt;=-0.3),"超过30%","")</f>
        <v/>
      </c>
      <c r="G42" s="975">
        <f>IF(G37&lt;G38,G38/G37-1,G37/G38-1)</f>
        <v>9.1995653748641715E-2</v>
      </c>
      <c r="H42" s="976" t="str">
        <f>IF(OR(G42&gt;=0.3,G42&lt;=-0.3),"超过30%","")</f>
        <v/>
      </c>
      <c r="I42" s="975">
        <f>IF(I37&lt;I38,I38/I37-1,I37/I38-1)</f>
        <v>1.990049751243772E-2</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0.15429192321622609</v>
      </c>
      <c r="F43" s="976" t="str">
        <f>IF(OR(E43&gt;=0.2,E43&lt;=-0.2),"超过20%","")</f>
        <v/>
      </c>
      <c r="G43" s="975">
        <f>IF(G38&lt;I38,I38/G38-1,G38/I38-1)</f>
        <v>1.9195943498732326E-2</v>
      </c>
      <c r="H43" s="976" t="str">
        <f>IF(OR(G43&gt;=0.2,G43&lt;=-0.2),"超过20%","")</f>
        <v/>
      </c>
      <c r="I43" s="975">
        <f>IF(I38&lt;E38,E38/I38-1,I38/E38-1)</f>
        <v>0.13255152807391624</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0.18872305140961854</v>
      </c>
      <c r="F44" s="976" t="str">
        <f>IF(OR(E44&gt;=0.3,E44&lt;=-0.3),"超过30%","")</f>
        <v/>
      </c>
      <c r="G44" s="975">
        <f>IF(G37&lt;I37,I37/G37-1,G37/I37-1)</f>
        <v>5.0522648083623611E-2</v>
      </c>
      <c r="H44" s="976" t="str">
        <f>IF(OR(G44&gt;=0.3,G44&lt;=-0.3),"超过30%","")</f>
        <v/>
      </c>
      <c r="I44" s="975">
        <f>IF(I37&lt;E37,E37/I37-1,I37/E37-1)</f>
        <v>0.24878048780487805</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2024-7</v>
      </c>
      <c r="D48" s="1236">
        <f>EDATE(C48,-1)</f>
        <v>45444</v>
      </c>
      <c r="E48" s="1236">
        <f t="shared" ref="E48:O48" si="16">EDATE(D48,-1)</f>
        <v>45413</v>
      </c>
      <c r="F48" s="1236">
        <f t="shared" si="16"/>
        <v>45383</v>
      </c>
      <c r="G48" s="1236">
        <f t="shared" si="16"/>
        <v>45352</v>
      </c>
      <c r="H48" s="1236">
        <f t="shared" si="16"/>
        <v>45323</v>
      </c>
      <c r="I48" s="1236">
        <f t="shared" si="16"/>
        <v>45292</v>
      </c>
      <c r="J48" s="1236">
        <f t="shared" si="16"/>
        <v>45261</v>
      </c>
      <c r="K48" s="1236">
        <f t="shared" si="16"/>
        <v>45231</v>
      </c>
      <c r="L48" s="1236">
        <f t="shared" si="16"/>
        <v>45200</v>
      </c>
      <c r="M48" s="1236">
        <f t="shared" si="16"/>
        <v>45170</v>
      </c>
      <c r="N48" s="1236">
        <f t="shared" si="16"/>
        <v>45139</v>
      </c>
      <c r="O48" s="1236">
        <f t="shared" si="16"/>
        <v>45108</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12"/>
      <c r="E4" s="3313" t="s">
        <v>946</v>
      </c>
      <c r="F4" s="3314"/>
      <c r="G4" s="3311" t="s">
        <v>947</v>
      </c>
      <c r="H4" s="3312"/>
      <c r="I4" s="3311" t="s">
        <v>948</v>
      </c>
      <c r="J4" s="3312"/>
      <c r="K4" s="1021" t="s">
        <v>949</v>
      </c>
      <c r="L4" s="1022"/>
      <c r="M4" s="972"/>
      <c r="N4" s="972"/>
      <c r="O4" s="972"/>
      <c r="P4" s="3337" t="s">
        <v>950</v>
      </c>
      <c r="Q4" s="3338"/>
      <c r="R4" s="3343" t="s">
        <v>946</v>
      </c>
      <c r="S4" s="3344"/>
      <c r="T4" s="3343" t="s">
        <v>947</v>
      </c>
      <c r="U4" s="3344"/>
      <c r="V4" s="3327" t="s">
        <v>948</v>
      </c>
      <c r="W4" s="3327"/>
      <c r="X4" s="1070"/>
      <c r="Y4" s="3343" t="s">
        <v>950</v>
      </c>
      <c r="Z4" s="3344"/>
      <c r="AA4" s="3332" t="s">
        <v>946</v>
      </c>
      <c r="AB4" s="3333" t="s">
        <v>947</v>
      </c>
      <c r="AC4" s="3332" t="s">
        <v>948</v>
      </c>
    </row>
    <row r="5" spans="1:29" ht="15">
      <c r="A5" s="879"/>
      <c r="B5" s="880"/>
      <c r="C5" s="3315" t="s">
        <v>951</v>
      </c>
      <c r="D5" s="3316"/>
      <c r="E5" s="3416" t="s">
        <v>1970</v>
      </c>
      <c r="F5" s="3417"/>
      <c r="G5" s="3418" t="s">
        <v>1971</v>
      </c>
      <c r="H5" s="3417"/>
      <c r="I5" s="3416" t="s">
        <v>1972</v>
      </c>
      <c r="J5" s="3417"/>
      <c r="K5" s="1021"/>
      <c r="L5" s="1022"/>
      <c r="M5" s="972"/>
      <c r="N5" s="972"/>
      <c r="O5" s="972"/>
      <c r="P5" s="3339"/>
      <c r="Q5" s="3340"/>
      <c r="R5" s="3345"/>
      <c r="S5" s="3346"/>
      <c r="T5" s="3345"/>
      <c r="U5" s="3346"/>
      <c r="V5" s="3327"/>
      <c r="W5" s="3327"/>
      <c r="X5" s="1070"/>
      <c r="Y5" s="3345"/>
      <c r="Z5" s="3346"/>
      <c r="AA5" s="3333"/>
      <c r="AB5" s="3333"/>
      <c r="AC5" s="3333"/>
    </row>
    <row r="6" spans="1:29" ht="15">
      <c r="A6" s="881"/>
      <c r="B6" s="882"/>
      <c r="C6" s="3319" t="s">
        <v>952</v>
      </c>
      <c r="D6" s="3320"/>
      <c r="E6" s="3420" t="s">
        <v>1555</v>
      </c>
      <c r="F6" s="3421"/>
      <c r="G6" s="3422" t="s">
        <v>1555</v>
      </c>
      <c r="H6" s="3423"/>
      <c r="I6" s="3422" t="s">
        <v>1555</v>
      </c>
      <c r="J6" s="3423"/>
      <c r="K6" s="1021" t="s">
        <v>953</v>
      </c>
      <c r="L6" s="1022"/>
      <c r="M6" s="972"/>
      <c r="N6" s="972"/>
      <c r="O6" s="972"/>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23" t="s">
        <v>955</v>
      </c>
      <c r="Q7" s="3324"/>
      <c r="R7" s="1071" t="s">
        <v>956</v>
      </c>
      <c r="S7" s="1072">
        <f t="shared" ref="S7:S14" si="0">F7</f>
        <v>0</v>
      </c>
      <c r="T7" s="1071" t="s">
        <v>956</v>
      </c>
      <c r="U7" s="1072">
        <f t="shared" ref="U7:U14" si="1">H7</f>
        <v>0</v>
      </c>
      <c r="V7" s="1071" t="s">
        <v>956</v>
      </c>
      <c r="W7" s="1072">
        <f t="shared" ref="W7:W14" si="2">J7</f>
        <v>0</v>
      </c>
      <c r="X7" s="1073"/>
      <c r="Y7" s="3323" t="s">
        <v>955</v>
      </c>
      <c r="Z7" s="3325"/>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23" t="s">
        <v>959</v>
      </c>
      <c r="Q8" s="3325"/>
      <c r="R8" s="1071" t="s">
        <v>956</v>
      </c>
      <c r="S8" s="1072">
        <f t="shared" si="0"/>
        <v>100</v>
      </c>
      <c r="T8" s="1071" t="s">
        <v>956</v>
      </c>
      <c r="U8" s="1072">
        <f t="shared" si="1"/>
        <v>100</v>
      </c>
      <c r="V8" s="1071" t="s">
        <v>956</v>
      </c>
      <c r="W8" s="1072">
        <f t="shared" si="2"/>
        <v>100</v>
      </c>
      <c r="X8" s="1073"/>
      <c r="Y8" s="3323" t="s">
        <v>959</v>
      </c>
      <c r="Z8" s="3325"/>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26" t="s">
        <v>962</v>
      </c>
      <c r="Q9" s="796" t="str">
        <f t="shared" ref="Q9:Q14" si="6">B9</f>
        <v>用途</v>
      </c>
      <c r="R9" s="1071" t="s">
        <v>956</v>
      </c>
      <c r="S9" s="1072">
        <f t="shared" si="0"/>
        <v>0</v>
      </c>
      <c r="T9" s="1071" t="s">
        <v>956</v>
      </c>
      <c r="U9" s="1072">
        <f t="shared" si="1"/>
        <v>0</v>
      </c>
      <c r="V9" s="1071" t="s">
        <v>956</v>
      </c>
      <c r="W9" s="1072">
        <f t="shared" si="2"/>
        <v>0</v>
      </c>
      <c r="X9" s="1073"/>
      <c r="Y9" s="3302"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26"/>
      <c r="Q10" s="796" t="str">
        <f t="shared" si="6"/>
        <v>土地使用年限（年）</v>
      </c>
      <c r="R10" s="1071" t="s">
        <v>956</v>
      </c>
      <c r="S10" s="1072">
        <f t="shared" si="0"/>
        <v>100</v>
      </c>
      <c r="T10" s="1071" t="s">
        <v>956</v>
      </c>
      <c r="U10" s="1072">
        <f t="shared" si="1"/>
        <v>100</v>
      </c>
      <c r="V10" s="1071" t="s">
        <v>956</v>
      </c>
      <c r="W10" s="1072">
        <f t="shared" si="2"/>
        <v>100</v>
      </c>
      <c r="X10" s="1073"/>
      <c r="Y10" s="3302"/>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26"/>
      <c r="Q11" s="796">
        <f t="shared" si="6"/>
        <v>111</v>
      </c>
      <c r="R11" s="1071" t="s">
        <v>956</v>
      </c>
      <c r="S11" s="1072">
        <f t="shared" si="0"/>
        <v>100</v>
      </c>
      <c r="T11" s="1071" t="s">
        <v>956</v>
      </c>
      <c r="U11" s="1072">
        <f t="shared" si="1"/>
        <v>100</v>
      </c>
      <c r="V11" s="1071" t="s">
        <v>956</v>
      </c>
      <c r="W11" s="1072">
        <f t="shared" si="2"/>
        <v>100</v>
      </c>
      <c r="X11" s="1073"/>
      <c r="Y11" s="3302"/>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2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2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28" t="s">
        <v>969</v>
      </c>
      <c r="Q14" s="642" t="str">
        <f t="shared" si="6"/>
        <v>交通便捷度</v>
      </c>
      <c r="R14" s="1075" t="s">
        <v>956</v>
      </c>
      <c r="S14" s="1076">
        <f t="shared" si="0"/>
        <v>100</v>
      </c>
      <c r="T14" s="1075" t="s">
        <v>956</v>
      </c>
      <c r="U14" s="1076">
        <f t="shared" si="1"/>
        <v>100</v>
      </c>
      <c r="V14" s="1075" t="s">
        <v>956</v>
      </c>
      <c r="W14" s="1076">
        <f t="shared" si="2"/>
        <v>100</v>
      </c>
      <c r="X14" s="1070"/>
      <c r="Y14" s="3328"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29"/>
      <c r="Q15" s="642"/>
      <c r="R15" s="1075"/>
      <c r="S15" s="1076"/>
      <c r="T15" s="1075"/>
      <c r="U15" s="1076"/>
      <c r="V15" s="1075"/>
      <c r="W15" s="1076"/>
      <c r="X15" s="1070"/>
      <c r="Y15" s="3329"/>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29"/>
      <c r="Q16" s="642" t="str">
        <f>B16</f>
        <v>公共配套设施</v>
      </c>
      <c r="R16" s="1075" t="s">
        <v>956</v>
      </c>
      <c r="S16" s="1076">
        <f>F16</f>
        <v>100</v>
      </c>
      <c r="T16" s="1075" t="s">
        <v>956</v>
      </c>
      <c r="U16" s="1076">
        <f>H16</f>
        <v>100</v>
      </c>
      <c r="V16" s="1075" t="s">
        <v>956</v>
      </c>
      <c r="W16" s="1076">
        <f>J16</f>
        <v>100</v>
      </c>
      <c r="X16" s="1070"/>
      <c r="Y16" s="3329"/>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29"/>
      <c r="Q17" s="642"/>
      <c r="R17" s="1075"/>
      <c r="S17" s="1076"/>
      <c r="T17" s="1075"/>
      <c r="U17" s="1076"/>
      <c r="V17" s="1075"/>
      <c r="W17" s="1076"/>
      <c r="X17" s="1070"/>
      <c r="Y17" s="3329"/>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29"/>
      <c r="Q18" s="642" t="str">
        <f>B18</f>
        <v>基础设施水平</v>
      </c>
      <c r="R18" s="1075" t="s">
        <v>956</v>
      </c>
      <c r="S18" s="1076">
        <f>F18</f>
        <v>100</v>
      </c>
      <c r="T18" s="1075" t="s">
        <v>956</v>
      </c>
      <c r="U18" s="1076">
        <f>H18</f>
        <v>100</v>
      </c>
      <c r="V18" s="1075" t="s">
        <v>956</v>
      </c>
      <c r="W18" s="1076">
        <f>J18</f>
        <v>100</v>
      </c>
      <c r="X18" s="1070"/>
      <c r="Y18" s="3329"/>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29"/>
      <c r="Q19" s="642"/>
      <c r="R19" s="1075"/>
      <c r="S19" s="1076"/>
      <c r="T19" s="1075"/>
      <c r="U19" s="1076"/>
      <c r="V19" s="1075"/>
      <c r="W19" s="1076"/>
      <c r="X19" s="1070"/>
      <c r="Y19" s="3329"/>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29"/>
      <c r="Q20" s="642" t="str">
        <f>B20</f>
        <v>自然及人文环境</v>
      </c>
      <c r="R20" s="1075" t="s">
        <v>956</v>
      </c>
      <c r="S20" s="1076">
        <f>F20</f>
        <v>100</v>
      </c>
      <c r="T20" s="1075" t="s">
        <v>956</v>
      </c>
      <c r="U20" s="1076">
        <f>H20</f>
        <v>100</v>
      </c>
      <c r="V20" s="1075" t="s">
        <v>956</v>
      </c>
      <c r="W20" s="1076">
        <f>J20</f>
        <v>100</v>
      </c>
      <c r="X20" s="1070"/>
      <c r="Y20" s="3329"/>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29"/>
      <c r="Q21" s="642"/>
      <c r="R21" s="1075"/>
      <c r="S21" s="1076"/>
      <c r="T21" s="1075"/>
      <c r="U21" s="1076"/>
      <c r="V21" s="1075"/>
      <c r="W21" s="1076"/>
      <c r="X21" s="1070"/>
      <c r="Y21" s="3329"/>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29"/>
      <c r="Q22" s="642" t="str">
        <f>B22</f>
        <v>楼层</v>
      </c>
      <c r="R22" s="1075" t="s">
        <v>956</v>
      </c>
      <c r="S22" s="1076">
        <f>F22</f>
        <v>100</v>
      </c>
      <c r="T22" s="1075" t="s">
        <v>956</v>
      </c>
      <c r="U22" s="1076">
        <f>H22</f>
        <v>100</v>
      </c>
      <c r="V22" s="1075" t="s">
        <v>956</v>
      </c>
      <c r="W22" s="1076">
        <f>J22</f>
        <v>100</v>
      </c>
      <c r="X22" s="1070"/>
      <c r="Y22" s="3329"/>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29"/>
      <c r="Q23" s="642">
        <f>B23</f>
        <v>111</v>
      </c>
      <c r="R23" s="1075" t="s">
        <v>956</v>
      </c>
      <c r="S23" s="1076">
        <f>F23</f>
        <v>100</v>
      </c>
      <c r="T23" s="1075" t="s">
        <v>956</v>
      </c>
      <c r="U23" s="1076">
        <f>H23</f>
        <v>100</v>
      </c>
      <c r="V23" s="1075" t="s">
        <v>956</v>
      </c>
      <c r="W23" s="1076">
        <f>J23</f>
        <v>100</v>
      </c>
      <c r="X23" s="1070"/>
      <c r="Y23" s="3329"/>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29"/>
      <c r="Q24" s="642">
        <f t="shared" ref="Q24:Q34" si="11">B24</f>
        <v>111</v>
      </c>
      <c r="R24" s="1075" t="s">
        <v>956</v>
      </c>
      <c r="S24" s="1076">
        <f>F24</f>
        <v>100</v>
      </c>
      <c r="T24" s="1075" t="s">
        <v>956</v>
      </c>
      <c r="U24" s="1076">
        <f>H24</f>
        <v>100</v>
      </c>
      <c r="V24" s="1075" t="s">
        <v>956</v>
      </c>
      <c r="W24" s="1076">
        <f>J24</f>
        <v>100</v>
      </c>
      <c r="X24" s="1070"/>
      <c r="Y24" s="3329"/>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29"/>
      <c r="Q25" s="796">
        <f t="shared" si="11"/>
        <v>111</v>
      </c>
      <c r="R25" s="1071" t="s">
        <v>956</v>
      </c>
      <c r="S25" s="1072">
        <f>F25</f>
        <v>100</v>
      </c>
      <c r="T25" s="1071" t="s">
        <v>956</v>
      </c>
      <c r="U25" s="1072">
        <f>H25</f>
        <v>100</v>
      </c>
      <c r="V25" s="1071" t="s">
        <v>956</v>
      </c>
      <c r="W25" s="1072">
        <f>J25</f>
        <v>100</v>
      </c>
      <c r="X25" s="1073"/>
      <c r="Y25" s="3329"/>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30"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31"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31"/>
      <c r="Q27" s="1245" t="str">
        <f t="shared" si="11"/>
        <v>成新率</v>
      </c>
      <c r="R27" s="1077" t="s">
        <v>956</v>
      </c>
      <c r="S27" s="1078" t="e">
        <f t="shared" si="12"/>
        <v>#N/A</v>
      </c>
      <c r="T27" s="1077" t="s">
        <v>956</v>
      </c>
      <c r="U27" s="1078" t="e">
        <f t="shared" si="13"/>
        <v>#N/A</v>
      </c>
      <c r="V27" s="1077" t="s">
        <v>956</v>
      </c>
      <c r="W27" s="1078" t="e">
        <f t="shared" si="14"/>
        <v>#N/A</v>
      </c>
      <c r="X27" s="1079"/>
      <c r="Y27" s="3331"/>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31"/>
      <c r="Q28" s="642" t="str">
        <f t="shared" si="11"/>
        <v>物业等级</v>
      </c>
      <c r="R28" s="1075" t="s">
        <v>956</v>
      </c>
      <c r="S28" s="1076">
        <f t="shared" si="12"/>
        <v>100</v>
      </c>
      <c r="T28" s="1075" t="s">
        <v>956</v>
      </c>
      <c r="U28" s="1076">
        <f t="shared" si="13"/>
        <v>100</v>
      </c>
      <c r="V28" s="1075" t="s">
        <v>956</v>
      </c>
      <c r="W28" s="1076">
        <f t="shared" si="14"/>
        <v>100</v>
      </c>
      <c r="X28" s="1070"/>
      <c r="Y28" s="3331"/>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31"/>
      <c r="Q29" s="642" t="str">
        <f t="shared" si="11"/>
        <v>有无电梯</v>
      </c>
      <c r="R29" s="1075" t="s">
        <v>956</v>
      </c>
      <c r="S29" s="1076">
        <f t="shared" si="12"/>
        <v>100</v>
      </c>
      <c r="T29" s="1075" t="s">
        <v>956</v>
      </c>
      <c r="U29" s="1076">
        <f t="shared" si="13"/>
        <v>100</v>
      </c>
      <c r="V29" s="1075" t="s">
        <v>956</v>
      </c>
      <c r="W29" s="1076">
        <f t="shared" si="14"/>
        <v>100</v>
      </c>
      <c r="X29" s="1070"/>
      <c r="Y29" s="3331"/>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31"/>
      <c r="Q30" s="642" t="str">
        <f t="shared" si="11"/>
        <v>建筑面积</v>
      </c>
      <c r="R30" s="1075" t="s">
        <v>956</v>
      </c>
      <c r="S30" s="1076" t="e">
        <f t="shared" si="12"/>
        <v>#N/A</v>
      </c>
      <c r="T30" s="1075" t="s">
        <v>956</v>
      </c>
      <c r="U30" s="1076" t="e">
        <f t="shared" si="13"/>
        <v>#N/A</v>
      </c>
      <c r="V30" s="1075" t="s">
        <v>956</v>
      </c>
      <c r="W30" s="1076" t="e">
        <f t="shared" si="14"/>
        <v>#N/A</v>
      </c>
      <c r="X30" s="1070"/>
      <c r="Y30" s="3331"/>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31"/>
      <c r="Q31" s="796" t="str">
        <f t="shared" si="11"/>
        <v>是否封闭</v>
      </c>
      <c r="R31" s="1071" t="s">
        <v>956</v>
      </c>
      <c r="S31" s="1072">
        <f t="shared" si="12"/>
        <v>100</v>
      </c>
      <c r="T31" s="1071" t="s">
        <v>956</v>
      </c>
      <c r="U31" s="1072">
        <f t="shared" si="13"/>
        <v>100</v>
      </c>
      <c r="V31" s="1071" t="s">
        <v>956</v>
      </c>
      <c r="W31" s="1072">
        <f t="shared" si="14"/>
        <v>100</v>
      </c>
      <c r="X31" s="1073"/>
      <c r="Y31" s="3331"/>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31" t="s">
        <v>982</v>
      </c>
      <c r="Q32" s="642">
        <f t="shared" si="11"/>
        <v>111</v>
      </c>
      <c r="R32" s="1075" t="s">
        <v>956</v>
      </c>
      <c r="S32" s="1076">
        <f t="shared" si="12"/>
        <v>100</v>
      </c>
      <c r="T32" s="1075" t="s">
        <v>956</v>
      </c>
      <c r="U32" s="1076">
        <f t="shared" si="13"/>
        <v>100</v>
      </c>
      <c r="V32" s="1075" t="s">
        <v>956</v>
      </c>
      <c r="W32" s="1076">
        <f t="shared" si="14"/>
        <v>100</v>
      </c>
      <c r="X32" s="1070"/>
      <c r="Y32" s="3331"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31"/>
      <c r="Q33" s="642">
        <f t="shared" si="11"/>
        <v>111</v>
      </c>
      <c r="R33" s="1075" t="s">
        <v>956</v>
      </c>
      <c r="S33" s="1076">
        <f t="shared" si="12"/>
        <v>100</v>
      </c>
      <c r="T33" s="1075" t="s">
        <v>956</v>
      </c>
      <c r="U33" s="1076">
        <f t="shared" si="13"/>
        <v>100</v>
      </c>
      <c r="V33" s="1075" t="s">
        <v>956</v>
      </c>
      <c r="W33" s="1076">
        <f t="shared" si="14"/>
        <v>100</v>
      </c>
      <c r="X33" s="1070"/>
      <c r="Y33" s="3331"/>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31"/>
      <c r="Q34" s="642">
        <f t="shared" si="11"/>
        <v>111</v>
      </c>
      <c r="R34" s="1075" t="s">
        <v>956</v>
      </c>
      <c r="S34" s="1076">
        <f t="shared" si="12"/>
        <v>100</v>
      </c>
      <c r="T34" s="1075" t="s">
        <v>956</v>
      </c>
      <c r="U34" s="1076">
        <f t="shared" si="13"/>
        <v>100</v>
      </c>
      <c r="V34" s="1075" t="s">
        <v>956</v>
      </c>
      <c r="W34" s="1076">
        <f t="shared" si="14"/>
        <v>100</v>
      </c>
      <c r="X34" s="1070"/>
      <c r="Y34" s="3331"/>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26" t="str">
        <f>A35</f>
        <v>成交单价（元/平方米）</v>
      </c>
      <c r="Q35" s="3326"/>
      <c r="R35" s="3327">
        <f>E35</f>
        <v>0</v>
      </c>
      <c r="S35" s="3327"/>
      <c r="T35" s="3327">
        <f>G35</f>
        <v>0</v>
      </c>
      <c r="U35" s="3327"/>
      <c r="V35" s="3327">
        <f>I35</f>
        <v>0</v>
      </c>
      <c r="W35" s="3327"/>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50" t="str">
        <f>A37</f>
        <v>估价对象XX用房的比较价值（楼面单价，元/平方米）</v>
      </c>
      <c r="Q37" s="3351"/>
      <c r="R37" s="3419" t="e">
        <f>IF(F1="售价",ROUND(IF(D36="简单平均",AVERAGE(R36:W36),R36*F36+T36*H36+V36*J36),0),ROUND(IF(D36="简单平均",AVERAGE(R36:V36),R36*F36+T36*H36+V36*J36),1))</f>
        <v>#DIV/0!</v>
      </c>
      <c r="S37" s="3419"/>
      <c r="T37" s="3419"/>
      <c r="U37" s="3419"/>
      <c r="V37" s="3419"/>
      <c r="W37" s="3419"/>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2024-7</v>
      </c>
      <c r="D46" s="1236">
        <f>EDATE(C46,-1)</f>
        <v>45444</v>
      </c>
      <c r="E46" s="1236">
        <f t="shared" ref="E46:O46" si="16">EDATE(D46,-1)</f>
        <v>45413</v>
      </c>
      <c r="F46" s="1236">
        <f t="shared" si="16"/>
        <v>45383</v>
      </c>
      <c r="G46" s="1236">
        <f t="shared" si="16"/>
        <v>45352</v>
      </c>
      <c r="H46" s="1236">
        <f t="shared" si="16"/>
        <v>45323</v>
      </c>
      <c r="I46" s="1236">
        <f t="shared" si="16"/>
        <v>45292</v>
      </c>
      <c r="J46" s="1236">
        <f t="shared" si="16"/>
        <v>45261</v>
      </c>
      <c r="K46" s="1236">
        <f t="shared" si="16"/>
        <v>45231</v>
      </c>
      <c r="L46" s="1236">
        <f t="shared" si="16"/>
        <v>45200</v>
      </c>
      <c r="M46" s="1236">
        <f t="shared" si="16"/>
        <v>45170</v>
      </c>
      <c r="N46" s="1236">
        <f t="shared" si="16"/>
        <v>45139</v>
      </c>
      <c r="O46" s="1236">
        <f t="shared" si="16"/>
        <v>45108</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11" t="s">
        <v>945</v>
      </c>
      <c r="D4" s="3312"/>
      <c r="E4" s="3313" t="s">
        <v>946</v>
      </c>
      <c r="F4" s="3314"/>
      <c r="G4" s="3311" t="s">
        <v>947</v>
      </c>
      <c r="H4" s="3312"/>
      <c r="I4" s="3311" t="s">
        <v>948</v>
      </c>
      <c r="J4" s="3312"/>
      <c r="K4" s="1021" t="s">
        <v>949</v>
      </c>
      <c r="L4" s="1022"/>
      <c r="M4" s="972"/>
      <c r="N4" s="972"/>
      <c r="O4" s="972"/>
      <c r="P4" s="3337" t="s">
        <v>950</v>
      </c>
      <c r="Q4" s="3338"/>
      <c r="R4" s="3343" t="s">
        <v>946</v>
      </c>
      <c r="S4" s="3344"/>
      <c r="T4" s="3343" t="s">
        <v>947</v>
      </c>
      <c r="U4" s="3344"/>
      <c r="V4" s="3327" t="s">
        <v>948</v>
      </c>
      <c r="W4" s="3327"/>
      <c r="X4" s="1070"/>
      <c r="Y4" s="3343" t="s">
        <v>950</v>
      </c>
      <c r="Z4" s="3344"/>
      <c r="AA4" s="3332" t="s">
        <v>946</v>
      </c>
      <c r="AB4" s="3333" t="s">
        <v>947</v>
      </c>
      <c r="AC4" s="3332" t="s">
        <v>948</v>
      </c>
    </row>
    <row r="5" spans="1:29" ht="15">
      <c r="A5" s="879"/>
      <c r="B5" s="880"/>
      <c r="C5" s="3315" t="s">
        <v>951</v>
      </c>
      <c r="D5" s="3316"/>
      <c r="E5" s="3317" t="s">
        <v>1934</v>
      </c>
      <c r="F5" s="3318"/>
      <c r="G5" s="3315" t="s">
        <v>1935</v>
      </c>
      <c r="H5" s="3316"/>
      <c r="I5" s="3315" t="s">
        <v>1936</v>
      </c>
      <c r="J5" s="3316"/>
      <c r="K5" s="1021"/>
      <c r="L5" s="1022"/>
      <c r="M5" s="972"/>
      <c r="N5" s="972"/>
      <c r="O5" s="972"/>
      <c r="P5" s="3339"/>
      <c r="Q5" s="3340"/>
      <c r="R5" s="3345"/>
      <c r="S5" s="3346"/>
      <c r="T5" s="3345"/>
      <c r="U5" s="3346"/>
      <c r="V5" s="3327"/>
      <c r="W5" s="3327"/>
      <c r="X5" s="1070"/>
      <c r="Y5" s="3345"/>
      <c r="Z5" s="3346"/>
      <c r="AA5" s="3333"/>
      <c r="AB5" s="3333"/>
      <c r="AC5" s="3333"/>
    </row>
    <row r="6" spans="1:29" ht="15">
      <c r="A6" s="881"/>
      <c r="B6" s="882"/>
      <c r="C6" s="3424" t="s">
        <v>1976</v>
      </c>
      <c r="D6" s="3425"/>
      <c r="E6" s="3426" t="s">
        <v>1976</v>
      </c>
      <c r="F6" s="3427"/>
      <c r="G6" s="3424" t="s">
        <v>1976</v>
      </c>
      <c r="H6" s="3425"/>
      <c r="I6" s="3424" t="s">
        <v>1976</v>
      </c>
      <c r="J6" s="3425"/>
      <c r="K6" s="1021" t="s">
        <v>953</v>
      </c>
      <c r="L6" s="1022"/>
      <c r="M6" s="972"/>
      <c r="N6" s="972"/>
      <c r="O6" s="972"/>
      <c r="P6" s="3341"/>
      <c r="Q6" s="3342"/>
      <c r="R6" s="3345"/>
      <c r="S6" s="3346"/>
      <c r="T6" s="3347"/>
      <c r="U6" s="3348"/>
      <c r="V6" s="3327"/>
      <c r="W6" s="3327"/>
      <c r="X6" s="1070"/>
      <c r="Y6" s="3347"/>
      <c r="Z6" s="3348"/>
      <c r="AA6" s="3334"/>
      <c r="AB6" s="3334"/>
      <c r="AC6" s="3334"/>
    </row>
    <row r="7" spans="1:29" s="856" customFormat="1" ht="15">
      <c r="A7" s="884" t="s">
        <v>954</v>
      </c>
      <c r="B7" s="885"/>
      <c r="C7" s="886">
        <f>'数据-取费表'!B2</f>
        <v>45475</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23" t="s">
        <v>955</v>
      </c>
      <c r="Q7" s="3324"/>
      <c r="R7" s="1071" t="s">
        <v>956</v>
      </c>
      <c r="S7" s="1072">
        <f t="shared" ref="S7:S15" si="0">F7</f>
        <v>0</v>
      </c>
      <c r="T7" s="1071" t="s">
        <v>956</v>
      </c>
      <c r="U7" s="1072">
        <f t="shared" ref="U7:U15" si="1">H7</f>
        <v>0</v>
      </c>
      <c r="V7" s="1071" t="s">
        <v>956</v>
      </c>
      <c r="W7" s="1072">
        <f t="shared" ref="W7:W15" si="2">J7</f>
        <v>0</v>
      </c>
      <c r="X7" s="1073"/>
      <c r="Y7" s="3323" t="s">
        <v>955</v>
      </c>
      <c r="Z7" s="3325"/>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23" t="s">
        <v>959</v>
      </c>
      <c r="Q8" s="3325"/>
      <c r="R8" s="1071" t="s">
        <v>956</v>
      </c>
      <c r="S8" s="1072">
        <f t="shared" si="0"/>
        <v>0</v>
      </c>
      <c r="T8" s="1071" t="s">
        <v>956</v>
      </c>
      <c r="U8" s="1072">
        <f t="shared" si="1"/>
        <v>0</v>
      </c>
      <c r="V8" s="1071" t="s">
        <v>956</v>
      </c>
      <c r="W8" s="1072">
        <f t="shared" si="2"/>
        <v>0</v>
      </c>
      <c r="X8" s="1073"/>
      <c r="Y8" s="3323" t="s">
        <v>959</v>
      </c>
      <c r="Z8" s="3325"/>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26" t="s">
        <v>962</v>
      </c>
      <c r="Q9" s="796" t="str">
        <f t="shared" ref="Q9:Q15" si="6">B9</f>
        <v>用途</v>
      </c>
      <c r="R9" s="1071" t="s">
        <v>956</v>
      </c>
      <c r="S9" s="1072">
        <f t="shared" si="0"/>
        <v>100</v>
      </c>
      <c r="T9" s="1071" t="s">
        <v>956</v>
      </c>
      <c r="U9" s="1072">
        <f t="shared" si="1"/>
        <v>100</v>
      </c>
      <c r="V9" s="1071" t="s">
        <v>956</v>
      </c>
      <c r="W9" s="1072">
        <f t="shared" si="2"/>
        <v>100</v>
      </c>
      <c r="X9" s="1073"/>
      <c r="Y9" s="3302"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26"/>
      <c r="Q10" s="796" t="str">
        <f t="shared" si="6"/>
        <v>土地使用年限（年）</v>
      </c>
      <c r="R10" s="1071" t="s">
        <v>956</v>
      </c>
      <c r="S10" s="1072">
        <f t="shared" si="0"/>
        <v>103</v>
      </c>
      <c r="T10" s="1071" t="s">
        <v>956</v>
      </c>
      <c r="U10" s="1072">
        <f t="shared" si="1"/>
        <v>103</v>
      </c>
      <c r="V10" s="1071" t="s">
        <v>956</v>
      </c>
      <c r="W10" s="1072">
        <f t="shared" si="2"/>
        <v>103</v>
      </c>
      <c r="X10" s="1073"/>
      <c r="Y10" s="3302"/>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26"/>
      <c r="Q11" s="796" t="str">
        <f t="shared" si="6"/>
        <v>容积率</v>
      </c>
      <c r="R11" s="1071" t="s">
        <v>956</v>
      </c>
      <c r="S11" s="1072" t="e">
        <f t="shared" si="0"/>
        <v>#N/A</v>
      </c>
      <c r="T11" s="1071" t="s">
        <v>956</v>
      </c>
      <c r="U11" s="1072" t="e">
        <f t="shared" si="1"/>
        <v>#N/A</v>
      </c>
      <c r="V11" s="1071" t="s">
        <v>956</v>
      </c>
      <c r="W11" s="1072" t="e">
        <f t="shared" si="2"/>
        <v>#N/A</v>
      </c>
      <c r="X11" s="1073"/>
      <c r="Y11" s="3302"/>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26"/>
      <c r="Q12" s="796">
        <f t="shared" si="6"/>
        <v>111</v>
      </c>
      <c r="R12" s="1071" t="s">
        <v>956</v>
      </c>
      <c r="S12" s="1072">
        <f t="shared" si="0"/>
        <v>100</v>
      </c>
      <c r="T12" s="1071" t="s">
        <v>956</v>
      </c>
      <c r="U12" s="1072">
        <f t="shared" si="1"/>
        <v>100</v>
      </c>
      <c r="V12" s="1071" t="s">
        <v>956</v>
      </c>
      <c r="W12" s="1072">
        <f t="shared" si="2"/>
        <v>100</v>
      </c>
      <c r="X12" s="1073"/>
      <c r="Y12" s="3302"/>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26"/>
      <c r="Q13" s="796">
        <f t="shared" si="6"/>
        <v>111</v>
      </c>
      <c r="R13" s="1071" t="s">
        <v>956</v>
      </c>
      <c r="S13" s="1072">
        <f t="shared" si="0"/>
        <v>100</v>
      </c>
      <c r="T13" s="1071" t="s">
        <v>956</v>
      </c>
      <c r="U13" s="1072">
        <f t="shared" si="1"/>
        <v>100</v>
      </c>
      <c r="V13" s="1071" t="s">
        <v>956</v>
      </c>
      <c r="W13" s="1072">
        <f t="shared" si="2"/>
        <v>100</v>
      </c>
      <c r="X13" s="1073"/>
      <c r="Y13" s="3302"/>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26"/>
      <c r="Q14" s="796">
        <f t="shared" si="6"/>
        <v>111</v>
      </c>
      <c r="R14" s="1071" t="s">
        <v>956</v>
      </c>
      <c r="S14" s="1072">
        <f t="shared" si="0"/>
        <v>100</v>
      </c>
      <c r="T14" s="1071" t="s">
        <v>956</v>
      </c>
      <c r="U14" s="1072">
        <f t="shared" si="1"/>
        <v>100</v>
      </c>
      <c r="V14" s="1071" t="s">
        <v>956</v>
      </c>
      <c r="W14" s="1072">
        <f t="shared" si="2"/>
        <v>100</v>
      </c>
      <c r="X14" s="1073"/>
      <c r="Y14" s="3302"/>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28" t="s">
        <v>969</v>
      </c>
      <c r="Q15" s="642" t="str">
        <f t="shared" si="6"/>
        <v>产业集聚程度</v>
      </c>
      <c r="R15" s="1075" t="s">
        <v>956</v>
      </c>
      <c r="S15" s="1076">
        <f t="shared" si="0"/>
        <v>100</v>
      </c>
      <c r="T15" s="1075" t="s">
        <v>956</v>
      </c>
      <c r="U15" s="1076">
        <f t="shared" si="1"/>
        <v>100</v>
      </c>
      <c r="V15" s="1075" t="s">
        <v>956</v>
      </c>
      <c r="W15" s="1076">
        <f t="shared" si="2"/>
        <v>100</v>
      </c>
      <c r="X15" s="1070"/>
      <c r="Y15" s="3328"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29"/>
      <c r="Q16" s="642"/>
      <c r="R16" s="1075"/>
      <c r="S16" s="1076"/>
      <c r="T16" s="1075"/>
      <c r="U16" s="1076"/>
      <c r="V16" s="1075"/>
      <c r="W16" s="1076"/>
      <c r="X16" s="1070"/>
      <c r="Y16" s="3329"/>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29"/>
      <c r="Q17" s="642" t="str">
        <f>B17</f>
        <v>交通便捷度</v>
      </c>
      <c r="R17" s="1075" t="s">
        <v>956</v>
      </c>
      <c r="S17" s="1076">
        <f>F17</f>
        <v>100</v>
      </c>
      <c r="T17" s="1075" t="s">
        <v>956</v>
      </c>
      <c r="U17" s="1076">
        <f>H17</f>
        <v>100</v>
      </c>
      <c r="V17" s="1075" t="s">
        <v>956</v>
      </c>
      <c r="W17" s="1076">
        <f>J17</f>
        <v>100</v>
      </c>
      <c r="X17" s="1070"/>
      <c r="Y17" s="3329"/>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29"/>
      <c r="Q18" s="642"/>
      <c r="R18" s="1075"/>
      <c r="S18" s="1076"/>
      <c r="T18" s="1075"/>
      <c r="U18" s="1076"/>
      <c r="V18" s="1075"/>
      <c r="W18" s="1076"/>
      <c r="X18" s="1070"/>
      <c r="Y18" s="3329"/>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29"/>
      <c r="Q19" s="642" t="str">
        <f t="shared" ref="Q19:Q34" si="8">B19</f>
        <v>区域土地利用方向</v>
      </c>
      <c r="R19" s="1075" t="s">
        <v>956</v>
      </c>
      <c r="S19" s="1076">
        <f>F19</f>
        <v>100</v>
      </c>
      <c r="T19" s="1075" t="s">
        <v>956</v>
      </c>
      <c r="U19" s="1076">
        <f>H19</f>
        <v>100</v>
      </c>
      <c r="V19" s="1075" t="s">
        <v>956</v>
      </c>
      <c r="W19" s="1076">
        <f>J19</f>
        <v>100</v>
      </c>
      <c r="X19" s="1070"/>
      <c r="Y19" s="3329"/>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29"/>
      <c r="Q20" s="642"/>
      <c r="R20" s="1075"/>
      <c r="S20" s="1076"/>
      <c r="T20" s="1075"/>
      <c r="U20" s="1076"/>
      <c r="V20" s="1075"/>
      <c r="W20" s="1076"/>
      <c r="X20" s="1070"/>
      <c r="Y20" s="3329"/>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29"/>
      <c r="Q21" s="642" t="str">
        <f t="shared" si="8"/>
        <v>环境状况</v>
      </c>
      <c r="R21" s="1075" t="s">
        <v>956</v>
      </c>
      <c r="S21" s="1076">
        <f>F21</f>
        <v>100</v>
      </c>
      <c r="T21" s="1075" t="s">
        <v>956</v>
      </c>
      <c r="U21" s="1076">
        <f>H21</f>
        <v>100</v>
      </c>
      <c r="V21" s="1075" t="s">
        <v>956</v>
      </c>
      <c r="W21" s="1076">
        <f>J21</f>
        <v>100</v>
      </c>
      <c r="X21" s="1070"/>
      <c r="Y21" s="3329"/>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29"/>
      <c r="Q22" s="642"/>
      <c r="R22" s="1075"/>
      <c r="S22" s="1076"/>
      <c r="T22" s="1075"/>
      <c r="U22" s="1076"/>
      <c r="V22" s="1075"/>
      <c r="W22" s="1076"/>
      <c r="X22" s="1070"/>
      <c r="Y22" s="3329"/>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29"/>
      <c r="Q23" s="796" t="str">
        <f t="shared" si="8"/>
        <v>公共配套设施</v>
      </c>
      <c r="R23" s="1071" t="s">
        <v>956</v>
      </c>
      <c r="S23" s="1072">
        <f>F23</f>
        <v>100</v>
      </c>
      <c r="T23" s="1071" t="s">
        <v>956</v>
      </c>
      <c r="U23" s="1072">
        <f>H23</f>
        <v>100</v>
      </c>
      <c r="V23" s="1071" t="s">
        <v>956</v>
      </c>
      <c r="W23" s="1072">
        <f>J23</f>
        <v>100</v>
      </c>
      <c r="X23" s="1073"/>
      <c r="Y23" s="3329"/>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29"/>
      <c r="Q24" s="796"/>
      <c r="R24" s="1071"/>
      <c r="S24" s="1072"/>
      <c r="T24" s="1071"/>
      <c r="U24" s="1072"/>
      <c r="V24" s="1071"/>
      <c r="W24" s="1072"/>
      <c r="X24" s="1073"/>
      <c r="Y24" s="3329"/>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29"/>
      <c r="Q25" s="796" t="str">
        <f t="shared" ref="Q25" si="9">B25</f>
        <v>基础设施水平</v>
      </c>
      <c r="R25" s="1071" t="s">
        <v>956</v>
      </c>
      <c r="S25" s="1072">
        <f>F25</f>
        <v>100</v>
      </c>
      <c r="T25" s="1071" t="s">
        <v>956</v>
      </c>
      <c r="U25" s="1072">
        <f>H25</f>
        <v>100</v>
      </c>
      <c r="V25" s="1071" t="s">
        <v>956</v>
      </c>
      <c r="W25" s="1072">
        <f>J25</f>
        <v>100</v>
      </c>
      <c r="X25" s="1073"/>
      <c r="Y25" s="3329"/>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29"/>
      <c r="Q26" s="796"/>
      <c r="R26" s="1071"/>
      <c r="S26" s="1072"/>
      <c r="T26" s="1071"/>
      <c r="U26" s="1072"/>
      <c r="V26" s="1071"/>
      <c r="W26" s="1072"/>
      <c r="X26" s="1073"/>
      <c r="Y26" s="3329"/>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29"/>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29"/>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29"/>
      <c r="Q28" s="642" t="str">
        <f t="shared" si="8"/>
        <v>毗邻道路的类型与等级</v>
      </c>
      <c r="R28" s="1075" t="s">
        <v>956</v>
      </c>
      <c r="S28" s="1076">
        <f t="shared" si="10"/>
        <v>100</v>
      </c>
      <c r="T28" s="1075" t="s">
        <v>956</v>
      </c>
      <c r="U28" s="1076">
        <f t="shared" si="11"/>
        <v>100</v>
      </c>
      <c r="V28" s="1075" t="s">
        <v>956</v>
      </c>
      <c r="W28" s="1076">
        <f t="shared" si="12"/>
        <v>100</v>
      </c>
      <c r="X28" s="1070"/>
      <c r="Y28" s="3329"/>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29"/>
      <c r="Q29" s="642"/>
      <c r="R29" s="1075"/>
      <c r="S29" s="1076"/>
      <c r="T29" s="1075"/>
      <c r="U29" s="1076"/>
      <c r="V29" s="1075"/>
      <c r="W29" s="1076"/>
      <c r="X29" s="1070"/>
      <c r="Y29" s="3329"/>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29"/>
      <c r="Q30" s="642" t="str">
        <f t="shared" si="8"/>
        <v>土地级别</v>
      </c>
      <c r="R30" s="1075" t="s">
        <v>956</v>
      </c>
      <c r="S30" s="1076">
        <f t="shared" si="10"/>
        <v>100</v>
      </c>
      <c r="T30" s="1075" t="s">
        <v>956</v>
      </c>
      <c r="U30" s="1076">
        <f t="shared" si="11"/>
        <v>100</v>
      </c>
      <c r="V30" s="1075" t="s">
        <v>956</v>
      </c>
      <c r="W30" s="1076">
        <f t="shared" si="12"/>
        <v>100</v>
      </c>
      <c r="X30" s="1070"/>
      <c r="Y30" s="3329"/>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29"/>
      <c r="Q31" s="642">
        <f t="shared" si="8"/>
        <v>111</v>
      </c>
      <c r="R31" s="1075" t="s">
        <v>956</v>
      </c>
      <c r="S31" s="1076">
        <f t="shared" si="10"/>
        <v>100</v>
      </c>
      <c r="T31" s="1075" t="s">
        <v>956</v>
      </c>
      <c r="U31" s="1076">
        <f t="shared" si="11"/>
        <v>100</v>
      </c>
      <c r="V31" s="1075" t="s">
        <v>956</v>
      </c>
      <c r="W31" s="1076">
        <f t="shared" si="12"/>
        <v>100</v>
      </c>
      <c r="X31" s="1070"/>
      <c r="Y31" s="3329"/>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30" t="s">
        <v>982</v>
      </c>
      <c r="Q32" s="642">
        <f t="shared" si="8"/>
        <v>111</v>
      </c>
      <c r="R32" s="1075" t="s">
        <v>956</v>
      </c>
      <c r="S32" s="1076">
        <f t="shared" si="10"/>
        <v>100</v>
      </c>
      <c r="T32" s="1075" t="s">
        <v>956</v>
      </c>
      <c r="U32" s="1076">
        <f t="shared" si="11"/>
        <v>100</v>
      </c>
      <c r="V32" s="1075" t="s">
        <v>956</v>
      </c>
      <c r="W32" s="1076">
        <f t="shared" si="12"/>
        <v>100</v>
      </c>
      <c r="X32" s="1070"/>
      <c r="Y32" s="3331"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31"/>
      <c r="Q33" s="642">
        <f t="shared" si="8"/>
        <v>111</v>
      </c>
      <c r="R33" s="1077" t="s">
        <v>956</v>
      </c>
      <c r="S33" s="1078">
        <f t="shared" si="10"/>
        <v>100</v>
      </c>
      <c r="T33" s="1077" t="s">
        <v>956</v>
      </c>
      <c r="U33" s="1078">
        <f t="shared" si="11"/>
        <v>100</v>
      </c>
      <c r="V33" s="1077" t="s">
        <v>956</v>
      </c>
      <c r="W33" s="1078">
        <f t="shared" si="12"/>
        <v>100</v>
      </c>
      <c r="X33" s="1079"/>
      <c r="Y33" s="3331"/>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31"/>
      <c r="Q34" s="642" t="str">
        <f t="shared" si="8"/>
        <v>宗地面积</v>
      </c>
      <c r="R34" s="1075" t="s">
        <v>956</v>
      </c>
      <c r="S34" s="1076" t="e">
        <f t="shared" si="10"/>
        <v>#N/A</v>
      </c>
      <c r="T34" s="1075" t="s">
        <v>956</v>
      </c>
      <c r="U34" s="1076" t="e">
        <f t="shared" si="11"/>
        <v>#N/A</v>
      </c>
      <c r="V34" s="1075" t="s">
        <v>956</v>
      </c>
      <c r="W34" s="1076" t="e">
        <f t="shared" si="12"/>
        <v>#N/A</v>
      </c>
      <c r="X34" s="1070"/>
      <c r="Y34" s="3331"/>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31"/>
      <c r="Q35" s="642" t="str">
        <f t="shared" ref="Q35:Q40" si="14">B35</f>
        <v>宗地形状</v>
      </c>
      <c r="R35" s="1075" t="s">
        <v>956</v>
      </c>
      <c r="S35" s="1076">
        <f t="shared" si="10"/>
        <v>100</v>
      </c>
      <c r="T35" s="1075" t="s">
        <v>956</v>
      </c>
      <c r="U35" s="1076">
        <f t="shared" si="11"/>
        <v>100</v>
      </c>
      <c r="V35" s="1075" t="s">
        <v>956</v>
      </c>
      <c r="W35" s="1076">
        <f t="shared" si="12"/>
        <v>100</v>
      </c>
      <c r="X35" s="1070"/>
      <c r="Y35" s="3331"/>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31"/>
      <c r="Q36" s="642" t="str">
        <f t="shared" si="14"/>
        <v>宗地开发程度</v>
      </c>
      <c r="R36" s="1071" t="s">
        <v>956</v>
      </c>
      <c r="S36" s="1072">
        <f t="shared" si="10"/>
        <v>100</v>
      </c>
      <c r="T36" s="1071" t="s">
        <v>956</v>
      </c>
      <c r="U36" s="1072">
        <f t="shared" si="11"/>
        <v>100</v>
      </c>
      <c r="V36" s="1071" t="s">
        <v>956</v>
      </c>
      <c r="W36" s="1072">
        <f t="shared" si="12"/>
        <v>100</v>
      </c>
      <c r="X36" s="1073"/>
      <c r="Y36" s="3331"/>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31" t="s">
        <v>982</v>
      </c>
      <c r="Q37" s="642" t="str">
        <f t="shared" si="14"/>
        <v>工程地质条件</v>
      </c>
      <c r="R37" s="1075" t="s">
        <v>956</v>
      </c>
      <c r="S37" s="1076">
        <f t="shared" si="10"/>
        <v>100</v>
      </c>
      <c r="T37" s="1075" t="s">
        <v>956</v>
      </c>
      <c r="U37" s="1076">
        <f t="shared" si="11"/>
        <v>100</v>
      </c>
      <c r="V37" s="1075" t="s">
        <v>956</v>
      </c>
      <c r="W37" s="1076">
        <f t="shared" si="12"/>
        <v>100</v>
      </c>
      <c r="X37" s="1070"/>
      <c r="Y37" s="3331"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31"/>
      <c r="Q38" s="642">
        <f t="shared" si="14"/>
        <v>111</v>
      </c>
      <c r="R38" s="1075" t="s">
        <v>956</v>
      </c>
      <c r="S38" s="1076">
        <f t="shared" si="10"/>
        <v>100</v>
      </c>
      <c r="T38" s="1075" t="s">
        <v>956</v>
      </c>
      <c r="U38" s="1076">
        <f t="shared" si="11"/>
        <v>100</v>
      </c>
      <c r="V38" s="1075" t="s">
        <v>956</v>
      </c>
      <c r="W38" s="1076">
        <f t="shared" si="12"/>
        <v>100</v>
      </c>
      <c r="X38" s="1070"/>
      <c r="Y38" s="3331"/>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31"/>
      <c r="Q39" s="642">
        <f t="shared" si="14"/>
        <v>111</v>
      </c>
      <c r="R39" s="1075" t="s">
        <v>956</v>
      </c>
      <c r="S39" s="1076">
        <f t="shared" si="10"/>
        <v>100</v>
      </c>
      <c r="T39" s="1075" t="s">
        <v>956</v>
      </c>
      <c r="U39" s="1076">
        <f t="shared" si="11"/>
        <v>100</v>
      </c>
      <c r="V39" s="1075" t="s">
        <v>956</v>
      </c>
      <c r="W39" s="1076">
        <f t="shared" si="12"/>
        <v>100</v>
      </c>
      <c r="X39" s="1070"/>
      <c r="Y39" s="3331"/>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31"/>
      <c r="Q40" s="642">
        <f t="shared" si="14"/>
        <v>111</v>
      </c>
      <c r="R40" s="1077" t="s">
        <v>956</v>
      </c>
      <c r="S40" s="1078">
        <f t="shared" si="10"/>
        <v>100</v>
      </c>
      <c r="T40" s="1077" t="s">
        <v>956</v>
      </c>
      <c r="U40" s="1078">
        <f t="shared" si="11"/>
        <v>100</v>
      </c>
      <c r="V40" s="1077" t="s">
        <v>956</v>
      </c>
      <c r="W40" s="1078">
        <f t="shared" si="12"/>
        <v>100</v>
      </c>
      <c r="X40" s="1079"/>
      <c r="Y40" s="3331"/>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26" t="str">
        <f>A41</f>
        <v>成交单价</v>
      </c>
      <c r="Q41" s="3326"/>
      <c r="R41" s="3327">
        <f>E41</f>
        <v>0</v>
      </c>
      <c r="S41" s="3327"/>
      <c r="T41" s="3327">
        <f>G41</f>
        <v>0</v>
      </c>
      <c r="U41" s="3327"/>
      <c r="V41" s="3327">
        <f>I41</f>
        <v>0</v>
      </c>
      <c r="W41" s="3327"/>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26" t="str">
        <f>A42</f>
        <v>比较价值（元/平方米）</v>
      </c>
      <c r="Q42" s="3326"/>
      <c r="R42" s="3349" t="e">
        <f>ROUND(PRODUCT(R41,AA7:AA40),0)</f>
        <v>#DIV/0!</v>
      </c>
      <c r="S42" s="3349"/>
      <c r="T42" s="3349" t="e">
        <f>ROUND(PRODUCT(T41,AB7:AB40),0)</f>
        <v>#DIV/0!</v>
      </c>
      <c r="U42" s="3349"/>
      <c r="V42" s="3349" t="e">
        <f>ROUND(PRODUCT(V41,AC7:AC40),0)</f>
        <v>#DIV/0!</v>
      </c>
      <c r="W42" s="3349"/>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50" t="str">
        <f>A43</f>
        <v>估价对象XX用房的比较价值（楼面单价，元/平方米）</v>
      </c>
      <c r="Q43" s="3351"/>
      <c r="R43" s="3352" t="e">
        <f>ROUND(IF(D42="简单平均",AVERAGE(R42:W42),R42*F42+T42*H42+V42*J42),0)</f>
        <v>#DIV/0!</v>
      </c>
      <c r="S43" s="3352"/>
      <c r="T43" s="3352"/>
      <c r="U43" s="3352"/>
      <c r="V43" s="3352"/>
      <c r="W43" s="3352"/>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11" t="s">
        <v>1005</v>
      </c>
      <c r="H50" s="3335"/>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36"/>
      <c r="H51" s="3326"/>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2024-7-1</v>
      </c>
      <c r="D63" s="1010">
        <f>EDATE(C63,-3)</f>
        <v>45383</v>
      </c>
      <c r="E63" s="1010">
        <f>EDATE(D63,-3)</f>
        <v>45292</v>
      </c>
      <c r="F63" s="1010">
        <f t="shared" ref="F63:O63" si="18">EDATE(E63,-3)</f>
        <v>45200</v>
      </c>
      <c r="G63" s="1010">
        <f t="shared" si="18"/>
        <v>45108</v>
      </c>
      <c r="H63" s="1010">
        <f t="shared" si="18"/>
        <v>45017</v>
      </c>
      <c r="I63" s="1010">
        <f t="shared" si="18"/>
        <v>44927</v>
      </c>
      <c r="J63" s="1010">
        <f t="shared" si="18"/>
        <v>44835</v>
      </c>
      <c r="K63" s="1010">
        <f t="shared" si="18"/>
        <v>44743</v>
      </c>
      <c r="L63" s="1010">
        <f t="shared" si="18"/>
        <v>44652</v>
      </c>
      <c r="M63" s="1010">
        <f t="shared" si="18"/>
        <v>44562</v>
      </c>
      <c r="N63" s="1010">
        <f t="shared" si="18"/>
        <v>44470</v>
      </c>
      <c r="O63" s="1010">
        <f t="shared" si="18"/>
        <v>44378</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2024-3</v>
      </c>
      <c r="D65" s="1088" t="str">
        <f t="shared" ref="D65:O65" si="19">YEAR(D63)&amp;"-"&amp;ROUNDUP(MONTH(D63)/3,0)</f>
        <v>2024-2</v>
      </c>
      <c r="E65" s="1088" t="str">
        <f t="shared" si="19"/>
        <v>2024-1</v>
      </c>
      <c r="F65" s="1088" t="str">
        <f t="shared" si="19"/>
        <v>2023-4</v>
      </c>
      <c r="G65" s="1088" t="str">
        <f t="shared" si="19"/>
        <v>2023-3</v>
      </c>
      <c r="H65" s="1088" t="str">
        <f t="shared" si="19"/>
        <v>2023-2</v>
      </c>
      <c r="I65" s="1088" t="str">
        <f t="shared" si="19"/>
        <v>2023-1</v>
      </c>
      <c r="J65" s="1088" t="str">
        <f t="shared" si="19"/>
        <v>2022-4</v>
      </c>
      <c r="K65" s="1088" t="str">
        <f t="shared" si="19"/>
        <v>2022-3</v>
      </c>
      <c r="L65" s="1088" t="str">
        <f t="shared" si="19"/>
        <v>2022-2</v>
      </c>
      <c r="M65" s="1088" t="str">
        <f t="shared" si="19"/>
        <v>2022-1</v>
      </c>
      <c r="N65" s="1088" t="str">
        <f t="shared" si="19"/>
        <v>2021-4</v>
      </c>
      <c r="O65" s="1088" t="str">
        <f t="shared" si="19"/>
        <v>2021-3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28"/>
      <c r="B4" s="3429"/>
      <c r="C4" s="3429"/>
      <c r="D4" s="3430"/>
      <c r="E4" s="3430"/>
      <c r="F4" s="3430"/>
      <c r="G4" s="3430"/>
      <c r="H4" s="3430"/>
      <c r="I4" s="3430"/>
      <c r="J4" s="3431"/>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9"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40"/>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32" t="s">
        <v>2012</v>
      </c>
      <c r="X8" s="3433"/>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40"/>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7"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40"/>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7"/>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40"/>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7"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39"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7"/>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41"/>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37"/>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41"/>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42"/>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9" t="s">
        <v>1866</v>
      </c>
      <c r="B16" s="579" t="s">
        <v>2052</v>
      </c>
      <c r="C16" s="610" t="e">
        <f>ROUND(IF(F17="与级别开发程度一致",0,(G17-E17)/C17),0)</f>
        <v>#DIV/0!</v>
      </c>
      <c r="D16" s="3434" t="s">
        <v>2053</v>
      </c>
      <c r="E16" s="3435"/>
      <c r="F16" s="3434" t="s">
        <v>2054</v>
      </c>
      <c r="G16" s="3435"/>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43"/>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45475</v>
      </c>
      <c r="H19" s="629"/>
      <c r="I19" s="750" t="str">
        <f>IF(H19="季度增幅（自定义）",SUMIF(N21:N24,E2,O21:O24),"")</f>
        <v/>
      </c>
      <c r="J19" s="751"/>
      <c r="K19" s="747"/>
      <c r="L19" s="752" t="s">
        <v>2060</v>
      </c>
      <c r="M19" s="753">
        <f>ROUND(SUMIF(地价!B2:F2,E2,地价!B37:F37),0)</f>
        <v>0</v>
      </c>
      <c r="N19" s="754" t="s">
        <v>2061</v>
      </c>
      <c r="O19" s="755">
        <f>ROUNDDOWN(DATEDIF(E19,G19,"M")/3,0)</f>
        <v>42</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44"/>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53"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45"/>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45"/>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45"/>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45"/>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46"/>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46"/>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36" t="s">
        <v>2146</v>
      </c>
      <c r="B90" s="3436"/>
      <c r="C90" s="3436"/>
      <c r="D90" s="3436"/>
      <c r="E90" s="3436"/>
      <c r="F90" s="3436"/>
      <c r="G90" s="3436"/>
      <c r="H90" s="3436"/>
      <c r="I90" s="3436"/>
      <c r="J90" s="3436"/>
      <c r="K90" s="831"/>
      <c r="L90" s="831"/>
      <c r="M90" s="831"/>
      <c r="N90" s="831"/>
    </row>
    <row r="91" spans="1:37">
      <c r="A91" s="3447" t="s">
        <v>2147</v>
      </c>
      <c r="B91" s="3447" t="s">
        <v>2148</v>
      </c>
      <c r="C91" s="672" t="s">
        <v>2149</v>
      </c>
      <c r="D91" s="673"/>
      <c r="E91" s="673"/>
      <c r="F91" s="673"/>
      <c r="G91" s="673"/>
      <c r="H91" s="673"/>
      <c r="I91" s="673"/>
      <c r="J91" s="849"/>
      <c r="K91" s="850"/>
      <c r="L91" s="850"/>
      <c r="M91" s="850"/>
      <c r="N91" s="850"/>
    </row>
    <row r="92" spans="1:37">
      <c r="A92" s="3447"/>
      <c r="B92" s="3447"/>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48"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9"/>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9"/>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9"/>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9"/>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9"/>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9"/>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50"/>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8"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49"/>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49"/>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49"/>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49"/>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49"/>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49"/>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49"/>
      <c r="B108" s="3451"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50"/>
      <c r="B109" s="3452"/>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38" t="s">
        <v>2153</v>
      </c>
      <c r="B110" s="3438"/>
      <c r="C110" s="3438"/>
      <c r="D110" s="3438"/>
      <c r="E110" s="3438"/>
      <c r="F110" s="3438"/>
      <c r="G110" s="3438"/>
      <c r="H110" s="3438"/>
      <c r="I110" s="3438"/>
      <c r="J110" s="3438"/>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54" t="s">
        <v>466</v>
      </c>
      <c r="B20" s="3460" t="s">
        <v>2181</v>
      </c>
      <c r="C20" s="513" t="s">
        <v>2182</v>
      </c>
      <c r="D20" s="514"/>
      <c r="E20" s="515">
        <v>1</v>
      </c>
      <c r="F20" s="516" t="s">
        <v>2183</v>
      </c>
      <c r="G20" s="517"/>
    </row>
    <row r="21" spans="1:13" ht="19.5" customHeight="1">
      <c r="A21" s="3455"/>
      <c r="B21" s="3461"/>
      <c r="C21" s="518" t="s">
        <v>2184</v>
      </c>
      <c r="D21" s="519"/>
      <c r="E21" s="520">
        <v>1</v>
      </c>
      <c r="F21" s="516" t="s">
        <v>2185</v>
      </c>
      <c r="G21" s="517"/>
    </row>
    <row r="22" spans="1:13" ht="19.5" customHeight="1">
      <c r="A22" s="3455"/>
      <c r="B22" s="3461"/>
      <c r="C22" s="518" t="s">
        <v>2186</v>
      </c>
      <c r="D22" s="519"/>
      <c r="E22" s="520">
        <v>0.9</v>
      </c>
      <c r="F22" s="516" t="s">
        <v>2187</v>
      </c>
      <c r="G22" s="517"/>
    </row>
    <row r="23" spans="1:13" ht="19.5" customHeight="1">
      <c r="A23" s="3455"/>
      <c r="B23" s="3461"/>
      <c r="C23" s="518" t="s">
        <v>2188</v>
      </c>
      <c r="D23" s="519"/>
      <c r="E23" s="520">
        <v>0.9</v>
      </c>
      <c r="F23" s="516" t="s">
        <v>2189</v>
      </c>
      <c r="G23" s="517"/>
    </row>
    <row r="24" spans="1:13" ht="19.5" customHeight="1">
      <c r="A24" s="3455"/>
      <c r="B24" s="3461"/>
      <c r="C24" s="518" t="s">
        <v>2190</v>
      </c>
      <c r="D24" s="519"/>
      <c r="E24" s="520">
        <v>0.8</v>
      </c>
      <c r="F24" s="516" t="s">
        <v>2191</v>
      </c>
      <c r="G24" s="517"/>
    </row>
    <row r="25" spans="1:13" ht="19.5" customHeight="1">
      <c r="A25" s="3456"/>
      <c r="B25" s="3462"/>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57" t="s">
        <v>2171</v>
      </c>
      <c r="B27" s="3460" t="s">
        <v>2171</v>
      </c>
      <c r="C27" s="513" t="s">
        <v>2196</v>
      </c>
      <c r="D27" s="514"/>
      <c r="E27" s="515">
        <v>1</v>
      </c>
      <c r="F27" s="516" t="s">
        <v>2197</v>
      </c>
      <c r="G27" s="517"/>
    </row>
    <row r="28" spans="1:13" ht="19.5" customHeight="1">
      <c r="A28" s="3458"/>
      <c r="B28" s="3461"/>
      <c r="C28" s="518" t="s">
        <v>2198</v>
      </c>
      <c r="D28" s="519"/>
      <c r="E28" s="520">
        <v>1</v>
      </c>
      <c r="F28" s="516" t="s">
        <v>2199</v>
      </c>
      <c r="G28" s="517"/>
    </row>
    <row r="29" spans="1:13" ht="19.5" customHeight="1">
      <c r="A29" s="3458"/>
      <c r="B29" s="3461"/>
      <c r="C29" s="518" t="s">
        <v>2200</v>
      </c>
      <c r="D29" s="519"/>
      <c r="E29" s="520">
        <v>0.8</v>
      </c>
      <c r="F29" s="516" t="s">
        <v>2201</v>
      </c>
      <c r="G29" s="517"/>
    </row>
    <row r="30" spans="1:13" ht="19.5" customHeight="1">
      <c r="A30" s="3458"/>
      <c r="B30" s="3461"/>
      <c r="C30" s="518" t="s">
        <v>2202</v>
      </c>
      <c r="D30" s="519"/>
      <c r="E30" s="520">
        <v>0.8</v>
      </c>
      <c r="F30" s="516" t="s">
        <v>2203</v>
      </c>
      <c r="G30" s="517"/>
    </row>
    <row r="31" spans="1:13" ht="19.5" customHeight="1">
      <c r="A31" s="3458"/>
      <c r="B31" s="3461"/>
      <c r="C31" s="518" t="s">
        <v>2204</v>
      </c>
      <c r="D31" s="519"/>
      <c r="E31" s="520">
        <v>0.8</v>
      </c>
      <c r="F31" s="516" t="s">
        <v>2205</v>
      </c>
      <c r="G31" s="517"/>
    </row>
    <row r="32" spans="1:13" ht="19.5" customHeight="1">
      <c r="A32" s="3458"/>
      <c r="B32" s="3461"/>
      <c r="C32" s="518" t="s">
        <v>2206</v>
      </c>
      <c r="D32" s="519"/>
      <c r="E32" s="520">
        <v>0.7</v>
      </c>
      <c r="F32" s="516" t="s">
        <v>2207</v>
      </c>
      <c r="G32" s="517"/>
    </row>
    <row r="33" spans="1:7" ht="19.5" customHeight="1">
      <c r="A33" s="3458"/>
      <c r="B33" s="3461"/>
      <c r="C33" s="518" t="s">
        <v>2208</v>
      </c>
      <c r="D33" s="519"/>
      <c r="E33" s="520">
        <v>0.8</v>
      </c>
      <c r="F33" s="516" t="s">
        <v>2209</v>
      </c>
      <c r="G33" s="517"/>
    </row>
    <row r="34" spans="1:7" ht="19.5" customHeight="1">
      <c r="A34" s="3458"/>
      <c r="B34" s="3461"/>
      <c r="C34" s="518" t="s">
        <v>2210</v>
      </c>
      <c r="D34" s="519"/>
      <c r="E34" s="520">
        <v>0.6</v>
      </c>
      <c r="F34" s="516" t="s">
        <v>2211</v>
      </c>
      <c r="G34" s="517"/>
    </row>
    <row r="35" spans="1:7" ht="19.5" customHeight="1">
      <c r="A35" s="3458"/>
      <c r="B35" s="3461"/>
      <c r="C35" s="518" t="s">
        <v>2212</v>
      </c>
      <c r="D35" s="519"/>
      <c r="E35" s="520">
        <v>0.2</v>
      </c>
      <c r="F35" s="516" t="s">
        <v>2213</v>
      </c>
      <c r="G35" s="517"/>
    </row>
    <row r="36" spans="1:7" ht="19.5" customHeight="1">
      <c r="A36" s="3458"/>
      <c r="B36" s="3461"/>
      <c r="C36" s="518" t="s">
        <v>2214</v>
      </c>
      <c r="D36" s="519"/>
      <c r="E36" s="520">
        <v>0.2</v>
      </c>
      <c r="F36" s="516" t="s">
        <v>2215</v>
      </c>
      <c r="G36" s="517"/>
    </row>
    <row r="37" spans="1:7" ht="19.5" customHeight="1">
      <c r="A37" s="3458"/>
      <c r="B37" s="3463" t="s">
        <v>2216</v>
      </c>
      <c r="C37" s="518" t="s">
        <v>2217</v>
      </c>
      <c r="D37" s="519"/>
      <c r="E37" s="520">
        <v>0.6</v>
      </c>
      <c r="F37" s="516" t="s">
        <v>2218</v>
      </c>
      <c r="G37" s="517"/>
    </row>
    <row r="38" spans="1:7" ht="19.5" customHeight="1">
      <c r="A38" s="3458"/>
      <c r="B38" s="3461"/>
      <c r="C38" s="518" t="s">
        <v>2219</v>
      </c>
      <c r="D38" s="519"/>
      <c r="E38" s="520">
        <v>0.6</v>
      </c>
      <c r="F38" s="516" t="s">
        <v>2220</v>
      </c>
      <c r="G38" s="517"/>
    </row>
    <row r="39" spans="1:7" ht="19.5" customHeight="1">
      <c r="A39" s="3459"/>
      <c r="B39" s="3462"/>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54" t="s">
        <v>2169</v>
      </c>
      <c r="B41" s="3460" t="s">
        <v>2225</v>
      </c>
      <c r="C41" s="513" t="s">
        <v>2226</v>
      </c>
      <c r="D41" s="514"/>
      <c r="E41" s="515">
        <v>1</v>
      </c>
      <c r="F41" s="516" t="s">
        <v>2227</v>
      </c>
      <c r="G41" s="517"/>
    </row>
    <row r="42" spans="1:7" ht="19.5" customHeight="1">
      <c r="A42" s="3455"/>
      <c r="B42" s="3461"/>
      <c r="C42" s="518" t="s">
        <v>2228</v>
      </c>
      <c r="D42" s="519"/>
      <c r="E42" s="520">
        <v>1</v>
      </c>
      <c r="F42" s="516" t="s">
        <v>2229</v>
      </c>
      <c r="G42" s="517"/>
    </row>
    <row r="43" spans="1:7" ht="19.5" customHeight="1">
      <c r="A43" s="3455"/>
      <c r="B43" s="3464"/>
      <c r="C43" s="518" t="s">
        <v>2230</v>
      </c>
      <c r="D43" s="519"/>
      <c r="E43" s="520">
        <v>1.5</v>
      </c>
      <c r="F43" s="516" t="s">
        <v>2231</v>
      </c>
      <c r="G43" s="517"/>
    </row>
    <row r="44" spans="1:7" ht="19.5" customHeight="1">
      <c r="A44" s="3455"/>
      <c r="B44" s="529" t="s">
        <v>2171</v>
      </c>
      <c r="C44" s="518" t="s">
        <v>2170</v>
      </c>
      <c r="D44" s="519"/>
      <c r="E44" s="520">
        <v>2</v>
      </c>
      <c r="F44" s="516" t="s">
        <v>2232</v>
      </c>
      <c r="G44" s="517"/>
    </row>
    <row r="45" spans="1:7" ht="19.5" customHeight="1">
      <c r="A45" s="3455"/>
      <c r="B45" s="3463" t="s">
        <v>2233</v>
      </c>
      <c r="C45" s="518" t="s">
        <v>2234</v>
      </c>
      <c r="D45" s="519"/>
      <c r="E45" s="520">
        <v>1</v>
      </c>
      <c r="F45" s="516" t="s">
        <v>2235</v>
      </c>
      <c r="G45" s="517"/>
    </row>
    <row r="46" spans="1:7" ht="19.5" customHeight="1">
      <c r="A46" s="3455"/>
      <c r="B46" s="3461"/>
      <c r="C46" s="518" t="s">
        <v>2236</v>
      </c>
      <c r="D46" s="519"/>
      <c r="E46" s="520">
        <v>1</v>
      </c>
      <c r="F46" s="516" t="s">
        <v>2237</v>
      </c>
      <c r="G46" s="517"/>
    </row>
    <row r="47" spans="1:7" ht="19.5" customHeight="1">
      <c r="A47" s="3455"/>
      <c r="B47" s="3461"/>
      <c r="C47" s="518" t="s">
        <v>2238</v>
      </c>
      <c r="D47" s="519"/>
      <c r="E47" s="520">
        <v>1</v>
      </c>
      <c r="F47" s="516" t="s">
        <v>2239</v>
      </c>
      <c r="G47" s="517"/>
    </row>
    <row r="48" spans="1:7" ht="19.5" customHeight="1">
      <c r="A48" s="3455"/>
      <c r="B48" s="3461"/>
      <c r="C48" s="518" t="s">
        <v>2240</v>
      </c>
      <c r="D48" s="519"/>
      <c r="E48" s="520">
        <v>1</v>
      </c>
      <c r="F48" s="516" t="s">
        <v>2241</v>
      </c>
      <c r="G48" s="517"/>
    </row>
    <row r="49" spans="1:9" ht="19.5" customHeight="1">
      <c r="A49" s="3455"/>
      <c r="B49" s="3461"/>
      <c r="C49" s="518" t="s">
        <v>2242</v>
      </c>
      <c r="D49" s="519"/>
      <c r="E49" s="520">
        <v>1</v>
      </c>
      <c r="F49" s="516" t="s">
        <v>2243</v>
      </c>
      <c r="G49" s="517"/>
    </row>
    <row r="50" spans="1:9" ht="19.5" customHeight="1">
      <c r="A50" s="3455"/>
      <c r="B50" s="3461"/>
      <c r="C50" s="518" t="s">
        <v>2244</v>
      </c>
      <c r="D50" s="519"/>
      <c r="E50" s="520">
        <v>1</v>
      </c>
      <c r="F50" s="516" t="s">
        <v>2245</v>
      </c>
      <c r="G50" s="517"/>
    </row>
    <row r="51" spans="1:9" ht="19.5" customHeight="1">
      <c r="A51" s="3456"/>
      <c r="B51" s="3462"/>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63" t="s">
        <v>2256</v>
      </c>
      <c r="C73" s="502" t="s">
        <v>2257</v>
      </c>
      <c r="D73" s="502" t="s">
        <v>2258</v>
      </c>
      <c r="E73" s="549">
        <v>0.2</v>
      </c>
      <c r="F73" s="529">
        <v>25</v>
      </c>
    </row>
    <row r="74" spans="1:7" s="486" customFormat="1" ht="24">
      <c r="A74" s="529">
        <v>2</v>
      </c>
      <c r="B74" s="3461"/>
      <c r="C74" s="502" t="s">
        <v>2259</v>
      </c>
      <c r="D74" s="502" t="s">
        <v>2260</v>
      </c>
      <c r="E74" s="549">
        <v>0.2</v>
      </c>
      <c r="F74" s="529">
        <v>25</v>
      </c>
    </row>
    <row r="75" spans="1:7" s="486" customFormat="1" ht="24">
      <c r="A75" s="529">
        <v>3</v>
      </c>
      <c r="B75" s="3461"/>
      <c r="C75" s="502" t="s">
        <v>2261</v>
      </c>
      <c r="D75" s="502" t="s">
        <v>2262</v>
      </c>
      <c r="E75" s="549">
        <v>0.2</v>
      </c>
      <c r="F75" s="529">
        <v>25</v>
      </c>
    </row>
    <row r="76" spans="1:7" s="486" customFormat="1" ht="13.5">
      <c r="A76" s="529">
        <v>4</v>
      </c>
      <c r="B76" s="3461"/>
      <c r="C76" s="502" t="s">
        <v>2263</v>
      </c>
      <c r="D76" s="502" t="s">
        <v>2264</v>
      </c>
      <c r="E76" s="549">
        <v>0.15</v>
      </c>
      <c r="F76" s="529">
        <v>20</v>
      </c>
    </row>
    <row r="77" spans="1:7" s="486" customFormat="1" ht="24">
      <c r="A77" s="529">
        <v>5</v>
      </c>
      <c r="B77" s="3461"/>
      <c r="C77" s="502" t="s">
        <v>2265</v>
      </c>
      <c r="D77" s="502" t="s">
        <v>2266</v>
      </c>
      <c r="E77" s="549">
        <v>0.15</v>
      </c>
      <c r="F77" s="529">
        <v>20</v>
      </c>
    </row>
    <row r="78" spans="1:7" s="486" customFormat="1" ht="24">
      <c r="A78" s="529">
        <v>6</v>
      </c>
      <c r="B78" s="3461"/>
      <c r="C78" s="502" t="s">
        <v>2267</v>
      </c>
      <c r="D78" s="502" t="s">
        <v>2268</v>
      </c>
      <c r="E78" s="549">
        <v>0.15</v>
      </c>
      <c r="F78" s="529">
        <v>20</v>
      </c>
    </row>
    <row r="79" spans="1:7" s="486" customFormat="1" ht="24">
      <c r="A79" s="529">
        <v>7</v>
      </c>
      <c r="B79" s="3461"/>
      <c r="C79" s="502" t="s">
        <v>2269</v>
      </c>
      <c r="D79" s="502" t="s">
        <v>2270</v>
      </c>
      <c r="E79" s="549">
        <v>0.15</v>
      </c>
      <c r="F79" s="529">
        <v>20</v>
      </c>
    </row>
    <row r="80" spans="1:7" s="486" customFormat="1" ht="24">
      <c r="A80" s="529">
        <v>8</v>
      </c>
      <c r="B80" s="3461"/>
      <c r="C80" s="502" t="s">
        <v>2271</v>
      </c>
      <c r="D80" s="502" t="s">
        <v>2272</v>
      </c>
      <c r="E80" s="549">
        <v>0.1</v>
      </c>
      <c r="F80" s="529">
        <v>15</v>
      </c>
    </row>
    <row r="81" spans="1:6" s="486" customFormat="1" ht="24">
      <c r="A81" s="529">
        <v>9</v>
      </c>
      <c r="B81" s="3461"/>
      <c r="C81" s="502" t="s">
        <v>2273</v>
      </c>
      <c r="D81" s="502" t="s">
        <v>2274</v>
      </c>
      <c r="E81" s="549">
        <v>0.1</v>
      </c>
      <c r="F81" s="529">
        <v>15</v>
      </c>
    </row>
    <row r="82" spans="1:6" s="486" customFormat="1" ht="24">
      <c r="A82" s="529">
        <v>10</v>
      </c>
      <c r="B82" s="3461"/>
      <c r="C82" s="502" t="s">
        <v>2275</v>
      </c>
      <c r="D82" s="502" t="s">
        <v>2276</v>
      </c>
      <c r="E82" s="549">
        <v>0.1</v>
      </c>
      <c r="F82" s="529">
        <v>15</v>
      </c>
    </row>
    <row r="83" spans="1:6" s="486" customFormat="1" ht="24">
      <c r="A83" s="529">
        <v>11</v>
      </c>
      <c r="B83" s="3461"/>
      <c r="C83" s="502" t="s">
        <v>2277</v>
      </c>
      <c r="D83" s="502" t="s">
        <v>2278</v>
      </c>
      <c r="E83" s="549">
        <v>0.1</v>
      </c>
      <c r="F83" s="529">
        <v>15</v>
      </c>
    </row>
    <row r="84" spans="1:6" s="486" customFormat="1" ht="24">
      <c r="A84" s="529">
        <v>12</v>
      </c>
      <c r="B84" s="3461"/>
      <c r="C84" s="502" t="s">
        <v>2279</v>
      </c>
      <c r="D84" s="502" t="s">
        <v>2280</v>
      </c>
      <c r="E84" s="549">
        <v>0.1</v>
      </c>
      <c r="F84" s="529">
        <v>15</v>
      </c>
    </row>
    <row r="85" spans="1:6" s="486" customFormat="1" ht="13.5">
      <c r="A85" s="529">
        <v>13</v>
      </c>
      <c r="B85" s="3461"/>
      <c r="C85" s="502" t="s">
        <v>2281</v>
      </c>
      <c r="D85" s="502" t="s">
        <v>2282</v>
      </c>
      <c r="E85" s="549">
        <v>0.1</v>
      </c>
      <c r="F85" s="529">
        <v>15</v>
      </c>
    </row>
    <row r="86" spans="1:6" s="486" customFormat="1" ht="13.5">
      <c r="A86" s="529">
        <v>14</v>
      </c>
      <c r="B86" s="3461"/>
      <c r="C86" s="502" t="s">
        <v>2283</v>
      </c>
      <c r="D86" s="502" t="s">
        <v>2284</v>
      </c>
      <c r="E86" s="549">
        <v>0.1</v>
      </c>
      <c r="F86" s="529">
        <v>15</v>
      </c>
    </row>
    <row r="87" spans="1:6" s="486" customFormat="1" ht="13.5">
      <c r="A87" s="529">
        <v>15</v>
      </c>
      <c r="B87" s="3461"/>
      <c r="C87" s="502" t="s">
        <v>2285</v>
      </c>
      <c r="D87" s="502" t="s">
        <v>2286</v>
      </c>
      <c r="E87" s="549">
        <v>0.1</v>
      </c>
      <c r="F87" s="529">
        <v>15</v>
      </c>
    </row>
    <row r="88" spans="1:6" s="486" customFormat="1" ht="24">
      <c r="A88" s="529">
        <v>16</v>
      </c>
      <c r="B88" s="3461"/>
      <c r="C88" s="502" t="s">
        <v>2287</v>
      </c>
      <c r="D88" s="502" t="s">
        <v>2288</v>
      </c>
      <c r="E88" s="549">
        <v>0.1</v>
      </c>
      <c r="F88" s="529">
        <v>15</v>
      </c>
    </row>
    <row r="89" spans="1:6" s="486" customFormat="1" ht="24">
      <c r="A89" s="529">
        <v>17</v>
      </c>
      <c r="B89" s="3464"/>
      <c r="C89" s="502" t="s">
        <v>2289</v>
      </c>
      <c r="D89" s="502" t="s">
        <v>2290</v>
      </c>
      <c r="E89" s="549">
        <v>0.1</v>
      </c>
      <c r="F89" s="529">
        <v>15</v>
      </c>
    </row>
    <row r="90" spans="1:6" s="486" customFormat="1" ht="13.5">
      <c r="A90" s="529">
        <v>18</v>
      </c>
      <c r="B90" s="3463" t="s">
        <v>2291</v>
      </c>
      <c r="C90" s="502" t="s">
        <v>2292</v>
      </c>
      <c r="D90" s="502" t="s">
        <v>2293</v>
      </c>
      <c r="E90" s="549">
        <v>0.2</v>
      </c>
      <c r="F90" s="529">
        <v>25</v>
      </c>
    </row>
    <row r="91" spans="1:6" s="486" customFormat="1" ht="24">
      <c r="A91" s="529">
        <v>19</v>
      </c>
      <c r="B91" s="3461"/>
      <c r="C91" s="502" t="s">
        <v>2294</v>
      </c>
      <c r="D91" s="502" t="s">
        <v>2295</v>
      </c>
      <c r="E91" s="549">
        <v>0.2</v>
      </c>
      <c r="F91" s="529">
        <v>25</v>
      </c>
    </row>
    <row r="92" spans="1:6" s="486" customFormat="1" ht="13.5">
      <c r="A92" s="529">
        <v>20</v>
      </c>
      <c r="B92" s="3461"/>
      <c r="C92" s="502" t="s">
        <v>2296</v>
      </c>
      <c r="D92" s="502" t="s">
        <v>2297</v>
      </c>
      <c r="E92" s="549">
        <v>0.15</v>
      </c>
      <c r="F92" s="529">
        <v>20</v>
      </c>
    </row>
    <row r="93" spans="1:6" s="486" customFormat="1" ht="24">
      <c r="A93" s="529">
        <v>21</v>
      </c>
      <c r="B93" s="3461"/>
      <c r="C93" s="502" t="s">
        <v>2298</v>
      </c>
      <c r="D93" s="502" t="s">
        <v>2299</v>
      </c>
      <c r="E93" s="549">
        <v>0.15</v>
      </c>
      <c r="F93" s="529">
        <v>20</v>
      </c>
    </row>
    <row r="94" spans="1:6" s="486" customFormat="1" ht="24">
      <c r="A94" s="529">
        <v>22</v>
      </c>
      <c r="B94" s="3461"/>
      <c r="C94" s="502" t="s">
        <v>2300</v>
      </c>
      <c r="D94" s="502" t="s">
        <v>2301</v>
      </c>
      <c r="E94" s="549">
        <v>0.15</v>
      </c>
      <c r="F94" s="529">
        <v>20</v>
      </c>
    </row>
    <row r="95" spans="1:6" s="486" customFormat="1" ht="36">
      <c r="A95" s="529">
        <v>23</v>
      </c>
      <c r="B95" s="3461"/>
      <c r="C95" s="502" t="s">
        <v>2302</v>
      </c>
      <c r="D95" s="502" t="s">
        <v>2303</v>
      </c>
      <c r="E95" s="549">
        <v>0.15</v>
      </c>
      <c r="F95" s="529">
        <v>20</v>
      </c>
    </row>
    <row r="96" spans="1:6" s="486" customFormat="1" ht="13.5">
      <c r="A96" s="529">
        <v>24</v>
      </c>
      <c r="B96" s="3461"/>
      <c r="C96" s="502" t="s">
        <v>2304</v>
      </c>
      <c r="D96" s="502" t="s">
        <v>2305</v>
      </c>
      <c r="E96" s="549">
        <v>0.1</v>
      </c>
      <c r="F96" s="529">
        <v>15</v>
      </c>
    </row>
    <row r="97" spans="1:6" s="486" customFormat="1" ht="24">
      <c r="A97" s="529">
        <v>25</v>
      </c>
      <c r="B97" s="3461"/>
      <c r="C97" s="502" t="s">
        <v>2306</v>
      </c>
      <c r="D97" s="502" t="s">
        <v>2307</v>
      </c>
      <c r="E97" s="549">
        <v>0.1</v>
      </c>
      <c r="F97" s="529">
        <v>15</v>
      </c>
    </row>
    <row r="98" spans="1:6" s="486" customFormat="1" ht="24">
      <c r="A98" s="529">
        <v>26</v>
      </c>
      <c r="B98" s="3461"/>
      <c r="C98" s="502" t="s">
        <v>2308</v>
      </c>
      <c r="D98" s="502" t="s">
        <v>2309</v>
      </c>
      <c r="E98" s="549">
        <v>0.1</v>
      </c>
      <c r="F98" s="529">
        <v>15</v>
      </c>
    </row>
    <row r="99" spans="1:6" s="486" customFormat="1" ht="24">
      <c r="A99" s="529">
        <v>27</v>
      </c>
      <c r="B99" s="3461"/>
      <c r="C99" s="502" t="s">
        <v>2310</v>
      </c>
      <c r="D99" s="502" t="s">
        <v>2311</v>
      </c>
      <c r="E99" s="549">
        <v>0.1</v>
      </c>
      <c r="F99" s="529">
        <v>15</v>
      </c>
    </row>
    <row r="100" spans="1:6" s="486" customFormat="1" ht="24">
      <c r="A100" s="529">
        <v>28</v>
      </c>
      <c r="B100" s="3461"/>
      <c r="C100" s="502" t="s">
        <v>2312</v>
      </c>
      <c r="D100" s="502" t="s">
        <v>2313</v>
      </c>
      <c r="E100" s="549">
        <v>0.1</v>
      </c>
      <c r="F100" s="529">
        <v>15</v>
      </c>
    </row>
    <row r="101" spans="1:6" s="486" customFormat="1" ht="24">
      <c r="A101" s="529">
        <v>29</v>
      </c>
      <c r="B101" s="3461"/>
      <c r="C101" s="502" t="s">
        <v>2314</v>
      </c>
      <c r="D101" s="502" t="s">
        <v>2315</v>
      </c>
      <c r="E101" s="549">
        <v>0.1</v>
      </c>
      <c r="F101" s="529">
        <v>15</v>
      </c>
    </row>
    <row r="102" spans="1:6" s="486" customFormat="1" ht="24">
      <c r="A102" s="529">
        <v>30</v>
      </c>
      <c r="B102" s="3461"/>
      <c r="C102" s="502" t="s">
        <v>2316</v>
      </c>
      <c r="D102" s="502" t="s">
        <v>2317</v>
      </c>
      <c r="E102" s="549">
        <v>0.1</v>
      </c>
      <c r="F102" s="529">
        <v>15</v>
      </c>
    </row>
    <row r="103" spans="1:6" s="486" customFormat="1" ht="24">
      <c r="A103" s="529">
        <v>31</v>
      </c>
      <c r="B103" s="3461"/>
      <c r="C103" s="502" t="s">
        <v>2318</v>
      </c>
      <c r="D103" s="502" t="s">
        <v>2319</v>
      </c>
      <c r="E103" s="549">
        <v>0.1</v>
      </c>
      <c r="F103" s="529">
        <v>15</v>
      </c>
    </row>
    <row r="104" spans="1:6" s="486" customFormat="1" ht="24">
      <c r="A104" s="529">
        <v>32</v>
      </c>
      <c r="B104" s="3461"/>
      <c r="C104" s="502" t="s">
        <v>2320</v>
      </c>
      <c r="D104" s="502" t="s">
        <v>2321</v>
      </c>
      <c r="E104" s="549">
        <v>0.1</v>
      </c>
      <c r="F104" s="529">
        <v>15</v>
      </c>
    </row>
    <row r="105" spans="1:6" s="486" customFormat="1" ht="24">
      <c r="A105" s="529">
        <v>33</v>
      </c>
      <c r="B105" s="3461"/>
      <c r="C105" s="502" t="s">
        <v>2322</v>
      </c>
      <c r="D105" s="502" t="s">
        <v>2323</v>
      </c>
      <c r="E105" s="549">
        <v>0.1</v>
      </c>
      <c r="F105" s="529">
        <v>15</v>
      </c>
    </row>
    <row r="106" spans="1:6" s="486" customFormat="1" ht="24">
      <c r="A106" s="529">
        <v>34</v>
      </c>
      <c r="B106" s="3464"/>
      <c r="C106" s="502" t="s">
        <v>2324</v>
      </c>
      <c r="D106" s="502" t="s">
        <v>2325</v>
      </c>
      <c r="E106" s="549">
        <v>0.1</v>
      </c>
      <c r="F106" s="529">
        <v>15</v>
      </c>
    </row>
    <row r="107" spans="1:6" s="486" customFormat="1" ht="24">
      <c r="A107" s="529">
        <v>35</v>
      </c>
      <c r="B107" s="3463" t="s">
        <v>2326</v>
      </c>
      <c r="C107" s="529" t="s">
        <v>2327</v>
      </c>
      <c r="D107" s="502" t="s">
        <v>2328</v>
      </c>
      <c r="E107" s="549">
        <v>0.15</v>
      </c>
      <c r="F107" s="529">
        <v>20</v>
      </c>
    </row>
    <row r="108" spans="1:6" s="486" customFormat="1" ht="24">
      <c r="A108" s="529">
        <v>36</v>
      </c>
      <c r="B108" s="3461"/>
      <c r="C108" s="529" t="s">
        <v>2329</v>
      </c>
      <c r="D108" s="502" t="s">
        <v>2330</v>
      </c>
      <c r="E108" s="549">
        <v>0.15</v>
      </c>
      <c r="F108" s="529">
        <v>20</v>
      </c>
    </row>
    <row r="109" spans="1:6" s="486" customFormat="1" ht="24">
      <c r="A109" s="529">
        <v>37</v>
      </c>
      <c r="B109" s="3461"/>
      <c r="C109" s="529" t="s">
        <v>2331</v>
      </c>
      <c r="D109" s="502" t="s">
        <v>2332</v>
      </c>
      <c r="E109" s="549">
        <v>0.15</v>
      </c>
      <c r="F109" s="529">
        <v>20</v>
      </c>
    </row>
    <row r="110" spans="1:6" s="486" customFormat="1" ht="13.5">
      <c r="A110" s="529">
        <v>38</v>
      </c>
      <c r="B110" s="3461"/>
      <c r="C110" s="529" t="s">
        <v>2333</v>
      </c>
      <c r="D110" s="502" t="s">
        <v>2334</v>
      </c>
      <c r="E110" s="549">
        <v>0.1</v>
      </c>
      <c r="F110" s="529">
        <v>15</v>
      </c>
    </row>
    <row r="111" spans="1:6" s="486" customFormat="1" ht="24">
      <c r="A111" s="529">
        <v>39</v>
      </c>
      <c r="B111" s="3461"/>
      <c r="C111" s="529" t="s">
        <v>2335</v>
      </c>
      <c r="D111" s="502" t="s">
        <v>2336</v>
      </c>
      <c r="E111" s="549">
        <v>0.1</v>
      </c>
      <c r="F111" s="529">
        <v>15</v>
      </c>
    </row>
    <row r="112" spans="1:6" s="486" customFormat="1" ht="24">
      <c r="A112" s="529">
        <v>40</v>
      </c>
      <c r="B112" s="3464"/>
      <c r="C112" s="529" t="s">
        <v>2337</v>
      </c>
      <c r="D112" s="502" t="s">
        <v>2338</v>
      </c>
      <c r="E112" s="549">
        <v>0.1</v>
      </c>
      <c r="F112" s="529">
        <v>15</v>
      </c>
    </row>
    <row r="113" spans="1:6" s="486" customFormat="1" ht="24">
      <c r="A113" s="529">
        <v>41</v>
      </c>
      <c r="B113" s="3465" t="s">
        <v>2339</v>
      </c>
      <c r="C113" s="529" t="s">
        <v>2340</v>
      </c>
      <c r="D113" s="502" t="s">
        <v>2341</v>
      </c>
      <c r="E113" s="549">
        <v>0.1</v>
      </c>
      <c r="F113" s="529">
        <v>15</v>
      </c>
    </row>
    <row r="114" spans="1:6" s="486" customFormat="1" ht="13.5">
      <c r="A114" s="529">
        <v>42</v>
      </c>
      <c r="B114" s="3465"/>
      <c r="C114" s="529" t="s">
        <v>2342</v>
      </c>
      <c r="D114" s="502" t="s">
        <v>2343</v>
      </c>
      <c r="E114" s="549">
        <v>0.1</v>
      </c>
      <c r="F114" s="529">
        <v>15</v>
      </c>
    </row>
    <row r="115" spans="1:6" s="486" customFormat="1" ht="24">
      <c r="A115" s="529">
        <v>43</v>
      </c>
      <c r="B115" s="3465"/>
      <c r="C115" s="529" t="s">
        <v>2344</v>
      </c>
      <c r="D115" s="502" t="s">
        <v>2345</v>
      </c>
      <c r="E115" s="549">
        <v>0.1</v>
      </c>
      <c r="F115" s="529">
        <v>15</v>
      </c>
    </row>
    <row r="116" spans="1:6" s="486" customFormat="1" ht="24">
      <c r="A116" s="529">
        <v>44</v>
      </c>
      <c r="B116" s="3463" t="s">
        <v>2346</v>
      </c>
      <c r="C116" s="529" t="s">
        <v>2347</v>
      </c>
      <c r="D116" s="502" t="s">
        <v>2348</v>
      </c>
      <c r="E116" s="549">
        <v>0.1</v>
      </c>
      <c r="F116" s="529">
        <v>15</v>
      </c>
    </row>
    <row r="117" spans="1:6" s="486" customFormat="1" ht="24">
      <c r="A117" s="529">
        <v>45</v>
      </c>
      <c r="B117" s="3464"/>
      <c r="C117" s="502" t="s">
        <v>2349</v>
      </c>
      <c r="D117" s="502" t="s">
        <v>2350</v>
      </c>
      <c r="E117" s="549">
        <v>0.1</v>
      </c>
      <c r="F117" s="529">
        <v>15</v>
      </c>
    </row>
    <row r="118" spans="1:6" s="486" customFormat="1" ht="24">
      <c r="A118" s="529">
        <v>46</v>
      </c>
      <c r="B118" s="3463" t="s">
        <v>2351</v>
      </c>
      <c r="C118" s="529" t="s">
        <v>2352</v>
      </c>
      <c r="D118" s="502" t="s">
        <v>2353</v>
      </c>
      <c r="E118" s="549">
        <v>0.1</v>
      </c>
      <c r="F118" s="529">
        <v>15</v>
      </c>
    </row>
    <row r="119" spans="1:6" s="486" customFormat="1" ht="24">
      <c r="A119" s="529">
        <v>47</v>
      </c>
      <c r="B119" s="3464"/>
      <c r="C119" s="529" t="s">
        <v>2354</v>
      </c>
      <c r="D119" s="502" t="s">
        <v>2355</v>
      </c>
      <c r="E119" s="549">
        <v>0.1</v>
      </c>
      <c r="F119" s="529">
        <v>15</v>
      </c>
    </row>
    <row r="120" spans="1:6" s="486" customFormat="1" ht="24">
      <c r="A120" s="529">
        <v>48</v>
      </c>
      <c r="B120" s="3463" t="s">
        <v>2356</v>
      </c>
      <c r="C120" s="529" t="s">
        <v>2357</v>
      </c>
      <c r="D120" s="502" t="s">
        <v>2358</v>
      </c>
      <c r="E120" s="549">
        <v>0.1</v>
      </c>
      <c r="F120" s="529">
        <v>15</v>
      </c>
    </row>
    <row r="121" spans="1:6" s="486" customFormat="1" ht="13.5">
      <c r="A121" s="529">
        <v>49</v>
      </c>
      <c r="B121" s="3464"/>
      <c r="C121" s="529" t="s">
        <v>2359</v>
      </c>
      <c r="D121" s="502" t="s">
        <v>2360</v>
      </c>
      <c r="E121" s="549">
        <v>0.1</v>
      </c>
      <c r="F121" s="529">
        <v>15</v>
      </c>
    </row>
    <row r="122" spans="1:6" s="486" customFormat="1" ht="24">
      <c r="A122" s="529">
        <v>50</v>
      </c>
      <c r="B122" s="3465" t="s">
        <v>2361</v>
      </c>
      <c r="C122" s="529" t="s">
        <v>2362</v>
      </c>
      <c r="D122" s="502" t="s">
        <v>2363</v>
      </c>
      <c r="E122" s="549">
        <v>0.1</v>
      </c>
      <c r="F122" s="529">
        <v>15</v>
      </c>
    </row>
    <row r="123" spans="1:6" s="486" customFormat="1" ht="24">
      <c r="A123" s="529">
        <v>51</v>
      </c>
      <c r="B123" s="3465"/>
      <c r="C123" s="529" t="s">
        <v>2364</v>
      </c>
      <c r="D123" s="502" t="s">
        <v>2365</v>
      </c>
      <c r="E123" s="549">
        <v>0.1</v>
      </c>
      <c r="F123" s="529">
        <v>15</v>
      </c>
    </row>
    <row r="124" spans="1:6" s="486" customFormat="1" ht="24">
      <c r="A124" s="529">
        <v>52</v>
      </c>
      <c r="B124" s="3465" t="s">
        <v>2366</v>
      </c>
      <c r="C124" s="529" t="s">
        <v>2367</v>
      </c>
      <c r="D124" s="502" t="s">
        <v>2368</v>
      </c>
      <c r="E124" s="549">
        <v>0.1</v>
      </c>
      <c r="F124" s="529">
        <v>15</v>
      </c>
    </row>
    <row r="125" spans="1:6" s="486" customFormat="1" ht="24">
      <c r="A125" s="529">
        <v>53</v>
      </c>
      <c r="B125" s="3465"/>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65" t="s">
        <v>2374</v>
      </c>
      <c r="C127" s="529" t="s">
        <v>2375</v>
      </c>
      <c r="D127" s="502" t="s">
        <v>2376</v>
      </c>
      <c r="E127" s="549">
        <v>0.1</v>
      </c>
      <c r="F127" s="529">
        <v>15</v>
      </c>
    </row>
    <row r="128" spans="1:6" ht="13.5">
      <c r="A128" s="529">
        <v>56</v>
      </c>
      <c r="B128" s="3465"/>
      <c r="C128" s="529" t="s">
        <v>2377</v>
      </c>
      <c r="D128" s="502" t="s">
        <v>2378</v>
      </c>
      <c r="E128" s="549">
        <v>0.1</v>
      </c>
      <c r="F128" s="529">
        <v>15</v>
      </c>
    </row>
    <row r="129" spans="1:6" ht="24">
      <c r="A129" s="529">
        <v>57</v>
      </c>
      <c r="B129" s="3465"/>
      <c r="C129" s="529" t="s">
        <v>2379</v>
      </c>
      <c r="D129" s="502" t="s">
        <v>2380</v>
      </c>
      <c r="E129" s="549">
        <v>0.1</v>
      </c>
      <c r="F129" s="529">
        <v>15</v>
      </c>
    </row>
    <row r="130" spans="1:6" ht="24">
      <c r="A130" s="529">
        <v>58</v>
      </c>
      <c r="B130" s="3465" t="s">
        <v>2381</v>
      </c>
      <c r="C130" s="529" t="s">
        <v>2382</v>
      </c>
      <c r="D130" s="502" t="s">
        <v>2383</v>
      </c>
      <c r="E130" s="549">
        <v>0.1</v>
      </c>
      <c r="F130" s="529">
        <v>15</v>
      </c>
    </row>
    <row r="131" spans="1:6" ht="24">
      <c r="A131" s="529">
        <v>59</v>
      </c>
      <c r="B131" s="3465"/>
      <c r="C131" s="529" t="s">
        <v>2384</v>
      </c>
      <c r="D131" s="502" t="s">
        <v>2385</v>
      </c>
      <c r="E131" s="549">
        <v>0.1</v>
      </c>
      <c r="F131" s="529">
        <v>15</v>
      </c>
    </row>
    <row r="132" spans="1:6" ht="24">
      <c r="A132" s="529">
        <v>60</v>
      </c>
      <c r="B132" s="3463" t="s">
        <v>2386</v>
      </c>
      <c r="C132" s="529" t="s">
        <v>2387</v>
      </c>
      <c r="D132" s="502" t="s">
        <v>2388</v>
      </c>
      <c r="E132" s="549">
        <v>0.1</v>
      </c>
      <c r="F132" s="529">
        <v>15</v>
      </c>
    </row>
    <row r="133" spans="1:6" ht="24">
      <c r="A133" s="529">
        <v>61</v>
      </c>
      <c r="B133" s="3464"/>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65" t="s">
        <v>2394</v>
      </c>
      <c r="C135" s="529" t="s">
        <v>2395</v>
      </c>
      <c r="D135" s="502" t="s">
        <v>2396</v>
      </c>
      <c r="E135" s="549">
        <v>0.1</v>
      </c>
      <c r="F135" s="529">
        <v>15</v>
      </c>
    </row>
    <row r="136" spans="1:6" ht="13.5">
      <c r="A136" s="529">
        <v>64</v>
      </c>
      <c r="B136" s="3465"/>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topLeftCell="A16" zoomScale="85" zoomScaleNormal="70" workbookViewId="0">
      <selection activeCell="J39" sqref="J39"/>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45.29</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7590</v>
      </c>
      <c r="C2" s="1616" t="s">
        <v>1613</v>
      </c>
      <c r="D2" s="1616"/>
      <c r="E2" s="1618"/>
      <c r="F2" s="1619"/>
      <c r="G2" s="1620"/>
      <c r="H2" s="1621"/>
      <c r="I2" s="1621"/>
      <c r="J2" s="1621"/>
      <c r="K2" s="1775"/>
      <c r="L2" s="1621"/>
      <c r="M2" s="1621"/>
    </row>
    <row r="3" spans="1:37" ht="18" customHeight="1" thickBot="1">
      <c r="A3" s="1622" t="s">
        <v>1614</v>
      </c>
      <c r="B3" s="1623">
        <f ca="1">IF(ISERROR(B2*10000/F43),0,ROUND(B2*10000/F43,0))</f>
        <v>2316</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7" t="s">
        <v>1624</v>
      </c>
      <c r="C6" s="1636">
        <f ca="1">ROUND(F6*F8*F7*(1-F9)/10000,0)</f>
        <v>574</v>
      </c>
      <c r="D6" s="1637" t="s">
        <v>1625</v>
      </c>
      <c r="E6" s="1638" t="s">
        <v>1626</v>
      </c>
      <c r="F6" s="1639">
        <f ca="1">INDIRECT("'数据-取费表'!u"&amp;$G$1)</f>
        <v>450</v>
      </c>
      <c r="G6" s="731"/>
      <c r="H6" s="1635" t="s">
        <v>846</v>
      </c>
      <c r="I6" s="3377" t="s">
        <v>1624</v>
      </c>
      <c r="J6" s="1709">
        <f ca="1">ROUND(M6*M8*M7*(1-M9)/10000,0)</f>
        <v>0</v>
      </c>
      <c r="K6" s="1637" t="s">
        <v>1627</v>
      </c>
      <c r="L6" s="1638" t="s">
        <v>1626</v>
      </c>
      <c r="M6" s="1639">
        <f ca="1">INDIRECT("'数据-取费表'!z"&amp;$G$1)</f>
        <v>0</v>
      </c>
    </row>
    <row r="7" spans="1:37" ht="18" customHeight="1">
      <c r="A7" s="1640"/>
      <c r="B7" s="3378"/>
      <c r="C7" s="1641"/>
      <c r="D7" s="1642"/>
      <c r="E7" s="3062" t="s">
        <v>1628</v>
      </c>
      <c r="F7" s="1639">
        <f ca="1">IF(INDIRECT("'数据-取费表'!ah"&amp;$G$1)="",INDIRECT("'数据-取费表'!k"&amp;$G$1),INDIRECT("'数据-取费表'!ah"&amp;$G$1))</f>
        <v>1181</v>
      </c>
      <c r="G7" s="731"/>
      <c r="H7" s="1644"/>
      <c r="I7" s="3378"/>
      <c r="J7" s="1645"/>
      <c r="K7" s="1642"/>
      <c r="L7" s="1638" t="s">
        <v>1628</v>
      </c>
      <c r="M7" s="1639">
        <f ca="1">F7</f>
        <v>1181</v>
      </c>
    </row>
    <row r="8" spans="1:37" ht="18" customHeight="1">
      <c r="A8" s="1644"/>
      <c r="B8" s="3378"/>
      <c r="C8" s="1645"/>
      <c r="D8" s="1642"/>
      <c r="E8" s="1638" t="s">
        <v>1629</v>
      </c>
      <c r="F8" s="1639">
        <f ca="1">INDIRECT("'数据-取费表'!ai"&amp;$G$1)</f>
        <v>12</v>
      </c>
      <c r="G8" s="731"/>
      <c r="H8" s="1644"/>
      <c r="I8" s="3378"/>
      <c r="J8" s="1645"/>
      <c r="K8" s="1642"/>
      <c r="L8" s="1638" t="s">
        <v>1629</v>
      </c>
      <c r="M8" s="1639">
        <f ca="1">INDIRECT("'数据-取费表'!ai"&amp;$G$1)</f>
        <v>12</v>
      </c>
    </row>
    <row r="9" spans="1:37" ht="18" customHeight="1">
      <c r="A9" s="1644"/>
      <c r="B9" s="3379"/>
      <c r="C9" s="1645"/>
      <c r="D9" s="1642"/>
      <c r="E9" s="1638" t="s">
        <v>1630</v>
      </c>
      <c r="F9" s="1646">
        <f ca="1">INDIRECT("'数据-取费表'!w"&amp;$G$1)</f>
        <v>0.1</v>
      </c>
      <c r="G9" s="731"/>
      <c r="H9" s="1644"/>
      <c r="I9" s="3379"/>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49" t="s">
        <v>1640</v>
      </c>
      <c r="E13" s="3049"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59" t="s">
        <v>1643</v>
      </c>
      <c r="E14" s="3056"/>
      <c r="F14" s="1671"/>
      <c r="G14" s="731"/>
      <c r="H14" s="1667" t="s">
        <v>846</v>
      </c>
      <c r="I14" s="1638" t="s">
        <v>1644</v>
      </c>
      <c r="J14" s="285">
        <f ca="1">C29</f>
        <v>15355</v>
      </c>
      <c r="K14" s="3061"/>
      <c r="L14" s="1788"/>
      <c r="M14" s="1789"/>
    </row>
    <row r="15" spans="1:37" s="1606" customFormat="1" ht="18" customHeight="1" thickBot="1">
      <c r="A15" s="1667" t="s">
        <v>873</v>
      </c>
      <c r="B15" s="1638" t="s">
        <v>1512</v>
      </c>
      <c r="C15" s="285">
        <f ca="1">ROUND(C14*F15,0)</f>
        <v>344</v>
      </c>
      <c r="D15" s="3050" t="s">
        <v>1645</v>
      </c>
      <c r="E15" s="3050"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283</v>
      </c>
      <c r="K16" s="1687" t="s">
        <v>1649</v>
      </c>
      <c r="L16" s="3052"/>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59" t="s">
        <v>1655</v>
      </c>
      <c r="L17" s="3055"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5"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2"/>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2"/>
      <c r="F22" s="1677"/>
      <c r="G22" s="731"/>
      <c r="H22" s="1667" t="s">
        <v>850</v>
      </c>
      <c r="I22" s="1638" t="s">
        <v>1674</v>
      </c>
      <c r="J22" s="285">
        <f ca="1">ROUND(J14*M22,1)</f>
        <v>153.6</v>
      </c>
      <c r="K22" s="3055"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5"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2"/>
      <c r="F25" s="1677"/>
      <c r="G25" s="731"/>
      <c r="H25" s="1662" t="s">
        <v>1685</v>
      </c>
      <c r="I25" s="1705" t="s">
        <v>1686</v>
      </c>
      <c r="J25" s="1664">
        <f ca="1">J5-J16</f>
        <v>-283</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0"/>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272</v>
      </c>
      <c r="D30" s="1687" t="s">
        <v>1649</v>
      </c>
      <c r="E30" s="3052"/>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97</v>
      </c>
      <c r="D31" s="3059" t="s">
        <v>1655</v>
      </c>
      <c r="E31" s="3055"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5"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IF(项目基本情况!B11="自然人","——",ROUND(F34*F35/10000,2))</f>
        <v>1.5</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3481">
        <f>工程进度!I2</f>
        <v>9978.4</v>
      </c>
      <c r="G35" s="731"/>
      <c r="H35" s="1689"/>
      <c r="I35" s="1794"/>
      <c r="J35" s="1795"/>
      <c r="K35" s="1798"/>
      <c r="L35" s="1695"/>
      <c r="M35" s="1695"/>
    </row>
    <row r="36" spans="1:18" ht="18" customHeight="1">
      <c r="A36" s="1702" t="s">
        <v>850</v>
      </c>
      <c r="B36" s="1638" t="s">
        <v>1674</v>
      </c>
      <c r="C36" s="285">
        <f ca="1">ROUND(C29*F36,1)</f>
        <v>153.6</v>
      </c>
      <c r="D36" s="3055"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15.4</v>
      </c>
      <c r="D37" s="3055"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5.7</v>
      </c>
      <c r="D38" s="1684" t="s">
        <v>1682</v>
      </c>
      <c r="E38" s="1660" t="s">
        <v>1646</v>
      </c>
      <c r="F38" s="1661">
        <f ca="1">INDIRECT("'数据-取费表'!Am"&amp;$G$1)</f>
        <v>0.01</v>
      </c>
      <c r="G38" s="731"/>
      <c r="H38" s="1695"/>
      <c r="I38" s="1794"/>
      <c r="J38" s="1795"/>
      <c r="K38" s="1796"/>
      <c r="L38" s="1695"/>
      <c r="M38" s="1695"/>
    </row>
    <row r="39" spans="1:18" ht="24.6" customHeight="1" thickTop="1">
      <c r="A39" s="1662" t="s">
        <v>1685</v>
      </c>
      <c r="B39" s="1705" t="s">
        <v>1686</v>
      </c>
      <c r="C39" s="1664">
        <f ca="1">C5-C30</f>
        <v>302</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7358</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2245</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-33354</v>
      </c>
      <c r="D46" s="1726" t="str">
        <f>C2</f>
        <v>万元</v>
      </c>
      <c r="E46" s="1720"/>
      <c r="F46" s="1720"/>
      <c r="I46" s="1804" t="s">
        <v>1715</v>
      </c>
      <c r="J46" s="1805"/>
      <c r="K46" s="1806"/>
      <c r="L46" s="1807">
        <f ca="1">IF(M47="住宅",0,IF(L48&gt;J51,L60,J60))</f>
        <v>232</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7358</v>
      </c>
      <c r="R47" s="1851" t="s">
        <v>1723</v>
      </c>
    </row>
    <row r="48" spans="1:18" s="731" customFormat="1" ht="28.5" thickBot="1">
      <c r="A48" s="1731" t="s">
        <v>1724</v>
      </c>
      <c r="B48" s="1630" t="s">
        <v>1622</v>
      </c>
      <c r="C48" s="3071">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232</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-17474</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45.29</v>
      </c>
      <c r="K53" s="3375" t="s">
        <v>1752</v>
      </c>
      <c r="L53" s="3376"/>
      <c r="O53" s="1815" t="s">
        <v>1514</v>
      </c>
      <c r="P53" s="1816" t="s">
        <v>1753</v>
      </c>
      <c r="Q53" s="1851">
        <f ca="1">Q47+Q48</f>
        <v>7590</v>
      </c>
      <c r="R53" s="1851" t="s">
        <v>1754</v>
      </c>
    </row>
    <row r="54" spans="1:18" s="731" customFormat="1" ht="13.5" thickBot="1">
      <c r="A54" s="1881"/>
      <c r="B54" s="1652" t="s">
        <v>1636</v>
      </c>
      <c r="C54" s="1653"/>
      <c r="D54" s="1648"/>
      <c r="E54" s="3070"/>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0"/>
      <c r="F55" s="1753"/>
      <c r="I55" s="1835" t="s">
        <v>1756</v>
      </c>
      <c r="J55" s="1836">
        <f ca="1">ROUND(IF(J47="钢混",J57/J50,1-(1-2%)*(J50-J57)/J50),3)</f>
        <v>0.22900000000000001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7358</v>
      </c>
      <c r="R56" s="1851" t="s">
        <v>1723</v>
      </c>
    </row>
    <row r="57" spans="1:18" s="731" customFormat="1" ht="24.75" thickBot="1">
      <c r="A57" s="1758"/>
      <c r="B57" s="1759" t="s">
        <v>1702</v>
      </c>
      <c r="C57" s="191">
        <f ca="1">C29</f>
        <v>15355</v>
      </c>
      <c r="D57" s="1760"/>
      <c r="E57" s="1761"/>
      <c r="F57" s="1762"/>
      <c r="I57" s="1841" t="s">
        <v>1761</v>
      </c>
      <c r="J57" s="1842">
        <f ca="1">IF(OR(M47="住宅",J51&lt;L48,J56="是"),"——",J51-L48)</f>
        <v>13.71</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1460</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232</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IF(项目基本情况!B11="自然人","——",ROUND(F62*F63/10000,2))</f>
        <v>1.5</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7358</v>
      </c>
      <c r="R62" s="1851" t="s">
        <v>1754</v>
      </c>
    </row>
    <row r="63" spans="1:18" s="731" customFormat="1" ht="13.5" thickBot="1">
      <c r="A63" s="1680"/>
      <c r="B63" s="1770"/>
      <c r="C63" s="1700"/>
      <c r="D63" s="1771"/>
      <c r="E63" s="1759" t="s">
        <v>1672</v>
      </c>
      <c r="F63" s="1639">
        <f t="shared" si="0"/>
        <v>9978.4</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153.6</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7358</v>
      </c>
      <c r="R65" s="1851" t="s">
        <v>1723</v>
      </c>
    </row>
    <row r="66" spans="1:18" s="731" customFormat="1" ht="16.5" thickBot="1">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6.5" thickBot="1">
      <c r="A67" s="1754" t="s">
        <v>1685</v>
      </c>
      <c r="B67" s="1853" t="s">
        <v>1686</v>
      </c>
      <c r="C67" s="284">
        <f ca="1">C48-C58</f>
        <v>-1460</v>
      </c>
      <c r="D67" s="1766" t="s">
        <v>1687</v>
      </c>
      <c r="E67" s="1854"/>
      <c r="F67" s="1855"/>
      <c r="O67" s="1822" t="s">
        <v>1735</v>
      </c>
      <c r="P67" s="1816" t="s">
        <v>1767</v>
      </c>
      <c r="Q67" s="1875">
        <f ca="1">L51</f>
        <v>-17474</v>
      </c>
      <c r="R67" s="1851" t="s">
        <v>1784</v>
      </c>
    </row>
    <row r="68" spans="1:18" s="731" customFormat="1" ht="16.5" thickBot="1">
      <c r="A68" s="1856" t="s">
        <v>1691</v>
      </c>
      <c r="B68" s="1857" t="s">
        <v>1709</v>
      </c>
      <c r="C68" s="1709">
        <f ca="1">ROUND(C67*(1-((1+F70)/(1+F68))^F69)/(F68-F70),0)</f>
        <v>-25996</v>
      </c>
      <c r="D68" s="1769" t="s">
        <v>1693</v>
      </c>
      <c r="E68" s="1759" t="s">
        <v>1694</v>
      </c>
      <c r="F68" s="1646">
        <f ca="1">F40</f>
        <v>0.05</v>
      </c>
      <c r="O68" s="1822" t="s">
        <v>1739</v>
      </c>
      <c r="P68" s="1874" t="s">
        <v>1785</v>
      </c>
      <c r="Q68" s="1851">
        <f ca="1">ROUND(Q69-Q70*Q71,0)</f>
        <v>-850</v>
      </c>
      <c r="R68" s="1851" t="s">
        <v>1786</v>
      </c>
    </row>
    <row r="69" spans="1:18" s="731" customFormat="1" ht="13.5" thickBot="1">
      <c r="A69" s="1858"/>
      <c r="B69" s="1859"/>
      <c r="C69" s="1645"/>
      <c r="D69" s="1860" t="s">
        <v>1697</v>
      </c>
      <c r="E69" s="1759" t="s">
        <v>1698</v>
      </c>
      <c r="F69" s="1713">
        <f ca="1">F41</f>
        <v>45.29</v>
      </c>
      <c r="O69" s="1822" t="s">
        <v>1787</v>
      </c>
      <c r="P69" s="1874" t="s">
        <v>1788</v>
      </c>
      <c r="Q69" s="1851">
        <f ca="1">C39</f>
        <v>302</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-7932</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7358</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-2.8149999999999999</v>
      </c>
    </row>
    <row r="80" spans="1:18">
      <c r="B80" s="1868" t="s">
        <v>1800</v>
      </c>
      <c r="C80" s="224">
        <f ca="1">ROUND(C75/C39,3)</f>
        <v>3.8149999999999999</v>
      </c>
    </row>
    <row r="81" spans="2:3">
      <c r="B81" s="221" t="s">
        <v>1801</v>
      </c>
      <c r="C81" s="191"/>
    </row>
    <row r="82" spans="2:3">
      <c r="B82" s="223" t="s">
        <v>1490</v>
      </c>
      <c r="C82" s="225">
        <f ca="1">1-C83</f>
        <v>-1.0870000000000002</v>
      </c>
    </row>
    <row r="83" spans="2:3">
      <c r="B83" s="223" t="s">
        <v>1491</v>
      </c>
      <c r="C83" s="224">
        <f ca="1">ROUND(C13/C40,3)</f>
        <v>2.0870000000000002</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66" t="s">
        <v>2415</v>
      </c>
      <c r="C1" s="3466"/>
      <c r="D1" s="3466"/>
      <c r="E1" s="3466"/>
      <c r="F1" s="3466"/>
      <c r="G1" s="3467" t="s">
        <v>2416</v>
      </c>
      <c r="H1" s="3467"/>
      <c r="I1" s="3467"/>
      <c r="J1" s="3467"/>
      <c r="K1" s="3467"/>
      <c r="L1" s="3467"/>
      <c r="N1" s="3467" t="s">
        <v>2417</v>
      </c>
      <c r="O1" s="3467"/>
      <c r="P1" s="3467"/>
      <c r="Q1" s="3467"/>
      <c r="S1" s="3467" t="s">
        <v>2418</v>
      </c>
      <c r="T1" s="3467"/>
      <c r="U1" s="3467"/>
      <c r="V1" s="3467"/>
      <c r="X1" s="3468" t="s">
        <v>2419</v>
      </c>
      <c r="Y1" s="3467"/>
      <c r="Z1" s="3467"/>
      <c r="AA1" s="3467"/>
      <c r="AB1" s="3467"/>
      <c r="AD1" s="3468" t="s">
        <v>2420</v>
      </c>
      <c r="AE1" s="3467"/>
      <c r="AF1" s="3467"/>
      <c r="AG1" s="3467"/>
      <c r="AH1" s="3467"/>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9">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9"/>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9"/>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70"/>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71">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9"/>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69"/>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70"/>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71">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9"/>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69"/>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72"/>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73">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9"/>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69"/>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72"/>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73">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9"/>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69"/>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72"/>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74">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5"/>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75"/>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76"/>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73">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69"/>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69"/>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72"/>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73">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9">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69">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72">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73">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9">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69">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72">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73">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9">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69">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72">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73">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9">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69">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72">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73">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9">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69">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72">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73">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9">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69">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72">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73">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9">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69">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72">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73">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9">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69">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72">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73">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69">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69">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72">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73">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69">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69">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72">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25" t="str">
        <f>IF(项目基本情况!B9="房地产市场价值","估价结果一览表","结果表-2")</f>
        <v>结果表-2</v>
      </c>
      <c r="B1" s="3125"/>
      <c r="C1" s="3125"/>
      <c r="D1" s="3125"/>
      <c r="E1" s="3125"/>
      <c r="F1" s="3125"/>
      <c r="G1" s="3125"/>
      <c r="H1" s="3125"/>
      <c r="I1" s="3125"/>
    </row>
    <row r="2" spans="1:9" ht="30" customHeight="1">
      <c r="A2" s="3126" t="s">
        <v>107</v>
      </c>
      <c r="B2" s="3126" t="s">
        <v>108</v>
      </c>
      <c r="C2" s="3126" t="s">
        <v>109</v>
      </c>
      <c r="D2" s="3126" t="str">
        <f>结果表!D116</f>
        <v>出让国有建设用地使用权价值</v>
      </c>
      <c r="E2" s="3126"/>
      <c r="F2" s="3126" t="str">
        <f>结果表!F116</f>
        <v>在建建筑物价值</v>
      </c>
      <c r="G2" s="3126"/>
      <c r="H2" s="3126" t="str">
        <f>IF(项目基本情况!B9="房地产市场价值","房地产市场价值","房地产价值")</f>
        <v>房地产价值</v>
      </c>
      <c r="I2" s="3126"/>
    </row>
    <row r="3" spans="1:9" ht="15">
      <c r="A3" s="3127"/>
      <c r="B3" s="3127"/>
      <c r="C3" s="3127"/>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49403.210000000006</v>
      </c>
      <c r="C4" s="2995">
        <f>项目基本情况!C18</f>
        <v>0</v>
      </c>
      <c r="D4" s="2995">
        <f ca="1">结果表!D118</f>
        <v>134</v>
      </c>
      <c r="E4" s="2995" t="e">
        <f ca="1">结果表!E118</f>
        <v>#DIV/0!</v>
      </c>
      <c r="F4" s="2995">
        <f ca="1">结果表!F118</f>
        <v>117</v>
      </c>
      <c r="G4" s="2995" t="e">
        <f ca="1">结果表!G118</f>
        <v>#DIV/0!</v>
      </c>
      <c r="H4" s="2995">
        <f ca="1">结果表!H118</f>
        <v>251</v>
      </c>
      <c r="I4" s="2995" t="e">
        <f ca="1">结果表!I118</f>
        <v>#DIV/0!</v>
      </c>
    </row>
    <row r="5" spans="1:9" ht="30" customHeight="1">
      <c r="A5" s="3127" t="s">
        <v>112</v>
      </c>
      <c r="B5" s="3127"/>
      <c r="C5" s="3127"/>
      <c r="D5" s="3128" t="str">
        <f ca="1">结果表!D119</f>
        <v>壹佰叁拾肆万元整</v>
      </c>
      <c r="E5" s="3128"/>
      <c r="F5" s="3128" t="str">
        <f ca="1">结果表!F119</f>
        <v>壹佰壹拾柒万元整</v>
      </c>
      <c r="G5" s="3128"/>
      <c r="H5" s="3128" t="str">
        <f ca="1">结果表!H119</f>
        <v>贰佰伍拾壹万元整</v>
      </c>
      <c r="I5" s="3128"/>
    </row>
    <row r="6" spans="1:9" ht="15.75">
      <c r="A6" s="3129" t="str">
        <f>结果表!A120</f>
        <v>估价师知悉的法定优先受偿款</v>
      </c>
      <c r="B6" s="3129"/>
      <c r="C6" s="3129"/>
      <c r="D6" s="3129">
        <f>结果表!D120</f>
        <v>0</v>
      </c>
      <c r="E6" s="3129"/>
      <c r="F6" s="3129"/>
      <c r="G6" s="3129"/>
      <c r="H6" s="3129"/>
      <c r="I6" s="3129"/>
    </row>
    <row r="7" spans="1:9" ht="15">
      <c r="A7" s="3127" t="s">
        <v>112</v>
      </c>
      <c r="B7" s="3127"/>
      <c r="C7" s="3127"/>
      <c r="D7" s="3130" t="str">
        <f>结果表!D121</f>
        <v>零元整</v>
      </c>
      <c r="E7" s="3131"/>
      <c r="F7" s="3131"/>
      <c r="G7" s="3131"/>
      <c r="H7" s="3131"/>
      <c r="I7" s="3132"/>
    </row>
    <row r="8" spans="1:9" ht="15.75">
      <c r="A8" s="3129" t="str">
        <f>结果表!A122</f>
        <v>房地产抵押价值</v>
      </c>
      <c r="B8" s="3129"/>
      <c r="C8" s="3129"/>
      <c r="D8" s="3129">
        <f ca="1">结果表!D122</f>
        <v>251</v>
      </c>
      <c r="E8" s="3129"/>
      <c r="F8" s="3129"/>
      <c r="G8" s="3129"/>
      <c r="H8" s="3129"/>
      <c r="I8" s="3129"/>
    </row>
    <row r="9" spans="1:9" ht="15">
      <c r="A9" s="3127" t="s">
        <v>112</v>
      </c>
      <c r="B9" s="3127"/>
      <c r="C9" s="3127"/>
      <c r="D9" s="3128" t="str">
        <f ca="1">结果表!D123</f>
        <v>贰佰伍拾壹万元整</v>
      </c>
      <c r="E9" s="3128"/>
      <c r="F9" s="3128"/>
      <c r="G9" s="3128"/>
      <c r="H9" s="3128"/>
      <c r="I9" s="3128"/>
    </row>
    <row r="10" spans="1:9" ht="15.75">
      <c r="A10" s="3129" t="str">
        <f>结果表!A124</f>
        <v/>
      </c>
      <c r="B10" s="3129"/>
      <c r="C10" s="3129"/>
      <c r="D10" s="3129" t="str">
        <f>结果表!D124</f>
        <v>——</v>
      </c>
      <c r="E10" s="3129"/>
      <c r="F10" s="3129"/>
      <c r="G10" s="3129"/>
      <c r="H10" s="3129"/>
      <c r="I10" s="3129"/>
    </row>
    <row r="11" spans="1:9" ht="15">
      <c r="A11" s="3127" t="s">
        <v>112</v>
      </c>
      <c r="B11" s="3127"/>
      <c r="C11" s="3127"/>
      <c r="D11" s="3128" t="e">
        <f>结果表!D125</f>
        <v>#VALUE!</v>
      </c>
      <c r="E11" s="3128"/>
      <c r="F11" s="3128"/>
      <c r="G11" s="3128"/>
      <c r="H11" s="3128"/>
      <c r="I11" s="3128"/>
    </row>
    <row r="12" spans="1:9" ht="15.75">
      <c r="A12" s="3129" t="str">
        <f>结果表!A126</f>
        <v>抵押净值</v>
      </c>
      <c r="B12" s="3129"/>
      <c r="C12" s="3129"/>
      <c r="D12" s="3129">
        <f ca="1">结果表!D126</f>
        <v>4277</v>
      </c>
      <c r="E12" s="3129"/>
      <c r="F12" s="3129"/>
      <c r="G12" s="3129"/>
      <c r="H12" s="3129"/>
      <c r="I12" s="3129"/>
    </row>
    <row r="13" spans="1:9" ht="15">
      <c r="A13" s="3133" t="s">
        <v>112</v>
      </c>
      <c r="B13" s="3133"/>
      <c r="C13" s="3133"/>
      <c r="D13" s="3134" t="str">
        <f ca="1">结果表!D127</f>
        <v>肆仟贰佰柒拾柒万元整</v>
      </c>
      <c r="E13" s="3134"/>
      <c r="F13" s="3134"/>
      <c r="G13" s="3134"/>
      <c r="H13" s="3134"/>
      <c r="I13" s="3134"/>
    </row>
    <row r="14" spans="1:9">
      <c r="A14" s="3135" t="s">
        <v>113</v>
      </c>
      <c r="B14" s="3135"/>
      <c r="C14" s="3135"/>
      <c r="D14" s="3135"/>
      <c r="E14" s="3135"/>
      <c r="F14" s="3135"/>
      <c r="G14" s="3135"/>
      <c r="H14" s="3135"/>
      <c r="I14" s="3135"/>
    </row>
    <row r="16" spans="1:9" ht="18.75">
      <c r="A16" s="2997"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08" t="s">
        <v>2601</v>
      </c>
    </row>
    <row r="43" spans="1:7" ht="13.5" customHeight="1">
      <c r="A43" s="189" t="s">
        <v>1406</v>
      </c>
      <c r="B43" s="162" t="s">
        <v>2572</v>
      </c>
      <c r="C43" s="191">
        <f>ROUND(IF('数据-取费表'!B22&lt;=1,C39*F22*'数据-取费表'!B21/2,C39*(POWER((1+F22),'数据-取费表'!B21/2)-1)),0)</f>
        <v>22</v>
      </c>
      <c r="D43" s="191"/>
      <c r="E43" s="191"/>
      <c r="F43" s="192"/>
      <c r="G43" s="3309"/>
    </row>
    <row r="44" spans="1:7" ht="13.5" customHeight="1">
      <c r="A44" s="189" t="s">
        <v>1408</v>
      </c>
      <c r="B44" s="162" t="s">
        <v>2574</v>
      </c>
      <c r="C44" s="191">
        <f>ROUND(IF('数据-取费表'!B22&lt;=1,C40*F22*'数据-取费表'!B21/2,C40*(POWER((1+F22),'数据-取费表'!B21/2)-1)),4)</f>
        <v>1E-3</v>
      </c>
      <c r="D44" s="191"/>
      <c r="E44" s="191"/>
      <c r="F44" s="192"/>
      <c r="G44" s="3310"/>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7" t="s">
        <v>2619</v>
      </c>
      <c r="B1" s="3477"/>
      <c r="C1" s="3477"/>
      <c r="D1" s="3477"/>
      <c r="E1" s="3477"/>
      <c r="F1" s="3477"/>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78" t="s">
        <v>2620</v>
      </c>
      <c r="B2" s="3478"/>
      <c r="C2" s="3478"/>
      <c r="D2" s="3478"/>
      <c r="E2" s="3478"/>
      <c r="F2" s="3478"/>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79"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80"/>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7" t="s">
        <v>2963</v>
      </c>
      <c r="B1" s="3477"/>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6" t="s">
        <v>114</v>
      </c>
      <c r="B1" s="3136"/>
      <c r="C1" s="3136"/>
      <c r="D1" s="3136"/>
    </row>
    <row r="2" spans="1:4" ht="18">
      <c r="A2" s="3137" t="s">
        <v>115</v>
      </c>
      <c r="B2" s="3137"/>
      <c r="C2" s="3137"/>
      <c r="D2" s="3137"/>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37" t="s">
        <v>121</v>
      </c>
      <c r="B6" s="3137"/>
      <c r="C6" s="3137"/>
      <c r="D6" s="3137"/>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38" t="s">
        <v>126</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0"/>
      <c r="C12" s="3140"/>
      <c r="D12" s="3140"/>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0"/>
      <c r="C13" s="3140"/>
      <c r="D13" s="3140"/>
    </row>
    <row r="14" spans="1:4" ht="15.75" customHeight="1">
      <c r="A14" s="3139" t="str">
        <f>IF(项目基本情况!B8="抵押","4.本次评估估价师所知悉的法定优先受偿款情况说明如下：","——")</f>
        <v>4.本次评估估价师所知悉的法定优先受偿款情况说明如下：</v>
      </c>
      <c r="B14" s="3140"/>
      <c r="C14" s="3140"/>
      <c r="D14" s="3140"/>
    </row>
    <row r="15" spans="1:4" ht="42" customHeight="1">
      <c r="A15" s="31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1" t="s">
        <v>127</v>
      </c>
      <c r="B16" s="3141"/>
      <c r="C16" s="3141"/>
      <c r="D16" s="3141"/>
    </row>
    <row r="17" spans="1:4" ht="144" customHeight="1">
      <c r="A17" s="3141" t="s">
        <v>128</v>
      </c>
      <c r="B17" s="3141"/>
      <c r="C17" s="3141"/>
      <c r="D17" s="3141"/>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3"/>
      <c r="C21" s="3143"/>
      <c r="D21" s="3143"/>
    </row>
    <row r="22" spans="1:4" ht="18.75" customHeight="1">
      <c r="A22" s="3144" t="s">
        <v>129</v>
      </c>
      <c r="B22" s="3144"/>
      <c r="C22" s="3144"/>
      <c r="D22" s="3144"/>
    </row>
    <row r="23" spans="1:4">
      <c r="A23" s="2992"/>
      <c r="B23" s="1364"/>
      <c r="C23" s="1364"/>
      <c r="D23" s="1364"/>
    </row>
    <row r="24" spans="1:4">
      <c r="A24" s="2992"/>
      <c r="B24" s="1364"/>
      <c r="C24" s="1364"/>
      <c r="D24" s="1364"/>
    </row>
    <row r="25" spans="1:4" ht="18.75">
      <c r="A25" s="2993" t="s">
        <v>130</v>
      </c>
    </row>
    <row r="26" spans="1:4" ht="18">
      <c r="A26" s="2994"/>
    </row>
    <row r="27" spans="1:4" ht="18.75">
      <c r="A27" s="2994" t="s">
        <v>131</v>
      </c>
    </row>
    <row r="30" spans="1:4" ht="18.75">
      <c r="D30" s="2993" t="s">
        <v>132</v>
      </c>
    </row>
    <row r="31" spans="1:4" ht="13.5" customHeight="1">
      <c r="C31" s="3142">
        <v>42551</v>
      </c>
      <c r="D31" s="314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7" t="s">
        <v>146</v>
      </c>
      <c r="B15" s="3152" t="s">
        <v>147</v>
      </c>
      <c r="C15" s="3146"/>
    </row>
    <row r="16" spans="1:7" ht="13.5">
      <c r="A16" s="3148"/>
      <c r="B16" s="3152" t="s">
        <v>148</v>
      </c>
      <c r="C16" s="3146"/>
    </row>
    <row r="17" spans="1:3" ht="13.5">
      <c r="A17" s="3148"/>
      <c r="B17" s="3151" t="s">
        <v>149</v>
      </c>
      <c r="C17" s="2974" t="s">
        <v>146</v>
      </c>
    </row>
    <row r="18" spans="1:3" ht="13.5">
      <c r="A18" s="3148"/>
      <c r="B18" s="3151"/>
      <c r="C18" s="2974" t="s">
        <v>150</v>
      </c>
    </row>
    <row r="19" spans="1:3" ht="13.5">
      <c r="A19" s="3148"/>
      <c r="B19" s="3151"/>
      <c r="C19" s="2974" t="s">
        <v>151</v>
      </c>
    </row>
    <row r="20" spans="1:3" ht="13.5">
      <c r="A20" s="3149"/>
      <c r="B20" s="3145" t="s">
        <v>152</v>
      </c>
      <c r="C20" s="3146"/>
    </row>
    <row r="21" spans="1:3" ht="13.5">
      <c r="A21" s="2975" t="s">
        <v>153</v>
      </c>
      <c r="B21" s="2976"/>
      <c r="C21" s="2977"/>
    </row>
    <row r="22" spans="1:3" ht="13.5">
      <c r="A22" s="3150" t="s">
        <v>154</v>
      </c>
      <c r="B22" s="3145" t="s">
        <v>155</v>
      </c>
      <c r="C22" s="3146"/>
    </row>
    <row r="23" spans="1:3" ht="13.5">
      <c r="A23" s="3150"/>
      <c r="B23" s="3145" t="s">
        <v>156</v>
      </c>
      <c r="C23" s="3146"/>
    </row>
    <row r="24" spans="1:3" ht="13.5">
      <c r="A24" s="3150"/>
      <c r="B24" s="3145" t="s">
        <v>157</v>
      </c>
      <c r="C24" s="3146"/>
    </row>
    <row r="25" spans="1:3" ht="13.5">
      <c r="A25" s="3150"/>
      <c r="B25" s="3151" t="s">
        <v>158</v>
      </c>
      <c r="C25" s="2974" t="s">
        <v>159</v>
      </c>
    </row>
    <row r="26" spans="1:3" ht="13.5">
      <c r="A26" s="3150"/>
      <c r="B26" s="3151"/>
      <c r="C26" s="2974" t="s">
        <v>160</v>
      </c>
    </row>
    <row r="27" spans="1:3" ht="13.5">
      <c r="A27" s="3150"/>
      <c r="B27" s="3151"/>
      <c r="C27" s="2974" t="s">
        <v>161</v>
      </c>
    </row>
    <row r="28" spans="1:3" ht="13.5">
      <c r="A28" s="3150"/>
      <c r="B28" s="3151"/>
      <c r="C28" s="2974" t="s">
        <v>162</v>
      </c>
    </row>
    <row r="29" spans="1:3" ht="13.5">
      <c r="A29" s="3150"/>
      <c r="B29" s="3151"/>
      <c r="C29" s="2974" t="s">
        <v>163</v>
      </c>
    </row>
    <row r="30" spans="1:3" ht="13.5">
      <c r="A30" s="3150"/>
      <c r="B30" s="3151"/>
      <c r="C30" s="2974" t="s">
        <v>164</v>
      </c>
    </row>
    <row r="31" spans="1:3" ht="13.5">
      <c r="A31" s="3150"/>
      <c r="B31" s="3151"/>
      <c r="C31" s="2974" t="s">
        <v>165</v>
      </c>
    </row>
    <row r="32" spans="1:3" ht="13.5">
      <c r="A32" s="3150"/>
      <c r="B32" s="3151"/>
      <c r="C32" s="2974" t="s">
        <v>166</v>
      </c>
    </row>
    <row r="33" spans="1:3" ht="13.5">
      <c r="A33" s="3150"/>
      <c r="B33" s="3151"/>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45475</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3" t="s">
        <v>197</v>
      </c>
      <c r="B17" s="3153"/>
      <c r="C17" s="3153"/>
      <c r="D17" s="3153"/>
      <c r="E17" s="3153"/>
      <c r="F17" s="3153"/>
      <c r="G17" s="3153"/>
      <c r="H17" s="3153"/>
    </row>
    <row r="18" spans="1:8" ht="24" customHeight="1">
      <c r="A18" s="3154" t="s">
        <v>198</v>
      </c>
      <c r="B18" s="3154"/>
      <c r="C18" s="3154"/>
      <c r="D18" s="2943"/>
      <c r="E18" s="3155" t="s">
        <v>199</v>
      </c>
      <c r="F18" s="3154"/>
      <c r="G18" s="3154"/>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2024-07-02T08:50:44Z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